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\\mornt4\ANALISIS\Departamento\INFORMES ANUALES DEL SECTOR\EL SISTEMA ELECTRICO ESPAÑOL\2019\PREVISION DE CIERRE\ENVIADOS\"/>
    </mc:Choice>
  </mc:AlternateContent>
  <xr:revisionPtr revIDLastSave="0" documentId="13_ncr:1_{77BA2F74-3096-4FA9-A19B-760BD82F82FA}" xr6:coauthVersionLast="41" xr6:coauthVersionMax="41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BALANCE" sheetId="23" state="hidden" r:id="rId1"/>
    <sheet name="RESUMEN" sheetId="30" state="hidden" r:id="rId2"/>
    <sheet name="DEMANDA" sheetId="25" r:id="rId3"/>
    <sheet name="PRODUCCION PENINSULAR" sheetId="26" state="hidden" r:id="rId4"/>
    <sheet name="PRODUCCION NACIONAL" sheetId="29" r:id="rId5"/>
    <sheet name="Data 1" sheetId="2" state="hidden" r:id="rId6"/>
  </sheets>
  <definedNames>
    <definedName name="_xlnm.Print_Area" localSheetId="0">BALANCE!$A$1:$P$36</definedName>
    <definedName name="_xlnm.Print_Area" localSheetId="2">DEMANDA!$A$1:$M$15</definedName>
    <definedName name="_xlnm.Print_Area" localSheetId="4">'PRODUCCION NACIONAL'!$A$1:$R$30</definedName>
    <definedName name="_xlnm.Print_Area" localSheetId="3">'PRODUCCION PENINSULAR'!$A$1:$Q$30</definedName>
    <definedName name="_xlnm.Print_Area" localSheetId="1">RESUMEN!$A$1:$L$14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0">BALANCE!ccc</definedName>
    <definedName name="ccc">#N/A</definedName>
    <definedName name="CUADRO_ANTERIOR" localSheetId="0">BALANCE!CUADRO_ANTERIOR</definedName>
    <definedName name="CUADRO_ANTERIOR">#N/A</definedName>
    <definedName name="CUADRO_PROXIMO" localSheetId="0">BALANCE!CUADRO_PROXIMO</definedName>
    <definedName name="CUADRO_PROXIMO">#N/A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FINALIZAR" localSheetId="0">BALANCE!FINALIZAR</definedName>
    <definedName name="FINALIZAR">#N/A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0">BALANCE!IMPRESION</definedName>
    <definedName name="IMPRESION">#N/A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0">BALANCE!nnn</definedName>
    <definedName name="nnn">#N/A</definedName>
    <definedName name="nnnn" localSheetId="0">BALANCE!nnnn</definedName>
    <definedName name="nnnn">#N/A</definedName>
    <definedName name="nu">#N/A</definedName>
    <definedName name="PRINCIPAL" localSheetId="0">BALANCE!PRINCIPAL</definedName>
    <definedName name="PRINCIPAL">#N/A</definedName>
    <definedName name="rosa">#N/A</definedName>
    <definedName name="rosa2">#N/A</definedName>
    <definedName name="VV">#N/A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>#N/A</definedName>
    <definedName name="XX" localSheetId="0">BALANCE!XX</definedName>
    <definedName name="XX">#N/A</definedName>
    <definedName name="xxx" localSheetId="0">BALANCE!xxx</definedName>
    <definedName name="xxx">#N/A</definedName>
    <definedName name="XXXX">#N/A</definedName>
    <definedName name="xxxxx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29" l="1"/>
  <c r="I6" i="29"/>
  <c r="L337" i="2" l="1"/>
  <c r="M318" i="2"/>
  <c r="N319" i="2"/>
  <c r="N318" i="2"/>
  <c r="N320" i="2" s="1"/>
  <c r="L318" i="2"/>
  <c r="N291" i="2"/>
  <c r="N300" i="2"/>
  <c r="N299" i="2"/>
  <c r="N298" i="2"/>
  <c r="L299" i="2"/>
  <c r="L298" i="2"/>
  <c r="N286" i="2"/>
  <c r="N287" i="2" s="1"/>
  <c r="L277" i="2"/>
  <c r="L276" i="2"/>
  <c r="N278" i="2"/>
  <c r="N277" i="2"/>
  <c r="N276" i="2"/>
  <c r="L258" i="2"/>
  <c r="L259" i="2"/>
  <c r="N259" i="2"/>
  <c r="N258" i="2"/>
  <c r="N260" i="2" s="1"/>
  <c r="J16" i="23" l="1"/>
  <c r="D63" i="30" l="1"/>
  <c r="E61" i="30"/>
  <c r="D60" i="30"/>
  <c r="P22" i="29"/>
  <c r="E54" i="30"/>
  <c r="I27" i="29"/>
  <c r="O14" i="26"/>
  <c r="O10" i="26"/>
  <c r="E10" i="30"/>
  <c r="D13" i="30"/>
  <c r="D12" i="30"/>
  <c r="D10" i="30"/>
  <c r="N315" i="2" l="1"/>
  <c r="N314" i="2"/>
  <c r="N313" i="2"/>
  <c r="N311" i="2"/>
  <c r="N310" i="2"/>
  <c r="N309" i="2"/>
  <c r="N308" i="2"/>
  <c r="N307" i="2"/>
  <c r="N306" i="2"/>
  <c r="N305" i="2"/>
  <c r="N304" i="2"/>
  <c r="D304" i="2"/>
  <c r="E304" i="2"/>
  <c r="F304" i="2"/>
  <c r="G304" i="2"/>
  <c r="H304" i="2"/>
  <c r="I304" i="2"/>
  <c r="J304" i="2"/>
  <c r="K304" i="2"/>
  <c r="L304" i="2"/>
  <c r="D305" i="2"/>
  <c r="E305" i="2"/>
  <c r="F305" i="2"/>
  <c r="G305" i="2"/>
  <c r="H305" i="2"/>
  <c r="I305" i="2"/>
  <c r="J305" i="2"/>
  <c r="K305" i="2"/>
  <c r="L305" i="2"/>
  <c r="D306" i="2"/>
  <c r="E306" i="2"/>
  <c r="F306" i="2"/>
  <c r="G306" i="2"/>
  <c r="H306" i="2"/>
  <c r="I306" i="2"/>
  <c r="J306" i="2"/>
  <c r="K306" i="2"/>
  <c r="L306" i="2"/>
  <c r="D307" i="2"/>
  <c r="E307" i="2"/>
  <c r="F307" i="2"/>
  <c r="G307" i="2"/>
  <c r="H307" i="2"/>
  <c r="I307" i="2"/>
  <c r="J307" i="2"/>
  <c r="K307" i="2"/>
  <c r="L307" i="2"/>
  <c r="D308" i="2"/>
  <c r="E308" i="2"/>
  <c r="F308" i="2"/>
  <c r="G308" i="2"/>
  <c r="H308" i="2"/>
  <c r="I308" i="2"/>
  <c r="J308" i="2"/>
  <c r="K308" i="2"/>
  <c r="L308" i="2"/>
  <c r="D309" i="2"/>
  <c r="E309" i="2"/>
  <c r="F309" i="2"/>
  <c r="G309" i="2"/>
  <c r="H309" i="2"/>
  <c r="I309" i="2"/>
  <c r="J309" i="2"/>
  <c r="K309" i="2"/>
  <c r="L309" i="2"/>
  <c r="D310" i="2"/>
  <c r="E310" i="2"/>
  <c r="F310" i="2"/>
  <c r="G310" i="2"/>
  <c r="H310" i="2"/>
  <c r="I310" i="2"/>
  <c r="J310" i="2"/>
  <c r="K310" i="2"/>
  <c r="L310" i="2"/>
  <c r="D311" i="2"/>
  <c r="E311" i="2"/>
  <c r="F311" i="2"/>
  <c r="G311" i="2"/>
  <c r="H311" i="2"/>
  <c r="I311" i="2"/>
  <c r="J311" i="2"/>
  <c r="K311" i="2"/>
  <c r="L311" i="2"/>
  <c r="D312" i="2"/>
  <c r="E312" i="2"/>
  <c r="F312" i="2"/>
  <c r="G312" i="2"/>
  <c r="H312" i="2"/>
  <c r="I312" i="2"/>
  <c r="J312" i="2"/>
  <c r="D313" i="2"/>
  <c r="E313" i="2"/>
  <c r="F313" i="2"/>
  <c r="G313" i="2"/>
  <c r="H313" i="2"/>
  <c r="I313" i="2"/>
  <c r="J313" i="2"/>
  <c r="K313" i="2"/>
  <c r="L313" i="2"/>
  <c r="D314" i="2"/>
  <c r="E314" i="2"/>
  <c r="F314" i="2"/>
  <c r="G314" i="2"/>
  <c r="H314" i="2"/>
  <c r="I314" i="2"/>
  <c r="J314" i="2"/>
  <c r="K314" i="2"/>
  <c r="L314" i="2"/>
  <c r="D315" i="2"/>
  <c r="E315" i="2"/>
  <c r="F315" i="2"/>
  <c r="G315" i="2"/>
  <c r="H315" i="2"/>
  <c r="I315" i="2"/>
  <c r="J315" i="2"/>
  <c r="K315" i="2"/>
  <c r="L315" i="2"/>
  <c r="D316" i="2"/>
  <c r="E316" i="2"/>
  <c r="F316" i="2"/>
  <c r="G316" i="2"/>
  <c r="H316" i="2"/>
  <c r="I316" i="2"/>
  <c r="J316" i="2"/>
  <c r="D317" i="2"/>
  <c r="E317" i="2"/>
  <c r="F317" i="2"/>
  <c r="G317" i="2"/>
  <c r="H317" i="2"/>
  <c r="I317" i="2"/>
  <c r="J317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L316" i="2"/>
  <c r="L312" i="2"/>
  <c r="C324" i="2"/>
  <c r="K316" i="2"/>
  <c r="K312" i="2"/>
  <c r="H298" i="2"/>
  <c r="N312" i="2" l="1"/>
  <c r="N316" i="2"/>
  <c r="L317" i="2"/>
  <c r="K317" i="2"/>
  <c r="N296" i="2"/>
  <c r="M296" i="2"/>
  <c r="N295" i="2"/>
  <c r="M295" i="2"/>
  <c r="N294" i="2"/>
  <c r="M294" i="2"/>
  <c r="N293" i="2"/>
  <c r="M293" i="2"/>
  <c r="M292" i="2"/>
  <c r="N292" i="2"/>
  <c r="M291" i="2"/>
  <c r="N317" i="2" l="1"/>
  <c r="D298" i="2"/>
  <c r="E298" i="2"/>
  <c r="F298" i="2"/>
  <c r="G298" i="2"/>
  <c r="I298" i="2"/>
  <c r="J298" i="2"/>
  <c r="K298" i="2"/>
  <c r="K300" i="2" s="1"/>
  <c r="D299" i="2"/>
  <c r="D300" i="2" s="1"/>
  <c r="E299" i="2"/>
  <c r="F299" i="2"/>
  <c r="F300" i="2" s="1"/>
  <c r="G299" i="2"/>
  <c r="H299" i="2"/>
  <c r="I299" i="2"/>
  <c r="J299" i="2"/>
  <c r="K299" i="2"/>
  <c r="E300" i="2"/>
  <c r="G300" i="2"/>
  <c r="C300" i="2"/>
  <c r="C299" i="2"/>
  <c r="C298" i="2"/>
  <c r="D293" i="2"/>
  <c r="E293" i="2"/>
  <c r="F293" i="2"/>
  <c r="G293" i="2"/>
  <c r="H293" i="2"/>
  <c r="I293" i="2"/>
  <c r="J293" i="2"/>
  <c r="K293" i="2"/>
  <c r="L293" i="2"/>
  <c r="C293" i="2"/>
  <c r="N273" i="2"/>
  <c r="N284" i="2"/>
  <c r="N283" i="2"/>
  <c r="N282" i="2"/>
  <c r="M287" i="2"/>
  <c r="M286" i="2"/>
  <c r="M284" i="2"/>
  <c r="M283" i="2"/>
  <c r="M282" i="2"/>
  <c r="D284" i="2"/>
  <c r="E284" i="2"/>
  <c r="F284" i="2"/>
  <c r="G284" i="2"/>
  <c r="G286" i="2" s="1"/>
  <c r="G287" i="2" s="1"/>
  <c r="H284" i="2"/>
  <c r="I284" i="2"/>
  <c r="J284" i="2"/>
  <c r="K284" i="2"/>
  <c r="K286" i="2" s="1"/>
  <c r="K287" i="2" s="1"/>
  <c r="L284" i="2"/>
  <c r="D286" i="2"/>
  <c r="E286" i="2"/>
  <c r="F286" i="2"/>
  <c r="F287" i="2" s="1"/>
  <c r="H286" i="2"/>
  <c r="I286" i="2"/>
  <c r="J286" i="2"/>
  <c r="J287" i="2" s="1"/>
  <c r="L286" i="2"/>
  <c r="D287" i="2"/>
  <c r="E287" i="2"/>
  <c r="H287" i="2"/>
  <c r="I287" i="2"/>
  <c r="L287" i="2"/>
  <c r="C287" i="2"/>
  <c r="C286" i="2"/>
  <c r="C284" i="2"/>
  <c r="N275" i="2"/>
  <c r="N274" i="2"/>
  <c r="N272" i="2"/>
  <c r="N271" i="2"/>
  <c r="N269" i="2"/>
  <c r="N268" i="2"/>
  <c r="N267" i="2"/>
  <c r="N266" i="2"/>
  <c r="N265" i="2"/>
  <c r="N264" i="2"/>
  <c r="M277" i="2"/>
  <c r="M276" i="2"/>
  <c r="M274" i="2"/>
  <c r="M273" i="2"/>
  <c r="M272" i="2"/>
  <c r="M271" i="2"/>
  <c r="M269" i="2"/>
  <c r="M268" i="2"/>
  <c r="M267" i="2"/>
  <c r="M266" i="2"/>
  <c r="M265" i="2"/>
  <c r="M264" i="2"/>
  <c r="L268" i="2"/>
  <c r="K268" i="2"/>
  <c r="J268" i="2"/>
  <c r="I268" i="2"/>
  <c r="I277" i="2" s="1"/>
  <c r="H268" i="2"/>
  <c r="H277" i="2" s="1"/>
  <c r="D276" i="2"/>
  <c r="D278" i="2" s="1"/>
  <c r="E276" i="2"/>
  <c r="E278" i="2" s="1"/>
  <c r="F276" i="2"/>
  <c r="G276" i="2"/>
  <c r="H276" i="2"/>
  <c r="I276" i="2"/>
  <c r="J276" i="2"/>
  <c r="K276" i="2"/>
  <c r="D277" i="2"/>
  <c r="E277" i="2"/>
  <c r="F277" i="2"/>
  <c r="G277" i="2"/>
  <c r="J277" i="2"/>
  <c r="K277" i="2"/>
  <c r="F278" i="2"/>
  <c r="G278" i="2"/>
  <c r="C277" i="2"/>
  <c r="C278" i="2" s="1"/>
  <c r="C276" i="2"/>
  <c r="D268" i="2"/>
  <c r="E268" i="2"/>
  <c r="F268" i="2"/>
  <c r="G268" i="2"/>
  <c r="C268" i="2"/>
  <c r="M317" i="2"/>
  <c r="M316" i="2"/>
  <c r="M315" i="2"/>
  <c r="M314" i="2"/>
  <c r="M313" i="2"/>
  <c r="M312" i="2"/>
  <c r="M311" i="2"/>
  <c r="M310" i="2"/>
  <c r="I318" i="2"/>
  <c r="E318" i="2"/>
  <c r="M309" i="2"/>
  <c r="M308" i="2"/>
  <c r="M307" i="2"/>
  <c r="J319" i="2"/>
  <c r="F319" i="2"/>
  <c r="M306" i="2"/>
  <c r="L319" i="2"/>
  <c r="K319" i="2"/>
  <c r="I319" i="2"/>
  <c r="H319" i="2"/>
  <c r="G319" i="2"/>
  <c r="E319" i="2"/>
  <c r="D319" i="2"/>
  <c r="C319" i="2"/>
  <c r="M304" i="2"/>
  <c r="K318" i="2"/>
  <c r="J318" i="2"/>
  <c r="J320" i="2" s="1"/>
  <c r="H318" i="2"/>
  <c r="G318" i="2"/>
  <c r="G320" i="2" s="1"/>
  <c r="F318" i="2"/>
  <c r="D318" i="2"/>
  <c r="C318" i="2"/>
  <c r="N257" i="2"/>
  <c r="N256" i="2"/>
  <c r="N255" i="2"/>
  <c r="N254" i="2"/>
  <c r="N253" i="2"/>
  <c r="N252" i="2"/>
  <c r="N250" i="2"/>
  <c r="N248" i="2"/>
  <c r="N247" i="2"/>
  <c r="N246" i="2"/>
  <c r="M257" i="2"/>
  <c r="M256" i="2"/>
  <c r="M255" i="2"/>
  <c r="M254" i="2"/>
  <c r="M253" i="2"/>
  <c r="M252" i="2"/>
  <c r="M250" i="2"/>
  <c r="M248" i="2"/>
  <c r="M247" i="2"/>
  <c r="M246" i="2"/>
  <c r="L247" i="2"/>
  <c r="K320" i="2" l="1"/>
  <c r="C320" i="2"/>
  <c r="M298" i="2"/>
  <c r="J300" i="2"/>
  <c r="L300" i="2"/>
  <c r="M299" i="2"/>
  <c r="I300" i="2"/>
  <c r="H300" i="2"/>
  <c r="K278" i="2"/>
  <c r="J278" i="2"/>
  <c r="I278" i="2"/>
  <c r="L278" i="2"/>
  <c r="M278" i="2" s="1"/>
  <c r="H278" i="2"/>
  <c r="F320" i="2"/>
  <c r="M319" i="2"/>
  <c r="E320" i="2"/>
  <c r="I320" i="2"/>
  <c r="H320" i="2"/>
  <c r="D320" i="2"/>
  <c r="M305" i="2"/>
  <c r="M300" i="2" l="1"/>
  <c r="L320" i="2"/>
  <c r="D39" i="30" l="1"/>
  <c r="P10" i="29"/>
  <c r="D40" i="30"/>
  <c r="P14" i="29"/>
  <c r="M320" i="2"/>
  <c r="L249" i="2"/>
  <c r="K249" i="2"/>
  <c r="J249" i="2"/>
  <c r="J259" i="2" s="1"/>
  <c r="I249" i="2"/>
  <c r="H259" i="2"/>
  <c r="H249" i="2"/>
  <c r="D258" i="2"/>
  <c r="E258" i="2"/>
  <c r="F258" i="2"/>
  <c r="G258" i="2"/>
  <c r="H258" i="2"/>
  <c r="I258" i="2"/>
  <c r="J258" i="2"/>
  <c r="K258" i="2"/>
  <c r="I259" i="2"/>
  <c r="K259" i="2"/>
  <c r="M249" i="2" l="1"/>
  <c r="N249" i="2"/>
  <c r="L260" i="2"/>
  <c r="K260" i="2"/>
  <c r="J260" i="2"/>
  <c r="I260" i="2"/>
  <c r="H260" i="2"/>
  <c r="C260" i="2" l="1"/>
  <c r="C259" i="2"/>
  <c r="C258" i="2"/>
  <c r="D249" i="2"/>
  <c r="D259" i="2" s="1"/>
  <c r="D260" i="2" s="1"/>
  <c r="E249" i="2"/>
  <c r="E259" i="2" s="1"/>
  <c r="E260" i="2" s="1"/>
  <c r="F249" i="2"/>
  <c r="F259" i="2" s="1"/>
  <c r="F260" i="2" s="1"/>
  <c r="G249" i="2"/>
  <c r="G259" i="2" s="1"/>
  <c r="G260" i="2" s="1"/>
  <c r="C249" i="2"/>
  <c r="M260" i="2" l="1"/>
  <c r="M259" i="2"/>
  <c r="M258" i="2"/>
  <c r="D24" i="30" l="1"/>
  <c r="N13" i="25"/>
  <c r="F368" i="2" l="1"/>
  <c r="F369" i="2" s="1"/>
  <c r="E368" i="2" l="1"/>
  <c r="E369" i="2" s="1"/>
  <c r="G368" i="2" l="1"/>
  <c r="G369" i="2" s="1"/>
  <c r="H368" i="2" l="1"/>
  <c r="H369" i="2" s="1"/>
  <c r="I368" i="2" l="1"/>
  <c r="I369" i="2" s="1"/>
  <c r="J368" i="2" l="1"/>
  <c r="J369" i="2" s="1"/>
  <c r="K368" i="2" l="1"/>
  <c r="K369" i="2" s="1"/>
  <c r="L368" i="2" l="1"/>
  <c r="L369" i="2" s="1"/>
  <c r="G178" i="2" l="1"/>
  <c r="F178" i="2"/>
  <c r="D8" i="30" l="1"/>
  <c r="C13" i="25"/>
  <c r="N228" i="2"/>
  <c r="N229" i="2"/>
  <c r="N230" i="2"/>
  <c r="N231" i="2"/>
  <c r="N232" i="2"/>
  <c r="N233" i="2"/>
  <c r="N234" i="2"/>
  <c r="N235" i="2"/>
  <c r="N236" i="2"/>
  <c r="N237" i="2"/>
  <c r="N238" i="2"/>
  <c r="N239" i="2"/>
  <c r="N227" i="2"/>
  <c r="N241" i="2" l="1"/>
  <c r="N242" i="2"/>
  <c r="N240" i="2"/>
  <c r="G336" i="2"/>
  <c r="G335" i="2"/>
  <c r="F336" i="2"/>
  <c r="F335" i="2"/>
  <c r="E336" i="2"/>
  <c r="E335" i="2"/>
  <c r="D336" i="2"/>
  <c r="D335" i="2"/>
  <c r="C336" i="2"/>
  <c r="C335" i="2"/>
  <c r="K241" i="2"/>
  <c r="J241" i="2"/>
  <c r="I241" i="2"/>
  <c r="H241" i="2"/>
  <c r="G241" i="2"/>
  <c r="F241" i="2"/>
  <c r="E241" i="2"/>
  <c r="D241" i="2"/>
  <c r="C241" i="2"/>
  <c r="L241" i="2"/>
  <c r="K240" i="2"/>
  <c r="J240" i="2"/>
  <c r="I240" i="2"/>
  <c r="H240" i="2"/>
  <c r="G240" i="2"/>
  <c r="F240" i="2"/>
  <c r="E240" i="2"/>
  <c r="D240" i="2"/>
  <c r="C240" i="2"/>
  <c r="L240" i="2"/>
  <c r="M240" i="2" s="1"/>
  <c r="M241" i="2" l="1"/>
  <c r="M16" i="23"/>
  <c r="G16" i="23" l="1"/>
  <c r="I16" i="23"/>
  <c r="C79" i="2"/>
  <c r="J41" i="2"/>
  <c r="I41" i="2"/>
  <c r="H41" i="2"/>
  <c r="G41" i="2"/>
  <c r="F41" i="2"/>
  <c r="E41" i="2"/>
  <c r="D41" i="2"/>
  <c r="K41" i="2"/>
  <c r="D56" i="30" l="1"/>
  <c r="L22" i="29"/>
  <c r="E24" i="23"/>
  <c r="E16" i="23"/>
  <c r="E13" i="25" l="1"/>
  <c r="G13" i="25"/>
  <c r="E8" i="25"/>
  <c r="O8" i="23"/>
  <c r="M8" i="23"/>
  <c r="K8" i="23"/>
  <c r="I8" i="23"/>
  <c r="G8" i="23"/>
  <c r="E8" i="23"/>
  <c r="J182" i="2" l="1"/>
  <c r="J183" i="2"/>
  <c r="J184" i="2"/>
  <c r="J185" i="2"/>
  <c r="J186" i="2"/>
  <c r="J187" i="2"/>
  <c r="J188" i="2"/>
  <c r="J189" i="2"/>
  <c r="J190" i="2"/>
  <c r="J191" i="2"/>
  <c r="J192" i="2"/>
  <c r="J193" i="2"/>
  <c r="J194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E20" i="23" l="1"/>
  <c r="D84" i="2"/>
  <c r="D105" i="2" s="1"/>
  <c r="E84" i="2"/>
  <c r="E105" i="2" s="1"/>
  <c r="F84" i="2"/>
  <c r="F105" i="2" s="1"/>
  <c r="G84" i="2"/>
  <c r="G105" i="2" s="1"/>
  <c r="H84" i="2"/>
  <c r="H105" i="2" s="1"/>
  <c r="I84" i="2"/>
  <c r="I105" i="2" s="1"/>
  <c r="J84" i="2"/>
  <c r="J105" i="2" s="1"/>
  <c r="D85" i="2"/>
  <c r="D106" i="2" s="1"/>
  <c r="E85" i="2"/>
  <c r="E106" i="2" s="1"/>
  <c r="F85" i="2"/>
  <c r="F106" i="2" s="1"/>
  <c r="G85" i="2"/>
  <c r="G106" i="2" s="1"/>
  <c r="H85" i="2"/>
  <c r="H106" i="2" s="1"/>
  <c r="I85" i="2"/>
  <c r="I106" i="2" s="1"/>
  <c r="J85" i="2"/>
  <c r="J106" i="2" s="1"/>
  <c r="D86" i="2"/>
  <c r="D107" i="2" s="1"/>
  <c r="E86" i="2"/>
  <c r="E107" i="2" s="1"/>
  <c r="F86" i="2"/>
  <c r="F107" i="2" s="1"/>
  <c r="G86" i="2"/>
  <c r="G107" i="2" s="1"/>
  <c r="H86" i="2"/>
  <c r="H107" i="2" s="1"/>
  <c r="I86" i="2"/>
  <c r="I107" i="2" s="1"/>
  <c r="J86" i="2"/>
  <c r="J107" i="2" s="1"/>
  <c r="D87" i="2"/>
  <c r="D108" i="2" s="1"/>
  <c r="E87" i="2"/>
  <c r="E108" i="2" s="1"/>
  <c r="F87" i="2"/>
  <c r="F108" i="2" s="1"/>
  <c r="G87" i="2"/>
  <c r="G108" i="2" s="1"/>
  <c r="H87" i="2"/>
  <c r="H108" i="2" s="1"/>
  <c r="I87" i="2"/>
  <c r="I108" i="2" s="1"/>
  <c r="J87" i="2"/>
  <c r="J108" i="2" s="1"/>
  <c r="D89" i="2"/>
  <c r="D110" i="2" s="1"/>
  <c r="E89" i="2"/>
  <c r="E110" i="2" s="1"/>
  <c r="F89" i="2"/>
  <c r="F110" i="2" s="1"/>
  <c r="G89" i="2"/>
  <c r="G110" i="2" s="1"/>
  <c r="H89" i="2"/>
  <c r="H110" i="2" s="1"/>
  <c r="I89" i="2"/>
  <c r="I110" i="2" s="1"/>
  <c r="J89" i="2"/>
  <c r="J110" i="2" s="1"/>
  <c r="D90" i="2"/>
  <c r="D111" i="2" s="1"/>
  <c r="E90" i="2"/>
  <c r="E111" i="2" s="1"/>
  <c r="F90" i="2"/>
  <c r="F111" i="2" s="1"/>
  <c r="G90" i="2"/>
  <c r="G111" i="2" s="1"/>
  <c r="H90" i="2"/>
  <c r="H111" i="2" s="1"/>
  <c r="I90" i="2"/>
  <c r="I111" i="2" s="1"/>
  <c r="J90" i="2"/>
  <c r="J111" i="2" s="1"/>
  <c r="D91" i="2"/>
  <c r="D112" i="2" s="1"/>
  <c r="E91" i="2"/>
  <c r="E112" i="2" s="1"/>
  <c r="F91" i="2"/>
  <c r="F112" i="2" s="1"/>
  <c r="G91" i="2"/>
  <c r="G112" i="2" s="1"/>
  <c r="H91" i="2"/>
  <c r="H112" i="2" s="1"/>
  <c r="I91" i="2"/>
  <c r="I112" i="2" s="1"/>
  <c r="J91" i="2"/>
  <c r="J112" i="2" s="1"/>
  <c r="D92" i="2"/>
  <c r="D113" i="2" s="1"/>
  <c r="E92" i="2"/>
  <c r="E113" i="2" s="1"/>
  <c r="F92" i="2"/>
  <c r="F113" i="2" s="1"/>
  <c r="G92" i="2"/>
  <c r="G113" i="2" s="1"/>
  <c r="H92" i="2"/>
  <c r="H113" i="2" s="1"/>
  <c r="I92" i="2"/>
  <c r="I113" i="2" s="1"/>
  <c r="J92" i="2"/>
  <c r="J113" i="2" s="1"/>
  <c r="D93" i="2"/>
  <c r="D114" i="2" s="1"/>
  <c r="E93" i="2"/>
  <c r="E114" i="2" s="1"/>
  <c r="F93" i="2"/>
  <c r="F114" i="2" s="1"/>
  <c r="G93" i="2"/>
  <c r="G114" i="2" s="1"/>
  <c r="H93" i="2"/>
  <c r="H114" i="2" s="1"/>
  <c r="I93" i="2"/>
  <c r="I114" i="2" s="1"/>
  <c r="J93" i="2"/>
  <c r="J114" i="2" s="1"/>
  <c r="D94" i="2"/>
  <c r="D115" i="2" s="1"/>
  <c r="E94" i="2"/>
  <c r="E115" i="2" s="1"/>
  <c r="F94" i="2"/>
  <c r="F115" i="2" s="1"/>
  <c r="G94" i="2"/>
  <c r="G115" i="2" s="1"/>
  <c r="H94" i="2"/>
  <c r="H115" i="2" s="1"/>
  <c r="I94" i="2"/>
  <c r="I115" i="2" s="1"/>
  <c r="J94" i="2"/>
  <c r="J115" i="2" s="1"/>
  <c r="D95" i="2"/>
  <c r="D116" i="2" s="1"/>
  <c r="E95" i="2"/>
  <c r="E116" i="2" s="1"/>
  <c r="F95" i="2"/>
  <c r="F116" i="2" s="1"/>
  <c r="G95" i="2"/>
  <c r="G116" i="2" s="1"/>
  <c r="H95" i="2"/>
  <c r="H116" i="2" s="1"/>
  <c r="I95" i="2"/>
  <c r="I116" i="2" s="1"/>
  <c r="J95" i="2"/>
  <c r="J116" i="2" s="1"/>
  <c r="D96" i="2"/>
  <c r="D117" i="2" s="1"/>
  <c r="E96" i="2"/>
  <c r="E117" i="2" s="1"/>
  <c r="F96" i="2"/>
  <c r="F117" i="2" s="1"/>
  <c r="G96" i="2"/>
  <c r="G117" i="2" s="1"/>
  <c r="H96" i="2"/>
  <c r="H117" i="2" s="1"/>
  <c r="I96" i="2"/>
  <c r="I117" i="2" s="1"/>
  <c r="J96" i="2"/>
  <c r="J117" i="2" s="1"/>
  <c r="D97" i="2"/>
  <c r="D118" i="2" s="1"/>
  <c r="E97" i="2"/>
  <c r="E118" i="2" s="1"/>
  <c r="F97" i="2"/>
  <c r="F118" i="2" s="1"/>
  <c r="G97" i="2"/>
  <c r="G118" i="2" s="1"/>
  <c r="H97" i="2"/>
  <c r="H118" i="2" s="1"/>
  <c r="I97" i="2"/>
  <c r="I118" i="2" s="1"/>
  <c r="J97" i="2"/>
  <c r="J118" i="2" s="1"/>
  <c r="D99" i="2"/>
  <c r="E99" i="2"/>
  <c r="F99" i="2"/>
  <c r="G99" i="2"/>
  <c r="H99" i="2"/>
  <c r="I99" i="2"/>
  <c r="J99" i="2"/>
  <c r="D100" i="2"/>
  <c r="E100" i="2"/>
  <c r="F100" i="2"/>
  <c r="G100" i="2"/>
  <c r="H100" i="2"/>
  <c r="I100" i="2"/>
  <c r="J100" i="2"/>
  <c r="C99" i="2"/>
  <c r="C85" i="2"/>
  <c r="C106" i="2" s="1"/>
  <c r="C84" i="2"/>
  <c r="C105" i="2" s="1"/>
  <c r="C100" i="2"/>
  <c r="C97" i="2"/>
  <c r="C118" i="2" s="1"/>
  <c r="C96" i="2"/>
  <c r="C117" i="2" s="1"/>
  <c r="C95" i="2"/>
  <c r="C116" i="2" s="1"/>
  <c r="C94" i="2"/>
  <c r="C115" i="2" s="1"/>
  <c r="C93" i="2"/>
  <c r="C114" i="2" s="1"/>
  <c r="C92" i="2"/>
  <c r="C113" i="2" s="1"/>
  <c r="C91" i="2"/>
  <c r="C112" i="2" s="1"/>
  <c r="C90" i="2"/>
  <c r="C111" i="2" s="1"/>
  <c r="C89" i="2"/>
  <c r="C110" i="2" s="1"/>
  <c r="C87" i="2"/>
  <c r="C108" i="2" s="1"/>
  <c r="C86" i="2"/>
  <c r="C107" i="2" s="1"/>
  <c r="J79" i="2"/>
  <c r="J80" i="2" s="1"/>
  <c r="I79" i="2"/>
  <c r="I80" i="2" s="1"/>
  <c r="H79" i="2"/>
  <c r="H80" i="2" s="1"/>
  <c r="G79" i="2"/>
  <c r="G80" i="2" s="1"/>
  <c r="F79" i="2"/>
  <c r="F80" i="2" s="1"/>
  <c r="E79" i="2"/>
  <c r="E80" i="2" s="1"/>
  <c r="D79" i="2"/>
  <c r="D80" i="2" s="1"/>
  <c r="C80" i="2"/>
  <c r="L15" i="23"/>
  <c r="L23" i="23"/>
  <c r="L12" i="23"/>
  <c r="L16" i="23" s="1"/>
  <c r="J68" i="2"/>
  <c r="I68" i="2"/>
  <c r="H68" i="2"/>
  <c r="G68" i="2"/>
  <c r="F68" i="2"/>
  <c r="E68" i="2"/>
  <c r="D68" i="2"/>
  <c r="C68" i="2"/>
  <c r="J59" i="2"/>
  <c r="J60" i="2" s="1"/>
  <c r="I59" i="2"/>
  <c r="I60" i="2" s="1"/>
  <c r="H59" i="2"/>
  <c r="H60" i="2" s="1"/>
  <c r="G59" i="2"/>
  <c r="G60" i="2" s="1"/>
  <c r="F59" i="2"/>
  <c r="F60" i="2" s="1"/>
  <c r="E59" i="2"/>
  <c r="E60" i="2" s="1"/>
  <c r="C59" i="2"/>
  <c r="C60" i="2" s="1"/>
  <c r="H14" i="23"/>
  <c r="H12" i="23"/>
  <c r="H11" i="23"/>
  <c r="H10" i="23"/>
  <c r="K90" i="2"/>
  <c r="K111" i="2" s="1"/>
  <c r="H21" i="23"/>
  <c r="H9" i="23"/>
  <c r="J43" i="2"/>
  <c r="G43" i="2"/>
  <c r="F43" i="2"/>
  <c r="C41" i="2"/>
  <c r="C43" i="2" s="1"/>
  <c r="J21" i="2"/>
  <c r="J25" i="2" s="1"/>
  <c r="I21" i="2"/>
  <c r="I25" i="2" s="1"/>
  <c r="H21" i="2"/>
  <c r="H25" i="2" s="1"/>
  <c r="G21" i="2"/>
  <c r="G25" i="2" s="1"/>
  <c r="F21" i="2"/>
  <c r="F25" i="2" s="1"/>
  <c r="E21" i="2"/>
  <c r="E25" i="2" s="1"/>
  <c r="D21" i="2"/>
  <c r="D25" i="2" s="1"/>
  <c r="C21" i="2"/>
  <c r="C25" i="2" s="1"/>
  <c r="H16" i="23" l="1"/>
  <c r="I119" i="2"/>
  <c r="E119" i="2"/>
  <c r="J119" i="2"/>
  <c r="F119" i="2"/>
  <c r="H119" i="2"/>
  <c r="D119" i="2"/>
  <c r="C119" i="2"/>
  <c r="G119" i="2"/>
  <c r="L90" i="2"/>
  <c r="J88" i="2"/>
  <c r="F88" i="2"/>
  <c r="D43" i="2"/>
  <c r="D88" i="2"/>
  <c r="H43" i="2"/>
  <c r="H88" i="2"/>
  <c r="E43" i="2"/>
  <c r="E88" i="2"/>
  <c r="I43" i="2"/>
  <c r="I88" i="2"/>
  <c r="K79" i="2"/>
  <c r="C88" i="2"/>
  <c r="G88" i="2"/>
  <c r="M77" i="2"/>
  <c r="M15" i="23" s="1"/>
  <c r="M73" i="2"/>
  <c r="M75" i="2"/>
  <c r="M12" i="23" s="1"/>
  <c r="L74" i="2"/>
  <c r="M24" i="23" s="1"/>
  <c r="M76" i="2"/>
  <c r="M23" i="23" s="1"/>
  <c r="M72" i="2"/>
  <c r="M64" i="2"/>
  <c r="K67" i="2"/>
  <c r="K68" i="2" s="1"/>
  <c r="M65" i="2"/>
  <c r="L66" i="2"/>
  <c r="K24" i="23" s="1"/>
  <c r="D59" i="2"/>
  <c r="D60" i="2" s="1"/>
  <c r="M52" i="2"/>
  <c r="I21" i="23" s="1"/>
  <c r="M57" i="2"/>
  <c r="I14" i="23" s="1"/>
  <c r="L51" i="2"/>
  <c r="I24" i="23" s="1"/>
  <c r="K43" i="2"/>
  <c r="M48" i="2"/>
  <c r="M50" i="2"/>
  <c r="M55" i="2"/>
  <c r="I11" i="23" s="1"/>
  <c r="K59" i="2"/>
  <c r="K60" i="2" s="1"/>
  <c r="M49" i="2"/>
  <c r="M54" i="2"/>
  <c r="I10" i="23" s="1"/>
  <c r="M56" i="2"/>
  <c r="I12" i="23" s="1"/>
  <c r="M47" i="2"/>
  <c r="I9" i="23" s="1"/>
  <c r="M34" i="2"/>
  <c r="J98" i="2" l="1"/>
  <c r="J101" i="2" s="1"/>
  <c r="J109" i="2"/>
  <c r="C98" i="2"/>
  <c r="C101" i="2" s="1"/>
  <c r="C109" i="2"/>
  <c r="E98" i="2"/>
  <c r="E101" i="2" s="1"/>
  <c r="E109" i="2"/>
  <c r="D98" i="2"/>
  <c r="D101" i="2" s="1"/>
  <c r="D109" i="2"/>
  <c r="G98" i="2"/>
  <c r="G101" i="2" s="1"/>
  <c r="G109" i="2"/>
  <c r="I98" i="2"/>
  <c r="I101" i="2" s="1"/>
  <c r="I109" i="2"/>
  <c r="H98" i="2"/>
  <c r="H101" i="2" s="1"/>
  <c r="H109" i="2"/>
  <c r="F98" i="2"/>
  <c r="F101" i="2" s="1"/>
  <c r="F109" i="2"/>
  <c r="N10" i="23"/>
  <c r="L111" i="2"/>
  <c r="L20" i="23"/>
  <c r="L24" i="23" s="1"/>
  <c r="L28" i="23" s="1"/>
  <c r="M90" i="2"/>
  <c r="O10" i="23" s="1"/>
  <c r="L67" i="2"/>
  <c r="L68" i="2" s="1"/>
  <c r="J20" i="23"/>
  <c r="J24" i="23" s="1"/>
  <c r="J28" i="23" s="1"/>
  <c r="L59" i="2"/>
  <c r="I20" i="23"/>
  <c r="H20" i="23"/>
  <c r="H24" i="23" s="1"/>
  <c r="H28" i="23" s="1"/>
  <c r="L79" i="2"/>
  <c r="K80" i="2"/>
  <c r="M74" i="2"/>
  <c r="M20" i="23" s="1"/>
  <c r="M66" i="2"/>
  <c r="M51" i="2"/>
  <c r="G120" i="2" l="1"/>
  <c r="G121" i="2" s="1"/>
  <c r="E120" i="2"/>
  <c r="E121" i="2" s="1"/>
  <c r="E129" i="2" s="1"/>
  <c r="H120" i="2"/>
  <c r="H121" i="2" s="1"/>
  <c r="F120" i="2"/>
  <c r="F121" i="2" s="1"/>
  <c r="I120" i="2"/>
  <c r="I121" i="2" s="1"/>
  <c r="I129" i="2" s="1"/>
  <c r="J120" i="2"/>
  <c r="J121" i="2" s="1"/>
  <c r="J129" i="2" s="1"/>
  <c r="D120" i="2"/>
  <c r="D121" i="2" s="1"/>
  <c r="C120" i="2"/>
  <c r="C121" i="2" s="1"/>
  <c r="C129" i="2" s="1"/>
  <c r="M111" i="2"/>
  <c r="M67" i="2"/>
  <c r="K20" i="23"/>
  <c r="L60" i="2"/>
  <c r="M59" i="2"/>
  <c r="L80" i="2"/>
  <c r="M80" i="2" s="1"/>
  <c r="D20" i="30" s="1"/>
  <c r="M79" i="2"/>
  <c r="M68" i="2"/>
  <c r="D19" i="30" s="1"/>
  <c r="F134" i="2" l="1"/>
  <c r="F138" i="2"/>
  <c r="F125" i="2"/>
  <c r="F131" i="2"/>
  <c r="F127" i="2"/>
  <c r="F137" i="2"/>
  <c r="F128" i="2"/>
  <c r="F130" i="2"/>
  <c r="F135" i="2"/>
  <c r="F126" i="2"/>
  <c r="F132" i="2"/>
  <c r="F133" i="2"/>
  <c r="F129" i="2"/>
  <c r="E134" i="2"/>
  <c r="E131" i="2"/>
  <c r="E132" i="2"/>
  <c r="E135" i="2"/>
  <c r="E126" i="2"/>
  <c r="E137" i="2"/>
  <c r="E138" i="2"/>
  <c r="E125" i="2"/>
  <c r="E133" i="2"/>
  <c r="E128" i="2"/>
  <c r="E130" i="2"/>
  <c r="E127" i="2"/>
  <c r="J131" i="2"/>
  <c r="J125" i="2"/>
  <c r="J132" i="2"/>
  <c r="J127" i="2"/>
  <c r="J137" i="2"/>
  <c r="J128" i="2"/>
  <c r="J126" i="2"/>
  <c r="J138" i="2"/>
  <c r="J135" i="2"/>
  <c r="J134" i="2"/>
  <c r="J133" i="2"/>
  <c r="J130" i="2"/>
  <c r="D127" i="2"/>
  <c r="D137" i="2"/>
  <c r="D138" i="2"/>
  <c r="D132" i="2"/>
  <c r="D128" i="2"/>
  <c r="D134" i="2"/>
  <c r="D126" i="2"/>
  <c r="D133" i="2"/>
  <c r="D130" i="2"/>
  <c r="D131" i="2"/>
  <c r="D125" i="2"/>
  <c r="D135" i="2"/>
  <c r="H128" i="2"/>
  <c r="H134" i="2"/>
  <c r="H127" i="2"/>
  <c r="H137" i="2"/>
  <c r="H138" i="2"/>
  <c r="H133" i="2"/>
  <c r="H130" i="2"/>
  <c r="H125" i="2"/>
  <c r="H132" i="2"/>
  <c r="H131" i="2"/>
  <c r="H126" i="2"/>
  <c r="H135" i="2"/>
  <c r="G134" i="2"/>
  <c r="G138" i="2"/>
  <c r="G130" i="2"/>
  <c r="G137" i="2"/>
  <c r="G125" i="2"/>
  <c r="G127" i="2"/>
  <c r="G133" i="2"/>
  <c r="G131" i="2"/>
  <c r="G126" i="2"/>
  <c r="G135" i="2"/>
  <c r="G132" i="2"/>
  <c r="G128" i="2"/>
  <c r="C133" i="2"/>
  <c r="C138" i="2"/>
  <c r="C128" i="2"/>
  <c r="C132" i="2"/>
  <c r="C137" i="2"/>
  <c r="C131" i="2"/>
  <c r="C127" i="2"/>
  <c r="C130" i="2"/>
  <c r="C135" i="2"/>
  <c r="C126" i="2"/>
  <c r="C125" i="2"/>
  <c r="C134" i="2"/>
  <c r="D129" i="2"/>
  <c r="I125" i="2"/>
  <c r="I133" i="2"/>
  <c r="I137" i="2"/>
  <c r="I138" i="2"/>
  <c r="I132" i="2"/>
  <c r="I130" i="2"/>
  <c r="I135" i="2"/>
  <c r="I126" i="2"/>
  <c r="I127" i="2"/>
  <c r="I134" i="2"/>
  <c r="I131" i="2"/>
  <c r="I128" i="2"/>
  <c r="H129" i="2"/>
  <c r="G129" i="2"/>
  <c r="M60" i="2"/>
  <c r="K28" i="23"/>
  <c r="K12" i="25"/>
  <c r="M28" i="23"/>
  <c r="L12" i="25"/>
  <c r="K100" i="2"/>
  <c r="K99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J12" i="25" l="1"/>
  <c r="D18" i="30"/>
  <c r="I28" i="23"/>
  <c r="I147" i="2"/>
  <c r="I136" i="2"/>
  <c r="I140" i="2" s="1"/>
  <c r="J139" i="2"/>
  <c r="J147" i="2"/>
  <c r="J136" i="2"/>
  <c r="J140" i="2" s="1"/>
  <c r="J141" i="2" s="1"/>
  <c r="F139" i="2"/>
  <c r="F147" i="2"/>
  <c r="F136" i="2"/>
  <c r="F140" i="2" s="1"/>
  <c r="F141" i="2" s="1"/>
  <c r="C147" i="2"/>
  <c r="C139" i="2"/>
  <c r="C136" i="2"/>
  <c r="C148" i="2" s="1"/>
  <c r="I139" i="2"/>
  <c r="G136" i="2"/>
  <c r="G140" i="2" s="1"/>
  <c r="G139" i="2"/>
  <c r="G147" i="2"/>
  <c r="D147" i="2"/>
  <c r="D139" i="2"/>
  <c r="D136" i="2"/>
  <c r="D140" i="2" s="1"/>
  <c r="H147" i="2"/>
  <c r="H136" i="2"/>
  <c r="H148" i="2" s="1"/>
  <c r="H139" i="2"/>
  <c r="E147" i="2"/>
  <c r="E136" i="2"/>
  <c r="E140" i="2" s="1"/>
  <c r="E139" i="2"/>
  <c r="M24" i="2"/>
  <c r="E27" i="23" s="1"/>
  <c r="K88" i="2"/>
  <c r="K109" i="2" s="1"/>
  <c r="K186" i="2"/>
  <c r="M186" i="2" s="1"/>
  <c r="K95" i="2"/>
  <c r="K116" i="2" s="1"/>
  <c r="K192" i="2"/>
  <c r="M192" i="2" s="1"/>
  <c r="K85" i="2"/>
  <c r="K106" i="2" s="1"/>
  <c r="K183" i="2"/>
  <c r="M183" i="2" s="1"/>
  <c r="K87" i="2"/>
  <c r="K108" i="2" s="1"/>
  <c r="K185" i="2"/>
  <c r="M185" i="2" s="1"/>
  <c r="K89" i="2"/>
  <c r="K110" i="2" s="1"/>
  <c r="K187" i="2"/>
  <c r="M187" i="2" s="1"/>
  <c r="K92" i="2"/>
  <c r="K113" i="2" s="1"/>
  <c r="K189" i="2"/>
  <c r="M189" i="2" s="1"/>
  <c r="K94" i="2"/>
  <c r="K115" i="2" s="1"/>
  <c r="K191" i="2"/>
  <c r="M191" i="2" s="1"/>
  <c r="K96" i="2"/>
  <c r="K117" i="2" s="1"/>
  <c r="K193" i="2"/>
  <c r="M193" i="2" s="1"/>
  <c r="K84" i="2"/>
  <c r="K105" i="2" s="1"/>
  <c r="K182" i="2"/>
  <c r="M182" i="2" s="1"/>
  <c r="K86" i="2"/>
  <c r="K107" i="2" s="1"/>
  <c r="K184" i="2"/>
  <c r="M184" i="2" s="1"/>
  <c r="K91" i="2"/>
  <c r="K112" i="2" s="1"/>
  <c r="K188" i="2"/>
  <c r="M188" i="2" s="1"/>
  <c r="K93" i="2"/>
  <c r="K114" i="2" s="1"/>
  <c r="K190" i="2"/>
  <c r="M190" i="2" s="1"/>
  <c r="K97" i="2"/>
  <c r="K118" i="2" s="1"/>
  <c r="K194" i="2"/>
  <c r="M194" i="2" s="1"/>
  <c r="D26" i="23"/>
  <c r="L22" i="26"/>
  <c r="D9" i="23"/>
  <c r="D16" i="23" s="1"/>
  <c r="L84" i="2"/>
  <c r="D18" i="23"/>
  <c r="L86" i="2"/>
  <c r="L107" i="2" s="1"/>
  <c r="D20" i="23"/>
  <c r="D11" i="23"/>
  <c r="D13" i="23"/>
  <c r="L93" i="2"/>
  <c r="L114" i="2" s="1"/>
  <c r="D22" i="23"/>
  <c r="D15" i="23"/>
  <c r="L85" i="2"/>
  <c r="D17" i="23"/>
  <c r="D19" i="23"/>
  <c r="D21" i="23"/>
  <c r="D12" i="23"/>
  <c r="D14" i="23"/>
  <c r="D23" i="23"/>
  <c r="L99" i="2"/>
  <c r="D25" i="23"/>
  <c r="D27" i="23"/>
  <c r="L100" i="2"/>
  <c r="M9" i="2"/>
  <c r="E17" i="23" s="1"/>
  <c r="M11" i="2"/>
  <c r="E19" i="23" s="1"/>
  <c r="M8" i="2"/>
  <c r="E9" i="23" s="1"/>
  <c r="M10" i="2"/>
  <c r="E18" i="23" s="1"/>
  <c r="M14" i="2"/>
  <c r="E11" i="23" s="1"/>
  <c r="M18" i="2"/>
  <c r="E22" i="23" s="1"/>
  <c r="M23" i="2"/>
  <c r="M16" i="2"/>
  <c r="E13" i="23" s="1"/>
  <c r="M20" i="2"/>
  <c r="E15" i="23" s="1"/>
  <c r="M13" i="2"/>
  <c r="E21" i="23" s="1"/>
  <c r="M15" i="2"/>
  <c r="E12" i="23" s="1"/>
  <c r="M17" i="2"/>
  <c r="E14" i="23" s="1"/>
  <c r="M19" i="2"/>
  <c r="E23" i="23" s="1"/>
  <c r="M22" i="2"/>
  <c r="E25" i="23" s="1"/>
  <c r="K21" i="2"/>
  <c r="L21" i="2"/>
  <c r="I6" i="26" s="1"/>
  <c r="D57" i="30" l="1"/>
  <c r="L27" i="29"/>
  <c r="L105" i="2"/>
  <c r="M105" i="2" s="1"/>
  <c r="D28" i="23"/>
  <c r="D24" i="23"/>
  <c r="L106" i="2"/>
  <c r="M106" i="2" s="1"/>
  <c r="G148" i="2"/>
  <c r="D141" i="2"/>
  <c r="G141" i="2"/>
  <c r="E148" i="2"/>
  <c r="J148" i="2"/>
  <c r="I148" i="2"/>
  <c r="L27" i="26"/>
  <c r="H140" i="2"/>
  <c r="H141" i="2" s="1"/>
  <c r="C140" i="2"/>
  <c r="C141" i="2" s="1"/>
  <c r="D148" i="2"/>
  <c r="I141" i="2"/>
  <c r="E141" i="2"/>
  <c r="F148" i="2"/>
  <c r="K119" i="2"/>
  <c r="K120" i="2"/>
  <c r="M114" i="2"/>
  <c r="M107" i="2"/>
  <c r="K98" i="2"/>
  <c r="K25" i="2"/>
  <c r="I13" i="26"/>
  <c r="E26" i="23"/>
  <c r="N25" i="23"/>
  <c r="M99" i="2"/>
  <c r="O25" i="23" s="1"/>
  <c r="N17" i="23"/>
  <c r="M85" i="2"/>
  <c r="O17" i="23" s="1"/>
  <c r="N18" i="23"/>
  <c r="M86" i="2"/>
  <c r="O18" i="23" s="1"/>
  <c r="N27" i="23"/>
  <c r="M100" i="2"/>
  <c r="O27" i="23" s="1"/>
  <c r="N13" i="23"/>
  <c r="M93" i="2"/>
  <c r="O13" i="23" s="1"/>
  <c r="N9" i="23"/>
  <c r="M84" i="2"/>
  <c r="O9" i="23" s="1"/>
  <c r="L25" i="2"/>
  <c r="M21" i="2"/>
  <c r="D368" i="2"/>
  <c r="M25" i="2" l="1"/>
  <c r="D6" i="30"/>
  <c r="E26" i="30"/>
  <c r="D369" i="2"/>
  <c r="K121" i="2"/>
  <c r="K101" i="2"/>
  <c r="C8" i="25"/>
  <c r="D7" i="30" l="1"/>
  <c r="C11" i="25"/>
  <c r="K131" i="2"/>
  <c r="K137" i="2"/>
  <c r="K125" i="2"/>
  <c r="K126" i="2"/>
  <c r="K133" i="2"/>
  <c r="K138" i="2"/>
  <c r="K135" i="2"/>
  <c r="K129" i="2"/>
  <c r="K134" i="2"/>
  <c r="K128" i="2"/>
  <c r="K132" i="2"/>
  <c r="K130" i="2"/>
  <c r="K127" i="2"/>
  <c r="E28" i="23"/>
  <c r="I14" i="29" l="1"/>
  <c r="E32" i="30"/>
  <c r="E29" i="30"/>
  <c r="E14" i="29"/>
  <c r="E35" i="30"/>
  <c r="L14" i="29"/>
  <c r="E33" i="30"/>
  <c r="J14" i="29"/>
  <c r="E37" i="30"/>
  <c r="N14" i="29"/>
  <c r="E30" i="30"/>
  <c r="F14" i="29"/>
  <c r="E31" i="30"/>
  <c r="G14" i="29"/>
  <c r="E34" i="30"/>
  <c r="K14" i="29"/>
  <c r="E28" i="30"/>
  <c r="D14" i="29"/>
  <c r="E27" i="30"/>
  <c r="C14" i="29"/>
  <c r="K147" i="2"/>
  <c r="K139" i="2"/>
  <c r="K136" i="2"/>
  <c r="M235" i="2"/>
  <c r="M239" i="2"/>
  <c r="M236" i="2"/>
  <c r="M237" i="2"/>
  <c r="M238" i="2"/>
  <c r="M232" i="2"/>
  <c r="M230" i="2"/>
  <c r="M229" i="2"/>
  <c r="M228" i="2"/>
  <c r="M14" i="29" l="1"/>
  <c r="E36" i="30"/>
  <c r="C27" i="29"/>
  <c r="E44" i="30"/>
  <c r="F27" i="29"/>
  <c r="E48" i="30"/>
  <c r="K140" i="2"/>
  <c r="K141" i="2" s="1"/>
  <c r="K148" i="2"/>
  <c r="N366" i="2" l="1"/>
  <c r="M368" i="2"/>
  <c r="M369" i="2" s="1"/>
  <c r="N365" i="2"/>
  <c r="N363" i="2"/>
  <c r="O22" i="26" l="1"/>
  <c r="N367" i="2"/>
  <c r="N368" i="2" s="1"/>
  <c r="N369" i="2" s="1"/>
  <c r="O24" i="26" l="1"/>
  <c r="P24" i="29"/>
  <c r="M351" i="2"/>
  <c r="M352" i="2"/>
  <c r="M353" i="2"/>
  <c r="M350" i="2"/>
  <c r="M346" i="2"/>
  <c r="M347" i="2"/>
  <c r="M348" i="2"/>
  <c r="M345" i="2"/>
  <c r="C358" i="2" l="1"/>
  <c r="C357" i="2"/>
  <c r="C356" i="2"/>
  <c r="C355" i="2"/>
  <c r="C354" i="2"/>
  <c r="C349" i="2"/>
  <c r="E354" i="2"/>
  <c r="F354" i="2"/>
  <c r="G354" i="2"/>
  <c r="H354" i="2"/>
  <c r="I354" i="2"/>
  <c r="J354" i="2"/>
  <c r="K354" i="2"/>
  <c r="L354" i="2"/>
  <c r="E355" i="2"/>
  <c r="F355" i="2"/>
  <c r="G355" i="2"/>
  <c r="H355" i="2"/>
  <c r="I355" i="2"/>
  <c r="J355" i="2"/>
  <c r="K355" i="2"/>
  <c r="L355" i="2"/>
  <c r="E356" i="2"/>
  <c r="F356" i="2"/>
  <c r="G356" i="2"/>
  <c r="H356" i="2"/>
  <c r="I356" i="2"/>
  <c r="J356" i="2"/>
  <c r="K356" i="2"/>
  <c r="L356" i="2"/>
  <c r="E357" i="2"/>
  <c r="F357" i="2"/>
  <c r="G357" i="2"/>
  <c r="H357" i="2"/>
  <c r="I357" i="2"/>
  <c r="J357" i="2"/>
  <c r="K357" i="2"/>
  <c r="L357" i="2"/>
  <c r="E358" i="2"/>
  <c r="F358" i="2"/>
  <c r="G358" i="2"/>
  <c r="H358" i="2"/>
  <c r="H359" i="2" s="1"/>
  <c r="I358" i="2"/>
  <c r="J358" i="2"/>
  <c r="K358" i="2"/>
  <c r="L358" i="2"/>
  <c r="E359" i="2"/>
  <c r="F359" i="2"/>
  <c r="G359" i="2"/>
  <c r="E349" i="2"/>
  <c r="F349" i="2"/>
  <c r="G349" i="2"/>
  <c r="H349" i="2"/>
  <c r="I349" i="2"/>
  <c r="J349" i="2"/>
  <c r="K349" i="2"/>
  <c r="L349" i="2"/>
  <c r="D358" i="2"/>
  <c r="D356" i="2"/>
  <c r="D357" i="2"/>
  <c r="D355" i="2"/>
  <c r="D354" i="2"/>
  <c r="D349" i="2"/>
  <c r="D52" i="30" l="1"/>
  <c r="I24" i="29"/>
  <c r="D51" i="30"/>
  <c r="I22" i="29"/>
  <c r="K359" i="2"/>
  <c r="M358" i="2"/>
  <c r="M357" i="2"/>
  <c r="M356" i="2"/>
  <c r="M355" i="2"/>
  <c r="I22" i="26"/>
  <c r="M349" i="2"/>
  <c r="I24" i="26"/>
  <c r="M354" i="2"/>
  <c r="I359" i="2"/>
  <c r="D359" i="2"/>
  <c r="J359" i="2"/>
  <c r="C359" i="2"/>
  <c r="L359" i="2"/>
  <c r="D53" i="30" l="1"/>
  <c r="I26" i="29"/>
  <c r="I27" i="26"/>
  <c r="I26" i="26"/>
  <c r="M359" i="2"/>
  <c r="K242" i="2"/>
  <c r="J242" i="2"/>
  <c r="I242" i="2"/>
  <c r="H242" i="2"/>
  <c r="G242" i="2"/>
  <c r="F242" i="2"/>
  <c r="E242" i="2"/>
  <c r="D242" i="2"/>
  <c r="C242" i="2"/>
  <c r="D327" i="2" l="1"/>
  <c r="D331" i="2"/>
  <c r="D328" i="2"/>
  <c r="D332" i="2"/>
  <c r="D330" i="2"/>
  <c r="D325" i="2"/>
  <c r="D333" i="2"/>
  <c r="D326" i="2"/>
  <c r="D324" i="2"/>
  <c r="D329" i="2"/>
  <c r="H324" i="2"/>
  <c r="H328" i="2"/>
  <c r="H332" i="2"/>
  <c r="H325" i="2"/>
  <c r="H329" i="2"/>
  <c r="H333" i="2"/>
  <c r="H326" i="2"/>
  <c r="H330" i="2"/>
  <c r="H335" i="2"/>
  <c r="H327" i="2"/>
  <c r="H331" i="2"/>
  <c r="H336" i="2"/>
  <c r="E327" i="2"/>
  <c r="E331" i="2"/>
  <c r="E328" i="2"/>
  <c r="E332" i="2"/>
  <c r="E325" i="2"/>
  <c r="E329" i="2"/>
  <c r="E333" i="2"/>
  <c r="E326" i="2"/>
  <c r="E330" i="2"/>
  <c r="E324" i="2"/>
  <c r="I325" i="2"/>
  <c r="I329" i="2"/>
  <c r="I333" i="2"/>
  <c r="I326" i="2"/>
  <c r="I330" i="2"/>
  <c r="I335" i="2"/>
  <c r="I327" i="2"/>
  <c r="I331" i="2"/>
  <c r="I336" i="2"/>
  <c r="I324" i="2"/>
  <c r="I328" i="2"/>
  <c r="I332" i="2"/>
  <c r="F327" i="2"/>
  <c r="F331" i="2"/>
  <c r="F328" i="2"/>
  <c r="F332" i="2"/>
  <c r="F325" i="2"/>
  <c r="F329" i="2"/>
  <c r="F333" i="2"/>
  <c r="F330" i="2"/>
  <c r="F324" i="2"/>
  <c r="F326" i="2"/>
  <c r="J325" i="2"/>
  <c r="J329" i="2"/>
  <c r="J333" i="2"/>
  <c r="J326" i="2"/>
  <c r="J330" i="2"/>
  <c r="J335" i="2"/>
  <c r="J327" i="2"/>
  <c r="J331" i="2"/>
  <c r="J336" i="2"/>
  <c r="J332" i="2"/>
  <c r="J324" i="2"/>
  <c r="J328" i="2"/>
  <c r="C325" i="2"/>
  <c r="C329" i="2"/>
  <c r="C333" i="2"/>
  <c r="C326" i="2"/>
  <c r="C330" i="2"/>
  <c r="C332" i="2"/>
  <c r="C327" i="2"/>
  <c r="C328" i="2"/>
  <c r="C331" i="2"/>
  <c r="G327" i="2"/>
  <c r="G331" i="2"/>
  <c r="G328" i="2"/>
  <c r="G332" i="2"/>
  <c r="G325" i="2"/>
  <c r="G329" i="2"/>
  <c r="G333" i="2"/>
  <c r="G324" i="2"/>
  <c r="G326" i="2"/>
  <c r="G330" i="2"/>
  <c r="K325" i="2"/>
  <c r="K329" i="2"/>
  <c r="K333" i="2"/>
  <c r="K326" i="2"/>
  <c r="K330" i="2"/>
  <c r="K335" i="2"/>
  <c r="K327" i="2"/>
  <c r="K331" i="2"/>
  <c r="K336" i="2"/>
  <c r="K328" i="2"/>
  <c r="K332" i="2"/>
  <c r="K324" i="2"/>
  <c r="G12" i="25"/>
  <c r="E12" i="25"/>
  <c r="G8" i="25"/>
  <c r="K334" i="2" l="1"/>
  <c r="I334" i="2"/>
  <c r="J334" i="2"/>
  <c r="F334" i="2"/>
  <c r="D334" i="2"/>
  <c r="G334" i="2"/>
  <c r="C334" i="2"/>
  <c r="C338" i="2" s="1"/>
  <c r="C337" i="2"/>
  <c r="E334" i="2"/>
  <c r="H334" i="2"/>
  <c r="C339" i="2" l="1"/>
  <c r="G196" i="2" l="1"/>
  <c r="F196" i="2"/>
  <c r="E196" i="2"/>
  <c r="D196" i="2"/>
  <c r="C196" i="2"/>
  <c r="G195" i="2"/>
  <c r="F195" i="2"/>
  <c r="E195" i="2"/>
  <c r="D195" i="2"/>
  <c r="C195" i="2"/>
  <c r="C197" i="2" l="1"/>
  <c r="G197" i="2"/>
  <c r="F197" i="2"/>
  <c r="D197" i="2"/>
  <c r="E197" i="2"/>
  <c r="G207" i="2" l="1"/>
  <c r="D210" i="2"/>
  <c r="F208" i="2"/>
  <c r="C213" i="2"/>
  <c r="C212" i="2"/>
  <c r="C207" i="2"/>
  <c r="D213" i="2"/>
  <c r="D212" i="2"/>
  <c r="G203" i="2"/>
  <c r="F206" i="2"/>
  <c r="G201" i="2"/>
  <c r="G208" i="2"/>
  <c r="F203" i="2"/>
  <c r="F205" i="2"/>
  <c r="F201" i="2"/>
  <c r="F204" i="2"/>
  <c r="G210" i="2"/>
  <c r="G209" i="2"/>
  <c r="G204" i="2"/>
  <c r="G206" i="2"/>
  <c r="G205" i="2"/>
  <c r="G212" i="2"/>
  <c r="C203" i="2"/>
  <c r="G202" i="2"/>
  <c r="G213" i="2"/>
  <c r="D204" i="2"/>
  <c r="D206" i="2"/>
  <c r="C201" i="2"/>
  <c r="C205" i="2"/>
  <c r="C208" i="2"/>
  <c r="C206" i="2"/>
  <c r="C210" i="2"/>
  <c r="C209" i="2"/>
  <c r="C204" i="2"/>
  <c r="F212" i="2"/>
  <c r="F209" i="2"/>
  <c r="C202" i="2"/>
  <c r="F210" i="2"/>
  <c r="F213" i="2"/>
  <c r="D209" i="2"/>
  <c r="D203" i="2"/>
  <c r="F207" i="2"/>
  <c r="F202" i="2"/>
  <c r="D208" i="2"/>
  <c r="D207" i="2"/>
  <c r="D202" i="2"/>
  <c r="D205" i="2"/>
  <c r="D201" i="2"/>
  <c r="E205" i="2"/>
  <c r="E209" i="2"/>
  <c r="E201" i="2"/>
  <c r="E202" i="2"/>
  <c r="E206" i="2"/>
  <c r="E210" i="2"/>
  <c r="E203" i="2"/>
  <c r="E207" i="2"/>
  <c r="E212" i="2"/>
  <c r="E204" i="2"/>
  <c r="E208" i="2"/>
  <c r="E213" i="2"/>
  <c r="F338" i="2" l="1"/>
  <c r="D338" i="2"/>
  <c r="D337" i="2"/>
  <c r="E337" i="2"/>
  <c r="E338" i="2"/>
  <c r="G337" i="2"/>
  <c r="G338" i="2"/>
  <c r="F337" i="2"/>
  <c r="G214" i="2"/>
  <c r="G211" i="2"/>
  <c r="G223" i="2" s="1"/>
  <c r="F214" i="2"/>
  <c r="G222" i="2"/>
  <c r="C222" i="2"/>
  <c r="C211" i="2"/>
  <c r="C215" i="2" s="1"/>
  <c r="D222" i="2"/>
  <c r="C214" i="2"/>
  <c r="F222" i="2"/>
  <c r="D214" i="2"/>
  <c r="F211" i="2"/>
  <c r="D211" i="2"/>
  <c r="D215" i="2" s="1"/>
  <c r="E222" i="2"/>
  <c r="E211" i="2"/>
  <c r="E223" i="2" s="1"/>
  <c r="E214" i="2"/>
  <c r="F339" i="2" l="1"/>
  <c r="E339" i="2"/>
  <c r="D339" i="2"/>
  <c r="G339" i="2"/>
  <c r="G215" i="2"/>
  <c r="G216" i="2" s="1"/>
  <c r="C223" i="2"/>
  <c r="D216" i="2"/>
  <c r="C216" i="2"/>
  <c r="D223" i="2"/>
  <c r="F215" i="2"/>
  <c r="F216" i="2" s="1"/>
  <c r="F223" i="2"/>
  <c r="E215" i="2"/>
  <c r="E216" i="2" s="1"/>
  <c r="I195" i="2" l="1"/>
  <c r="J195" i="2"/>
  <c r="K195" i="2"/>
  <c r="L195" i="2"/>
  <c r="C22" i="26" s="1"/>
  <c r="I196" i="2"/>
  <c r="I197" i="2" s="1"/>
  <c r="J196" i="2"/>
  <c r="K196" i="2"/>
  <c r="L196" i="2"/>
  <c r="H196" i="2"/>
  <c r="H195" i="2"/>
  <c r="M196" i="2" l="1"/>
  <c r="M195" i="2"/>
  <c r="I202" i="2"/>
  <c r="K197" i="2"/>
  <c r="J197" i="2"/>
  <c r="H197" i="2"/>
  <c r="I207" i="2"/>
  <c r="I201" i="2"/>
  <c r="I205" i="2"/>
  <c r="I212" i="2"/>
  <c r="I203" i="2"/>
  <c r="I209" i="2"/>
  <c r="L197" i="2"/>
  <c r="I213" i="2"/>
  <c r="I208" i="2"/>
  <c r="I204" i="2"/>
  <c r="I210" i="2"/>
  <c r="I206" i="2"/>
  <c r="M197" i="2" l="1"/>
  <c r="J202" i="2"/>
  <c r="H203" i="2"/>
  <c r="I337" i="2"/>
  <c r="I338" i="2"/>
  <c r="L201" i="2"/>
  <c r="K202" i="2"/>
  <c r="H204" i="2"/>
  <c r="H210" i="2"/>
  <c r="H206" i="2"/>
  <c r="H213" i="2"/>
  <c r="J210" i="2"/>
  <c r="J208" i="2"/>
  <c r="J209" i="2"/>
  <c r="K210" i="2"/>
  <c r="H209" i="2"/>
  <c r="H212" i="2"/>
  <c r="H202" i="2"/>
  <c r="J207" i="2"/>
  <c r="H205" i="2"/>
  <c r="H207" i="2"/>
  <c r="K203" i="2"/>
  <c r="H201" i="2"/>
  <c r="H208" i="2"/>
  <c r="K204" i="2"/>
  <c r="K207" i="2"/>
  <c r="K209" i="2"/>
  <c r="K208" i="2"/>
  <c r="K205" i="2"/>
  <c r="K206" i="2"/>
  <c r="K213" i="2"/>
  <c r="K201" i="2"/>
  <c r="K212" i="2"/>
  <c r="J212" i="2"/>
  <c r="J204" i="2"/>
  <c r="J201" i="2"/>
  <c r="J206" i="2"/>
  <c r="J203" i="2"/>
  <c r="J213" i="2"/>
  <c r="J205" i="2"/>
  <c r="I214" i="2"/>
  <c r="I222" i="2"/>
  <c r="I211" i="2"/>
  <c r="I215" i="2" s="1"/>
  <c r="L202" i="2"/>
  <c r="L206" i="2"/>
  <c r="L210" i="2"/>
  <c r="L203" i="2"/>
  <c r="L207" i="2"/>
  <c r="L212" i="2"/>
  <c r="L204" i="2"/>
  <c r="L208" i="2"/>
  <c r="L213" i="2"/>
  <c r="L205" i="2"/>
  <c r="L209" i="2"/>
  <c r="F10" i="26" l="1"/>
  <c r="D10" i="26"/>
  <c r="E14" i="26"/>
  <c r="E10" i="26"/>
  <c r="I10" i="26"/>
  <c r="F14" i="26"/>
  <c r="J10" i="26"/>
  <c r="K14" i="26"/>
  <c r="D14" i="26"/>
  <c r="I14" i="26"/>
  <c r="C10" i="26"/>
  <c r="K10" i="26"/>
  <c r="I339" i="2"/>
  <c r="H338" i="2"/>
  <c r="H337" i="2"/>
  <c r="J337" i="2"/>
  <c r="J338" i="2"/>
  <c r="M14" i="26"/>
  <c r="K338" i="2"/>
  <c r="K337" i="2"/>
  <c r="C14" i="26"/>
  <c r="K222" i="2"/>
  <c r="J211" i="2"/>
  <c r="J215" i="2" s="1"/>
  <c r="G14" i="26"/>
  <c r="J214" i="2"/>
  <c r="H211" i="2"/>
  <c r="H215" i="2" s="1"/>
  <c r="H214" i="2"/>
  <c r="M10" i="26"/>
  <c r="K214" i="2"/>
  <c r="H222" i="2"/>
  <c r="G10" i="26"/>
  <c r="K211" i="2"/>
  <c r="J14" i="26"/>
  <c r="J222" i="2"/>
  <c r="I223" i="2"/>
  <c r="L222" i="2"/>
  <c r="F24" i="26" s="1"/>
  <c r="I216" i="2"/>
  <c r="L211" i="2"/>
  <c r="L214" i="2"/>
  <c r="C24" i="26" s="1"/>
  <c r="C27" i="26" l="1"/>
  <c r="K223" i="2"/>
  <c r="F27" i="26"/>
  <c r="J339" i="2"/>
  <c r="H339" i="2"/>
  <c r="K339" i="2"/>
  <c r="J223" i="2"/>
  <c r="J216" i="2"/>
  <c r="H223" i="2"/>
  <c r="H216" i="2"/>
  <c r="L215" i="2"/>
  <c r="L216" i="2" s="1"/>
  <c r="L10" i="26"/>
  <c r="K215" i="2"/>
  <c r="K216" i="2" s="1"/>
  <c r="L14" i="26"/>
  <c r="L223" i="2"/>
  <c r="M233" i="2" l="1"/>
  <c r="M234" i="2"/>
  <c r="M227" i="2"/>
  <c r="L242" i="2" l="1"/>
  <c r="L336" i="2" l="1"/>
  <c r="L328" i="2"/>
  <c r="L332" i="2"/>
  <c r="L325" i="2"/>
  <c r="L329" i="2"/>
  <c r="L333" i="2"/>
  <c r="L326" i="2"/>
  <c r="L330" i="2"/>
  <c r="L335" i="2"/>
  <c r="L327" i="2"/>
  <c r="L331" i="2"/>
  <c r="L324" i="2"/>
  <c r="M242" i="2"/>
  <c r="L334" i="2" l="1"/>
  <c r="L338" i="2" s="1"/>
  <c r="F26" i="23"/>
  <c r="M42" i="2"/>
  <c r="G26" i="23" s="1"/>
  <c r="L339" i="2" l="1"/>
  <c r="F11" i="23"/>
  <c r="M35" i="2"/>
  <c r="G11" i="23" s="1"/>
  <c r="L91" i="2"/>
  <c r="M31" i="2"/>
  <c r="L112" i="2" l="1"/>
  <c r="M112" i="2"/>
  <c r="F12" i="23"/>
  <c r="M36" i="2"/>
  <c r="G12" i="23" s="1"/>
  <c r="L92" i="2"/>
  <c r="L113" i="2" s="1"/>
  <c r="F23" i="23"/>
  <c r="M39" i="2"/>
  <c r="G23" i="23" s="1"/>
  <c r="L96" i="2"/>
  <c r="L117" i="2" s="1"/>
  <c r="F15" i="23"/>
  <c r="M40" i="2"/>
  <c r="G15" i="23" s="1"/>
  <c r="L97" i="2"/>
  <c r="L118" i="2" s="1"/>
  <c r="F22" i="23"/>
  <c r="M38" i="2"/>
  <c r="G22" i="23" s="1"/>
  <c r="L95" i="2"/>
  <c r="L116" i="2" s="1"/>
  <c r="M116" i="2" s="1"/>
  <c r="L32" i="2"/>
  <c r="G24" i="23" s="1"/>
  <c r="M30" i="2"/>
  <c r="F14" i="23"/>
  <c r="F16" i="23" s="1"/>
  <c r="M37" i="2"/>
  <c r="G14" i="23" s="1"/>
  <c r="L94" i="2"/>
  <c r="L115" i="2" s="1"/>
  <c r="F19" i="23"/>
  <c r="M29" i="2"/>
  <c r="G19" i="23" s="1"/>
  <c r="L87" i="2"/>
  <c r="N11" i="23"/>
  <c r="M91" i="2"/>
  <c r="O11" i="23" s="1"/>
  <c r="F21" i="23"/>
  <c r="M33" i="2"/>
  <c r="G21" i="23" s="1"/>
  <c r="L89" i="2"/>
  <c r="L110" i="2" s="1"/>
  <c r="L108" i="2" l="1"/>
  <c r="M108" i="2" s="1"/>
  <c r="O16" i="23"/>
  <c r="L119" i="2"/>
  <c r="M110" i="2"/>
  <c r="M115" i="2"/>
  <c r="M118" i="2"/>
  <c r="M113" i="2"/>
  <c r="M117" i="2"/>
  <c r="L41" i="2"/>
  <c r="M41" i="2" s="1"/>
  <c r="N22" i="23"/>
  <c r="M95" i="2"/>
  <c r="O22" i="23" s="1"/>
  <c r="M89" i="2"/>
  <c r="O21" i="23" s="1"/>
  <c r="N21" i="23"/>
  <c r="N23" i="23"/>
  <c r="M96" i="2"/>
  <c r="O23" i="23" s="1"/>
  <c r="N12" i="23"/>
  <c r="N16" i="23" s="1"/>
  <c r="M92" i="2"/>
  <c r="O12" i="23" s="1"/>
  <c r="N19" i="23"/>
  <c r="M87" i="2"/>
  <c r="O19" i="23" s="1"/>
  <c r="M94" i="2"/>
  <c r="O14" i="23" s="1"/>
  <c r="N14" i="23"/>
  <c r="G20" i="23"/>
  <c r="M32" i="2"/>
  <c r="F20" i="23"/>
  <c r="F24" i="23" s="1"/>
  <c r="F28" i="23" s="1"/>
  <c r="L88" i="2"/>
  <c r="O24" i="23" s="1"/>
  <c r="N15" i="23"/>
  <c r="M97" i="2"/>
  <c r="O15" i="23" s="1"/>
  <c r="D42" i="30" l="1"/>
  <c r="C22" i="29"/>
  <c r="M119" i="2"/>
  <c r="L98" i="2"/>
  <c r="L109" i="2"/>
  <c r="L43" i="2"/>
  <c r="N20" i="23"/>
  <c r="N24" i="23" s="1"/>
  <c r="N28" i="23" s="1"/>
  <c r="M88" i="2"/>
  <c r="O20" i="23" s="1"/>
  <c r="M43" i="2" l="1"/>
  <c r="D17" i="30" s="1"/>
  <c r="D15" i="30"/>
  <c r="D26" i="30"/>
  <c r="L101" i="2"/>
  <c r="D22" i="30" s="1"/>
  <c r="I8" i="25"/>
  <c r="M98" i="2"/>
  <c r="N8" i="25"/>
  <c r="M109" i="2"/>
  <c r="L120" i="2"/>
  <c r="G28" i="23"/>
  <c r="I12" i="25"/>
  <c r="M101" i="2" l="1"/>
  <c r="O28" i="23" s="1"/>
  <c r="M120" i="2"/>
  <c r="L121" i="2"/>
  <c r="D23" i="30" l="1"/>
  <c r="N11" i="25"/>
  <c r="M121" i="2"/>
  <c r="L131" i="2"/>
  <c r="L134" i="2"/>
  <c r="L126" i="2"/>
  <c r="L125" i="2"/>
  <c r="L127" i="2"/>
  <c r="L132" i="2"/>
  <c r="L135" i="2"/>
  <c r="L128" i="2"/>
  <c r="L137" i="2"/>
  <c r="L130" i="2"/>
  <c r="L138" i="2"/>
  <c r="L133" i="2"/>
  <c r="L129" i="2"/>
  <c r="E10" i="29" l="1"/>
  <c r="D29" i="30"/>
  <c r="D35" i="30"/>
  <c r="L10" i="29"/>
  <c r="D28" i="30"/>
  <c r="D10" i="29"/>
  <c r="D34" i="30"/>
  <c r="K10" i="29"/>
  <c r="D32" i="30"/>
  <c r="I10" i="29"/>
  <c r="D31" i="30"/>
  <c r="G10" i="29"/>
  <c r="J10" i="29"/>
  <c r="D33" i="30"/>
  <c r="D27" i="30"/>
  <c r="C10" i="29"/>
  <c r="D37" i="30"/>
  <c r="N10" i="29"/>
  <c r="D30" i="30"/>
  <c r="F10" i="29"/>
  <c r="L147" i="2"/>
  <c r="L139" i="2"/>
  <c r="L136" i="2"/>
  <c r="D47" i="30" l="1"/>
  <c r="F24" i="29"/>
  <c r="D43" i="30"/>
  <c r="C24" i="29"/>
  <c r="D36" i="30"/>
  <c r="M10" i="29"/>
  <c r="L140" i="2"/>
  <c r="L148" i="2"/>
  <c r="L141" i="2" l="1"/>
</calcChain>
</file>

<file path=xl/sharedStrings.xml><?xml version="1.0" encoding="utf-8"?>
<sst xmlns="http://schemas.openxmlformats.org/spreadsheetml/2006/main" count="710" uniqueCount="173">
  <si>
    <t>El Sistema Eléctrico Español</t>
  </si>
  <si>
    <t>Sistema</t>
  </si>
  <si>
    <t xml:space="preserve">Total </t>
  </si>
  <si>
    <t>peninsular</t>
  </si>
  <si>
    <t>nacional</t>
  </si>
  <si>
    <t>GWh</t>
  </si>
  <si>
    <t>Hidráulica</t>
  </si>
  <si>
    <t>Nuclear</t>
  </si>
  <si>
    <t>Carbón</t>
  </si>
  <si>
    <t>Hidroeólica</t>
  </si>
  <si>
    <t>Eólica</t>
  </si>
  <si>
    <t>Solar fotovoltaica</t>
  </si>
  <si>
    <t>Solar térmica</t>
  </si>
  <si>
    <t>Cogeneración</t>
  </si>
  <si>
    <t>Residuos no renovables</t>
  </si>
  <si>
    <t>Residuos renovables</t>
  </si>
  <si>
    <t>Generación</t>
  </si>
  <si>
    <t>Consumos en bombeo</t>
  </si>
  <si>
    <t>Demanda (b.c.)</t>
  </si>
  <si>
    <t>Islas Baleares</t>
  </si>
  <si>
    <t>Islas Canarias</t>
  </si>
  <si>
    <t>Melilla</t>
  </si>
  <si>
    <t>Laboralidad</t>
  </si>
  <si>
    <t>Temperatura</t>
  </si>
  <si>
    <t>Balance de energía eléctrica nacional (GWh)</t>
  </si>
  <si>
    <t>Turbinación bombeo</t>
  </si>
  <si>
    <t>-</t>
  </si>
  <si>
    <t>Fuel/gas</t>
  </si>
  <si>
    <t>Ciclo combinado</t>
  </si>
  <si>
    <t>Otras renovables</t>
  </si>
  <si>
    <t>Enlace Península-Baleares</t>
  </si>
  <si>
    <t>Saldo intercambios internacionales</t>
  </si>
  <si>
    <t>Total</t>
  </si>
  <si>
    <t>Motores diésel</t>
  </si>
  <si>
    <t>Turbina de gas</t>
  </si>
  <si>
    <t>Turbina de vapor</t>
  </si>
  <si>
    <t>Fuel / gas</t>
  </si>
  <si>
    <t>Generación auxiliar</t>
  </si>
  <si>
    <t>Componentes de la variación anual de la demanda eléctrica. Sistema eléctrico peninsular (%)</t>
  </si>
  <si>
    <t>Máximos instantáneos de demanda eléctrica. Sistema eléctrico peninsular (MW)</t>
  </si>
  <si>
    <t>18 enero (19:50)</t>
  </si>
  <si>
    <t>Histórico</t>
  </si>
  <si>
    <r>
      <t xml:space="preserve">Enlace Península-Baleares </t>
    </r>
    <r>
      <rPr>
        <vertAlign val="superscript"/>
        <sz val="8"/>
        <color rgb="FF004563"/>
        <rFont val="Arial"/>
        <family val="2"/>
      </rPr>
      <t>(6)</t>
    </r>
  </si>
  <si>
    <r>
      <t xml:space="preserve">Saldo intercambios internacionales físicos </t>
    </r>
    <r>
      <rPr>
        <vertAlign val="superscript"/>
        <sz val="8"/>
        <color rgb="FF004563"/>
        <rFont val="Arial"/>
        <family val="2"/>
      </rPr>
      <t>(7)</t>
    </r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</si>
  <si>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Asignación de unidades de producción según combustible principal.</t>
    </r>
  </si>
  <si>
    <r>
      <rPr>
        <vertAlign val="superscript"/>
        <sz val="8"/>
        <color rgb="FF004563"/>
        <rFont val="Arial"/>
        <family val="2"/>
      </rPr>
      <t>(6)</t>
    </r>
    <r>
      <rPr>
        <sz val="8"/>
        <color rgb="FF004563"/>
        <rFont val="Arial"/>
        <family val="2"/>
      </rPr>
      <t xml:space="preserve"> Valor positivo: entrada de energía en el sistema; valor negativo: salida de energía del sistema.</t>
    </r>
  </si>
  <si>
    <r>
      <rPr>
        <vertAlign val="superscript"/>
        <sz val="8"/>
        <color rgb="FF004563"/>
        <rFont val="Arial"/>
        <family val="2"/>
      </rPr>
      <t>(7)</t>
    </r>
    <r>
      <rPr>
        <sz val="8"/>
        <color rgb="FF004563"/>
        <rFont val="Arial"/>
        <family val="2"/>
      </rPr>
      <t xml:space="preserve"> Valor positivo: saldo importador; valor negativo: saldo exportador. Los valores de incrementos no se calculan cuando los saldos de intercambios tienen distinto signo.</t>
    </r>
  </si>
  <si>
    <t>Fecha</t>
  </si>
  <si>
    <t>Variación anual</t>
  </si>
  <si>
    <t>Demanda corregida</t>
  </si>
  <si>
    <t>Potencia</t>
  </si>
  <si>
    <t>Evolución de la producción de energía renovable y no renovable peninsular (GWh)</t>
  </si>
  <si>
    <t>Generación renovable</t>
  </si>
  <si>
    <t>Generación no renovable</t>
  </si>
  <si>
    <t>Generación total</t>
  </si>
  <si>
    <t>Evolución de la estructura producción de generación peninsular (%)</t>
  </si>
  <si>
    <t>Renovables: hidráulica, eólica, solar fotovoltaica, solar térmica, otras renovables y residuos renovables.</t>
  </si>
  <si>
    <t>No renovables: turbinación bombeo, nuclear, carbón, fuel/gas, ciclo combinado, cogeneración y residuos no renovables.</t>
  </si>
  <si>
    <t>Ceuta</t>
  </si>
  <si>
    <t>Baleares</t>
  </si>
  <si>
    <t>Canarias</t>
  </si>
  <si>
    <t>Corregida la laboralidad y temperatura</t>
  </si>
  <si>
    <t>ESTRUCTURA DE GENERACIÓN SISTEMA PENINSULAR 2018</t>
  </si>
  <si>
    <t xml:space="preserve">PRODUCCIÓN RENOVABLE </t>
  </si>
  <si>
    <t xml:space="preserve">de la generación </t>
  </si>
  <si>
    <t>POTENCIA INSTALADA</t>
  </si>
  <si>
    <t>Otras no renovables</t>
  </si>
  <si>
    <t xml:space="preserve">INTERCAMBIOS </t>
  </si>
  <si>
    <t xml:space="preserve">Importaciones  </t>
  </si>
  <si>
    <t>Exportaciones</t>
  </si>
  <si>
    <t>Saldo</t>
  </si>
  <si>
    <r>
      <t>PRODUCCIÓN LIBRE DE CO</t>
    </r>
    <r>
      <rPr>
        <b/>
        <vertAlign val="subscript"/>
        <sz val="11"/>
        <color rgb="FF004563"/>
        <rFont val="Calibri"/>
        <family val="2"/>
      </rPr>
      <t>2</t>
    </r>
  </si>
  <si>
    <t>Evolución de la potencia instalada peninsular (MW)</t>
  </si>
  <si>
    <t>Bombeo puro</t>
  </si>
  <si>
    <r>
      <t xml:space="preserve">Residuos no renovables </t>
    </r>
    <r>
      <rPr>
        <vertAlign val="superscript"/>
        <sz val="8"/>
        <color rgb="FF004563"/>
        <rFont val="Arial"/>
        <family val="2"/>
      </rPr>
      <t>(1)</t>
    </r>
  </si>
  <si>
    <r>
      <t xml:space="preserve">Residuos renovables </t>
    </r>
    <r>
      <rPr>
        <vertAlign val="superscript"/>
        <sz val="8"/>
        <color rgb="FF004563"/>
        <rFont val="Arial"/>
        <family val="2"/>
      </rPr>
      <t>(1)</t>
    </r>
  </si>
  <si>
    <t>Andorra</t>
  </si>
  <si>
    <t>Francia</t>
  </si>
  <si>
    <t>Portugal</t>
  </si>
  <si>
    <t>Marruecos</t>
  </si>
  <si>
    <t>Entradas</t>
  </si>
  <si>
    <t>Salidas</t>
  </si>
  <si>
    <t>ENLACE</t>
  </si>
  <si>
    <t xml:space="preserve">PENÍNSULA - BALEARES  
</t>
  </si>
  <si>
    <t xml:space="preserve">RED DE TRANSPORTE 
</t>
  </si>
  <si>
    <t>de circuito de líneas eléctricas</t>
  </si>
  <si>
    <t>Instalaciones de la red de transporte de energía eléctrica en España</t>
  </si>
  <si>
    <t>Circuito 400 kV (km)</t>
  </si>
  <si>
    <t>Peninsula</t>
  </si>
  <si>
    <t>Circuito ≤ 220 kV (km)</t>
  </si>
  <si>
    <t>Total km de circuito</t>
  </si>
  <si>
    <t>Evolución de los intercambios internacionales físicos (GWh)</t>
  </si>
  <si>
    <t>Balance de energía eléctrica sistema peninsular (GWh)</t>
  </si>
  <si>
    <t>Balance de energía eléctrica sistema Islas Baleares (GWh)</t>
  </si>
  <si>
    <t>Balance de energía eléctrica sistema Islas Canarias (GWh)</t>
  </si>
  <si>
    <t>Balance de energía eléctrica sistema Ceuta (GWh)</t>
  </si>
  <si>
    <t>Balance de energía eléctrica sistema Melilla (GWh)</t>
  </si>
  <si>
    <t>17 diciembre 2007 (18:53 h)</t>
  </si>
  <si>
    <t>12 enero (18:56 h)</t>
  </si>
  <si>
    <t>24 enero (20:06 h)</t>
  </si>
  <si>
    <t>13 febrero (20:21 h)</t>
  </si>
  <si>
    <t>27 febrero (20:42 h)</t>
  </si>
  <si>
    <t>4 febrero (20:18 h)</t>
  </si>
  <si>
    <t>4 febrero (19:56 h)</t>
  </si>
  <si>
    <t>6 septiembre (13:32 h)</t>
  </si>
  <si>
    <t>8 febrero (20:24 h)</t>
  </si>
  <si>
    <t>Datos provisionales. Cierre de año con datos estimados el 12 de diciembre</t>
  </si>
  <si>
    <t>%19/18</t>
  </si>
  <si>
    <t>2019-2018</t>
  </si>
  <si>
    <t>Datos provisionales: previsión de puestas en servicio realizada el 13 de diciembre de 2019. Kilómetros de circuito y de capacidad de transformación acumulados a 31 de diciembre.</t>
  </si>
  <si>
    <t>Variación respecto a 2018</t>
  </si>
  <si>
    <t>ESTRUCTURA DE GENERACIÓN SISTEMA PENINSULAR 2019</t>
  </si>
  <si>
    <t xml:space="preserve">INTERNACIONALES 2019
</t>
  </si>
  <si>
    <t>NACIONAL 2019</t>
  </si>
  <si>
    <t>Potencia renovable</t>
  </si>
  <si>
    <t>Potencia no renovable</t>
  </si>
  <si>
    <t>Evolución de la estructura potencia instalada peninsular (%)</t>
  </si>
  <si>
    <t>22 enero (20:08 h)</t>
  </si>
  <si>
    <t>Variación respecto</t>
  </si>
  <si>
    <t>al máximo de 2018</t>
  </si>
  <si>
    <t>al récord histórico de 2007</t>
  </si>
  <si>
    <t>DEMANDA DE ENERGÍA ELÉCTRICA PENINSULAR</t>
  </si>
  <si>
    <t>DEMANDA MÁXIMA INSTANTÁNEA PENINSULAR</t>
  </si>
  <si>
    <t>PENINSULAR</t>
  </si>
  <si>
    <t>Saldo importador</t>
  </si>
  <si>
    <t>Evolución de la producción de energía renovable y no renovable nacional (GWh)</t>
  </si>
  <si>
    <t>Evolución de la estructura producción de generación nacional (%)</t>
  </si>
  <si>
    <t>Renovables: hidráulica, hidroeólica, eólica, solar fotovoltaica, solar térmica, otras renovables y residuos renovables.</t>
  </si>
  <si>
    <t>DEMANDA DE ENERGÍA ELÉCTRICA NACIONAL</t>
  </si>
  <si>
    <t>DEMANDA DE ENERGÍA ELÉCTRICA SISTEMAS NO PENINSULARES</t>
  </si>
  <si>
    <t>Componentes de la variación anual de la demanda eléctrica. Sistema eléctrico nacional (%)</t>
  </si>
  <si>
    <t>ESTRUCTURA DE GENERACIÓN SISTEMA NACIONAL 2019</t>
  </si>
  <si>
    <t>Fuel + Gas</t>
  </si>
  <si>
    <t>ESTRUCTURA DE GENERACIÓN SISTEMA NACIONAL 2018</t>
  </si>
  <si>
    <t>NACIONAL</t>
  </si>
  <si>
    <t>Generación sin emisiones CO2</t>
  </si>
  <si>
    <t>Generación con emisiones CO2</t>
  </si>
  <si>
    <t>Evolución de la potencia instalada Islas Baleares (MW)</t>
  </si>
  <si>
    <t>Evolución de la potencia instalada Islas Canarias (MW)</t>
  </si>
  <si>
    <t>Evolución de la potencia instalada Ceuta (MW)</t>
  </si>
  <si>
    <t>Evolución de la potencia instalada Melilla (MW)</t>
  </si>
  <si>
    <t>Evolución de la potencia instalada nacional (MW)</t>
  </si>
  <si>
    <t>Demanda de energía eléctrica peninsular</t>
  </si>
  <si>
    <t>Variación respecto al máximo de 2018</t>
  </si>
  <si>
    <t>Demanda máxima instantánea peninsular</t>
  </si>
  <si>
    <t>Demanda de energía eléctrica sistemas no peninsulares</t>
  </si>
  <si>
    <t>Demanda de energía eléctrica nacional</t>
  </si>
  <si>
    <t>Potencia instalada nacional</t>
  </si>
  <si>
    <t>Producción renovable nacional</t>
  </si>
  <si>
    <r>
      <t>Producción libre de CO</t>
    </r>
    <r>
      <rPr>
        <b/>
        <vertAlign val="subscript"/>
        <sz val="11"/>
        <color rgb="FF004563"/>
        <rFont val="Calibri"/>
        <family val="2"/>
      </rPr>
      <t>2</t>
    </r>
    <r>
      <rPr>
        <b/>
        <sz val="11"/>
        <color rgb="FF004563"/>
        <rFont val="Calibri"/>
        <family val="2"/>
      </rPr>
      <t xml:space="preserve"> nacional</t>
    </r>
  </si>
  <si>
    <t>Estructura de generación sistema nacional</t>
  </si>
  <si>
    <t>Intercambios internacionales</t>
  </si>
  <si>
    <t>Red de transporte nacional</t>
  </si>
  <si>
    <t xml:space="preserve"> </t>
  </si>
  <si>
    <t>Previsión de cierre 2019</t>
  </si>
  <si>
    <r>
      <t xml:space="preserve">BALANCE DE ENERGÍA ELECTRICA NACIONAL </t>
    </r>
    <r>
      <rPr>
        <b/>
        <vertAlign val="superscript"/>
        <sz val="8"/>
        <color rgb="FFFFFFFF"/>
        <rFont val="Arial"/>
        <family val="2"/>
      </rPr>
      <t>(1)</t>
    </r>
  </si>
  <si>
    <r>
      <t xml:space="preserve">Otras renovables </t>
    </r>
    <r>
      <rPr>
        <vertAlign val="superscript"/>
        <sz val="8"/>
        <color rgb="FF004563"/>
        <rFont val="Arial"/>
        <family val="2"/>
      </rPr>
      <t>(2)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</si>
  <si>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Incluye biogás, biomasa, hidráulica marina y geotérmica.</t>
    </r>
  </si>
  <si>
    <r>
      <t xml:space="preserve">Turbinación bombeo </t>
    </r>
    <r>
      <rPr>
        <vertAlign val="superscript"/>
        <sz val="8"/>
        <color rgb="FF004563"/>
        <rFont val="Arial"/>
        <family val="2"/>
      </rPr>
      <t>(3)</t>
    </r>
  </si>
  <si>
    <r>
      <rPr>
        <vertAlign val="superscript"/>
        <sz val="8"/>
        <color rgb="FF004563"/>
        <rFont val="Arial"/>
        <family val="2"/>
      </rPr>
      <t>(3)</t>
    </r>
    <r>
      <rPr>
        <sz val="8"/>
        <color rgb="FF004563"/>
        <rFont val="Arial"/>
        <family val="2"/>
      </rPr>
      <t xml:space="preserve"> Turbinación de bombeo puro + estimación de turbinación de bombeo mixto.</t>
    </r>
  </si>
  <si>
    <r>
      <t xml:space="preserve">Fuel/gas </t>
    </r>
    <r>
      <rPr>
        <vertAlign val="superscript"/>
        <sz val="8"/>
        <color rgb="FF004563"/>
        <rFont val="Arial"/>
        <family val="2"/>
      </rPr>
      <t>(4)</t>
    </r>
  </si>
  <si>
    <r>
      <rPr>
        <vertAlign val="superscript"/>
        <sz val="8"/>
        <color rgb="FF004563"/>
        <rFont val="Arial"/>
        <family val="2"/>
      </rPr>
      <t>(4)</t>
    </r>
    <r>
      <rPr>
        <sz val="8"/>
        <color rgb="FF004563"/>
        <rFont val="Arial"/>
        <family val="2"/>
      </rPr>
      <t xml:space="preserve"> En el sistema eléctrico de Baleares se incluye la generación con grupos auxiliares.</t>
    </r>
  </si>
  <si>
    <r>
      <t xml:space="preserve">Ciclo combinado </t>
    </r>
    <r>
      <rPr>
        <vertAlign val="superscript"/>
        <sz val="8"/>
        <color rgb="FF004563"/>
        <rFont val="Arial"/>
        <family val="2"/>
      </rPr>
      <t>(5)</t>
    </r>
  </si>
  <si>
    <r>
      <rPr>
        <vertAlign val="superscript"/>
        <sz val="8"/>
        <color rgb="FF004563"/>
        <rFont val="Arial"/>
        <family val="2"/>
      </rPr>
      <t>(5)</t>
    </r>
    <r>
      <rPr>
        <sz val="8"/>
        <color rgb="FF004563"/>
        <rFont val="Arial"/>
        <family val="2"/>
      </rPr>
      <t xml:space="preserve"> Incluye funcionamiento en ciclo abierto. En el sistema eléctrico de Canarias utiliza gasoil como combustible principal.</t>
    </r>
  </si>
  <si>
    <t>Variación respecto al récord histórico de 2007
45.450 MW</t>
  </si>
  <si>
    <t>% de la generación</t>
  </si>
  <si>
    <t>% en 2018</t>
  </si>
  <si>
    <t>TWh en 2018</t>
  </si>
  <si>
    <t>km de circuito de líneas eléctricas</t>
  </si>
  <si>
    <t>km en 2018</t>
  </si>
  <si>
    <t>km de fibra óptica instalados en la red de transporte de Red Eléctrica de España</t>
  </si>
  <si>
    <t>33.700 km</t>
  </si>
  <si>
    <t>de fibra óptica instalados en la red de transporte de Red Eléctrica de España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</si>
</sst>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_)"/>
    <numFmt numFmtId="165" formatCode="#,##0.0"/>
    <numFmt numFmtId="166" formatCode="#,##0.000"/>
    <numFmt numFmtId="167" formatCode="0.0\ \ \ \ _)"/>
    <numFmt numFmtId="168" formatCode="0.0%"/>
    <numFmt numFmtId="169" formatCode="0.0"/>
    <numFmt numFmtId="170" formatCode="0.00000"/>
    <numFmt numFmtId="171" formatCode="#,##0.0000"/>
    <numFmt numFmtId="172" formatCode="#,##0.00000"/>
  </numFmts>
  <fonts count="42">
    <font>
      <sz val="10"/>
      <name val="Geneva"/>
    </font>
    <font>
      <sz val="10"/>
      <name val="Geneva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56"/>
      <name val="Geneva"/>
    </font>
    <font>
      <sz val="10"/>
      <color indexed="8"/>
      <name val="Geneva"/>
    </font>
    <font>
      <sz val="10"/>
      <color indexed="9"/>
      <name val="Geneva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color indexed="9"/>
      <name val="Geneva"/>
    </font>
    <font>
      <sz val="10"/>
      <color indexed="9"/>
      <name val="Arial"/>
      <family val="2"/>
    </font>
    <font>
      <sz val="10"/>
      <color indexed="32"/>
      <name val="Arial"/>
      <family val="2"/>
    </font>
    <font>
      <sz val="8"/>
      <color indexed="8"/>
      <name val="Arial"/>
      <family val="2"/>
    </font>
    <font>
      <sz val="10"/>
      <color rgb="FFFF0000"/>
      <name val="Geneva"/>
    </font>
    <font>
      <sz val="8"/>
      <color rgb="FF004563"/>
      <name val="Arial"/>
      <family val="2"/>
    </font>
    <font>
      <b/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sz val="10"/>
      <color rgb="FF004563"/>
      <name val="Geneva"/>
    </font>
    <font>
      <sz val="10"/>
      <name val="Geneva"/>
      <family val="2"/>
    </font>
    <font>
      <b/>
      <sz val="10"/>
      <color rgb="FF004563"/>
      <name val="Arial"/>
      <family val="2"/>
    </font>
    <font>
      <sz val="8"/>
      <color rgb="FF215967"/>
      <name val="Arial"/>
      <family val="2"/>
    </font>
    <font>
      <b/>
      <sz val="11"/>
      <name val="Calibri"/>
      <family val="2"/>
    </font>
    <font>
      <sz val="16"/>
      <color rgb="FF0070C0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12"/>
      <color rgb="FF0070C0"/>
      <name val="Calibri"/>
      <family val="2"/>
    </font>
    <font>
      <b/>
      <sz val="11"/>
      <color rgb="FF004563"/>
      <name val="Calibri"/>
      <family val="2"/>
    </font>
    <font>
      <sz val="11"/>
      <color rgb="FF004563"/>
      <name val="Calibri"/>
      <family val="2"/>
    </font>
    <font>
      <sz val="9"/>
      <color rgb="FF004563"/>
      <name val="Calibri"/>
      <family val="2"/>
    </font>
    <font>
      <b/>
      <sz val="11"/>
      <color rgb="FF004563"/>
      <name val="Calibri"/>
      <family val="2"/>
      <scheme val="minor"/>
    </font>
    <font>
      <b/>
      <sz val="10"/>
      <color rgb="FF004563"/>
      <name val="Calibri"/>
      <family val="2"/>
    </font>
    <font>
      <sz val="16"/>
      <color rgb="FF00B050"/>
      <name val="Calibri"/>
      <family val="2"/>
    </font>
    <font>
      <b/>
      <sz val="14"/>
      <color rgb="FF004563"/>
      <name val="Calibri"/>
      <family val="2"/>
    </font>
    <font>
      <b/>
      <sz val="16"/>
      <color rgb="FF004563"/>
      <name val="Calibri"/>
      <family val="2"/>
    </font>
    <font>
      <b/>
      <vertAlign val="subscript"/>
      <sz val="11"/>
      <color rgb="FF004563"/>
      <name val="Calibri"/>
      <family val="2"/>
    </font>
    <font>
      <sz val="8"/>
      <name val="Arial"/>
      <family val="2"/>
    </font>
    <font>
      <sz val="8"/>
      <color indexed="56"/>
      <name val="Arial"/>
      <family val="2"/>
    </font>
    <font>
      <sz val="12"/>
      <color rgb="FF00B050"/>
      <name val="Calibri"/>
      <family val="2"/>
    </font>
    <font>
      <sz val="10"/>
      <color rgb="FF004563"/>
      <name val="Calibri"/>
      <family val="2"/>
    </font>
    <font>
      <sz val="8"/>
      <color theme="0" tint="-0.499984740745262"/>
      <name val="Arial"/>
      <family val="2"/>
    </font>
    <font>
      <sz val="11"/>
      <color rgb="FF0070C0"/>
      <name val="Calibri"/>
      <family val="2"/>
    </font>
    <font>
      <b/>
      <vertAlign val="superscript"/>
      <sz val="8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5463"/>
        <bgColor indexed="64"/>
      </patternFill>
    </fill>
    <fill>
      <patternFill patternType="solid">
        <fgColor rgb="FFF5F5F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0A0A0"/>
      </top>
      <bottom style="thin">
        <color rgb="FFA0A0A0"/>
      </bottom>
      <diagonal/>
    </border>
    <border>
      <left/>
      <right/>
      <top/>
      <bottom style="thin">
        <color rgb="FFA0A0A0"/>
      </bottom>
      <diagonal/>
    </border>
  </borders>
  <cellStyleXfs count="10">
    <xf numFmtId="0" fontId="0" fillId="0" borderId="0"/>
    <xf numFmtId="164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164" fontId="1" fillId="0" borderId="0"/>
    <xf numFmtId="0" fontId="1" fillId="0" borderId="0"/>
    <xf numFmtId="0" fontId="18" fillId="0" borderId="0"/>
  </cellStyleXfs>
  <cellXfs count="171">
    <xf numFmtId="0" fontId="0" fillId="0" borderId="0" xfId="0"/>
    <xf numFmtId="164" fontId="1" fillId="0" borderId="0" xfId="1" applyFill="1" applyProtection="1"/>
    <xf numFmtId="164" fontId="2" fillId="0" borderId="0" xfId="1" applyFont="1" applyFill="1" applyAlignment="1" applyProtection="1">
      <alignment horizontal="right"/>
    </xf>
    <xf numFmtId="164" fontId="4" fillId="0" borderId="0" xfId="1" applyFont="1" applyFill="1" applyBorder="1" applyProtection="1"/>
    <xf numFmtId="164" fontId="5" fillId="0" borderId="0" xfId="1" applyFont="1" applyFill="1" applyBorder="1" applyProtection="1"/>
    <xf numFmtId="164" fontId="6" fillId="0" borderId="0" xfId="1" applyFont="1" applyFill="1" applyBorder="1" applyProtection="1"/>
    <xf numFmtId="1" fontId="8" fillId="2" borderId="1" xfId="1" applyNumberFormat="1" applyFont="1" applyFill="1" applyBorder="1" applyAlignment="1" applyProtection="1">
      <alignment horizontal="right" indent="1"/>
    </xf>
    <xf numFmtId="165" fontId="10" fillId="0" borderId="0" xfId="1" applyNumberFormat="1" applyFont="1" applyFill="1" applyBorder="1" applyProtection="1"/>
    <xf numFmtId="165" fontId="11" fillId="0" borderId="0" xfId="1" applyNumberFormat="1" applyFont="1" applyFill="1" applyBorder="1" applyProtection="1"/>
    <xf numFmtId="166" fontId="3" fillId="0" borderId="0" xfId="1" applyNumberFormat="1" applyFont="1" applyFill="1" applyBorder="1" applyProtection="1"/>
    <xf numFmtId="0" fontId="13" fillId="0" borderId="0" xfId="3" applyFont="1" applyFill="1" applyProtection="1"/>
    <xf numFmtId="165" fontId="14" fillId="0" borderId="0" xfId="1" applyNumberFormat="1" applyFont="1" applyFill="1" applyBorder="1" applyProtection="1"/>
    <xf numFmtId="3" fontId="11" fillId="0" borderId="0" xfId="1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164" fontId="15" fillId="3" borderId="0" xfId="1" applyFont="1" applyFill="1" applyBorder="1" applyAlignment="1" applyProtection="1">
      <alignment horizontal="left"/>
    </xf>
    <xf numFmtId="165" fontId="14" fillId="3" borderId="0" xfId="1" applyNumberFormat="1" applyFont="1" applyFill="1" applyBorder="1" applyAlignment="1" applyProtection="1">
      <alignment horizontal="right" indent="1"/>
    </xf>
    <xf numFmtId="3" fontId="14" fillId="3" borderId="0" xfId="1" applyNumberFormat="1" applyFont="1" applyFill="1" applyBorder="1" applyAlignment="1" applyProtection="1">
      <alignment horizontal="right" indent="1"/>
    </xf>
    <xf numFmtId="0" fontId="14" fillId="3" borderId="0" xfId="0" applyNumberFormat="1" applyFont="1" applyFill="1" applyAlignment="1">
      <alignment horizontal="right"/>
    </xf>
    <xf numFmtId="16" fontId="14" fillId="3" borderId="2" xfId="0" applyNumberFormat="1" applyFont="1" applyFill="1" applyBorder="1" applyAlignment="1">
      <alignment horizontal="right"/>
    </xf>
    <xf numFmtId="164" fontId="2" fillId="0" borderId="0" xfId="1" applyFont="1" applyFill="1" applyAlignment="1" applyProtection="1"/>
    <xf numFmtId="0" fontId="19" fillId="0" borderId="0" xfId="2" applyFont="1" applyFill="1" applyAlignment="1" applyProtection="1">
      <alignment horizontal="right"/>
    </xf>
    <xf numFmtId="164" fontId="19" fillId="0" borderId="0" xfId="1" applyFont="1" applyFill="1" applyAlignment="1" applyProtection="1">
      <alignment horizontal="right"/>
    </xf>
    <xf numFmtId="164" fontId="14" fillId="3" borderId="0" xfId="1" applyFont="1" applyFill="1" applyBorder="1" applyAlignment="1" applyProtection="1">
      <alignment horizontal="left"/>
    </xf>
    <xf numFmtId="165" fontId="15" fillId="3" borderId="2" xfId="1" applyNumberFormat="1" applyFont="1" applyFill="1" applyBorder="1" applyProtection="1"/>
    <xf numFmtId="3" fontId="15" fillId="3" borderId="2" xfId="1" applyNumberFormat="1" applyFont="1" applyFill="1" applyBorder="1" applyAlignment="1" applyProtection="1">
      <alignment horizontal="right" indent="1"/>
    </xf>
    <xf numFmtId="165" fontId="15" fillId="3" borderId="2" xfId="1" applyNumberFormat="1" applyFont="1" applyFill="1" applyBorder="1" applyAlignment="1" applyProtection="1">
      <alignment horizontal="right" indent="1"/>
    </xf>
    <xf numFmtId="165" fontId="14" fillId="3" borderId="0" xfId="1" applyNumberFormat="1" applyFont="1" applyFill="1" applyBorder="1" applyAlignment="1" applyProtection="1">
      <alignment horizontal="left"/>
    </xf>
    <xf numFmtId="3" fontId="14" fillId="3" borderId="2" xfId="1" applyNumberFormat="1" applyFont="1" applyFill="1" applyBorder="1" applyAlignment="1" applyProtection="1">
      <alignment horizontal="right" indent="1"/>
    </xf>
    <xf numFmtId="165" fontId="14" fillId="3" borderId="2" xfId="1" applyNumberFormat="1" applyFont="1" applyFill="1" applyBorder="1" applyAlignment="1" applyProtection="1">
      <alignment horizontal="right" indent="1"/>
    </xf>
    <xf numFmtId="165" fontId="15" fillId="3" borderId="3" xfId="1" applyNumberFormat="1" applyFont="1" applyFill="1" applyBorder="1" applyProtection="1"/>
    <xf numFmtId="3" fontId="15" fillId="3" borderId="4" xfId="1" applyNumberFormat="1" applyFont="1" applyFill="1" applyBorder="1" applyAlignment="1" applyProtection="1">
      <alignment horizontal="right" indent="1"/>
    </xf>
    <xf numFmtId="165" fontId="15" fillId="3" borderId="4" xfId="1" applyNumberFormat="1" applyFont="1" applyFill="1" applyBorder="1" applyAlignment="1" applyProtection="1">
      <alignment horizontal="right" indent="1"/>
    </xf>
    <xf numFmtId="0" fontId="19" fillId="0" borderId="0" xfId="0" applyFont="1" applyFill="1" applyAlignment="1" applyProtection="1">
      <alignment horizontal="right"/>
    </xf>
    <xf numFmtId="0" fontId="17" fillId="0" borderId="0" xfId="0" applyFont="1"/>
    <xf numFmtId="0" fontId="15" fillId="0" borderId="0" xfId="0" applyFont="1" applyFill="1" applyBorder="1" applyAlignment="1" applyProtection="1"/>
    <xf numFmtId="0" fontId="14" fillId="0" borderId="0" xfId="0" applyFont="1" applyFill="1" applyBorder="1" applyProtection="1"/>
    <xf numFmtId="3" fontId="14" fillId="0" borderId="0" xfId="0" applyNumberFormat="1" applyFont="1" applyFill="1" applyBorder="1" applyProtection="1"/>
    <xf numFmtId="3" fontId="14" fillId="3" borderId="0" xfId="9" applyNumberFormat="1" applyFont="1" applyFill="1" applyBorder="1" applyProtection="1"/>
    <xf numFmtId="165" fontId="14" fillId="3" borderId="0" xfId="9" applyNumberFormat="1" applyFont="1" applyFill="1" applyBorder="1" applyAlignment="1" applyProtection="1">
      <alignment horizontal="right" indent="1"/>
    </xf>
    <xf numFmtId="3" fontId="14" fillId="3" borderId="0" xfId="9" applyNumberFormat="1" applyFont="1" applyFill="1" applyBorder="1" applyAlignment="1" applyProtection="1">
      <alignment horizontal="right" indent="1"/>
    </xf>
    <xf numFmtId="0" fontId="14" fillId="3" borderId="0" xfId="0" applyFont="1" applyFill="1" applyBorder="1" applyAlignment="1" applyProtection="1">
      <alignment horizontal="left"/>
    </xf>
    <xf numFmtId="3" fontId="15" fillId="0" borderId="0" xfId="9" applyNumberFormat="1" applyFont="1" applyFill="1" applyBorder="1" applyProtection="1"/>
    <xf numFmtId="3" fontId="15" fillId="0" borderId="0" xfId="9" applyNumberFormat="1" applyFont="1" applyFill="1" applyBorder="1" applyAlignment="1" applyProtection="1">
      <alignment horizontal="right" indent="1"/>
    </xf>
    <xf numFmtId="165" fontId="15" fillId="0" borderId="0" xfId="9" applyNumberFormat="1" applyFont="1" applyFill="1" applyBorder="1" applyAlignment="1" applyProtection="1">
      <alignment horizontal="right" indent="1"/>
    </xf>
    <xf numFmtId="164" fontId="15" fillId="3" borderId="8" xfId="0" applyNumberFormat="1" applyFont="1" applyFill="1" applyBorder="1" applyAlignment="1" applyProtection="1">
      <alignment horizontal="right"/>
    </xf>
    <xf numFmtId="164" fontId="14" fillId="3" borderId="0" xfId="0" quotePrefix="1" applyNumberFormat="1" applyFont="1" applyFill="1" applyBorder="1" applyAlignment="1" applyProtection="1">
      <alignment horizontal="left"/>
    </xf>
    <xf numFmtId="3" fontId="14" fillId="3" borderId="0" xfId="0" applyNumberFormat="1" applyFont="1" applyFill="1" applyBorder="1" applyAlignment="1" applyProtection="1">
      <alignment horizontal="right"/>
    </xf>
    <xf numFmtId="164" fontId="14" fillId="0" borderId="0" xfId="7" applyFont="1" applyFill="1" applyBorder="1" applyAlignment="1" applyProtection="1">
      <alignment horizontal="left"/>
    </xf>
    <xf numFmtId="164" fontId="14" fillId="3" borderId="2" xfId="0" quotePrefix="1" applyNumberFormat="1" applyFont="1" applyFill="1" applyBorder="1" applyAlignment="1" applyProtection="1">
      <alignment horizontal="left"/>
    </xf>
    <xf numFmtId="3" fontId="14" fillId="3" borderId="2" xfId="0" applyNumberFormat="1" applyFont="1" applyFill="1" applyBorder="1" applyAlignment="1" applyProtection="1">
      <alignment horizontal="right"/>
    </xf>
    <xf numFmtId="164" fontId="15" fillId="3" borderId="2" xfId="1" applyFont="1" applyFill="1" applyBorder="1" applyAlignment="1" applyProtection="1">
      <alignment horizontal="left"/>
    </xf>
    <xf numFmtId="3" fontId="15" fillId="3" borderId="2" xfId="9" applyNumberFormat="1" applyFont="1" applyFill="1" applyBorder="1" applyProtection="1"/>
    <xf numFmtId="3" fontId="15" fillId="3" borderId="2" xfId="9" applyNumberFormat="1" applyFont="1" applyFill="1" applyBorder="1" applyAlignment="1" applyProtection="1">
      <alignment horizontal="right" indent="1"/>
    </xf>
    <xf numFmtId="165" fontId="15" fillId="3" borderId="2" xfId="9" applyNumberFormat="1" applyFont="1" applyFill="1" applyBorder="1" applyAlignment="1" applyProtection="1">
      <alignment horizontal="right" indent="1"/>
    </xf>
    <xf numFmtId="3" fontId="15" fillId="3" borderId="8" xfId="9" applyNumberFormat="1" applyFont="1" applyFill="1" applyBorder="1" applyProtection="1"/>
    <xf numFmtId="3" fontId="15" fillId="3" borderId="8" xfId="9" applyNumberFormat="1" applyFont="1" applyFill="1" applyBorder="1" applyAlignment="1" applyProtection="1">
      <alignment horizontal="right" indent="1"/>
    </xf>
    <xf numFmtId="165" fontId="15" fillId="3" borderId="8" xfId="9" applyNumberFormat="1" applyFont="1" applyFill="1" applyBorder="1" applyAlignment="1" applyProtection="1">
      <alignment horizontal="right" indent="1"/>
    </xf>
    <xf numFmtId="164" fontId="15" fillId="3" borderId="8" xfId="0" applyNumberFormat="1" applyFont="1" applyFill="1" applyBorder="1" applyProtection="1"/>
    <xf numFmtId="164" fontId="14" fillId="0" borderId="0" xfId="0" quotePrefix="1" applyNumberFormat="1" applyFont="1" applyFill="1" applyBorder="1" applyAlignment="1" applyProtection="1">
      <alignment horizontal="left"/>
    </xf>
    <xf numFmtId="16" fontId="14" fillId="0" borderId="0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 applyProtection="1">
      <alignment horizontal="right"/>
    </xf>
    <xf numFmtId="0" fontId="17" fillId="0" borderId="0" xfId="0" applyFont="1" applyFill="1"/>
    <xf numFmtId="3" fontId="20" fillId="0" borderId="0" xfId="0" applyNumberFormat="1" applyFont="1" applyFill="1" applyBorder="1" applyProtection="1"/>
    <xf numFmtId="164" fontId="14" fillId="3" borderId="0" xfId="1" applyFont="1" applyFill="1" applyBorder="1" applyAlignment="1" applyProtection="1">
      <alignment horizontal="left" wrapText="1"/>
    </xf>
    <xf numFmtId="164" fontId="14" fillId="3" borderId="2" xfId="1" applyFont="1" applyFill="1" applyBorder="1" applyAlignment="1" applyProtection="1">
      <alignment horizontal="left" wrapText="1"/>
    </xf>
    <xf numFmtId="3" fontId="15" fillId="3" borderId="9" xfId="9" applyNumberFormat="1" applyFont="1" applyFill="1" applyBorder="1" applyProtection="1"/>
    <xf numFmtId="3" fontId="15" fillId="3" borderId="9" xfId="9" applyNumberFormat="1" applyFont="1" applyFill="1" applyBorder="1" applyAlignment="1" applyProtection="1">
      <alignment horizontal="right" indent="1"/>
    </xf>
    <xf numFmtId="165" fontId="15" fillId="3" borderId="9" xfId="9" applyNumberFormat="1" applyFont="1" applyFill="1" applyBorder="1" applyAlignment="1" applyProtection="1">
      <alignment horizontal="right" indent="1"/>
    </xf>
    <xf numFmtId="0" fontId="14" fillId="0" borderId="0" xfId="0" applyFont="1" applyFill="1" applyBorder="1" applyAlignment="1" applyProtection="1"/>
    <xf numFmtId="3" fontId="14" fillId="3" borderId="10" xfId="9" applyNumberFormat="1" applyFont="1" applyFill="1" applyBorder="1" applyProtection="1"/>
    <xf numFmtId="165" fontId="14" fillId="3" borderId="10" xfId="9" applyNumberFormat="1" applyFont="1" applyFill="1" applyBorder="1" applyAlignment="1" applyProtection="1">
      <alignment horizontal="right" indent="1"/>
    </xf>
    <xf numFmtId="3" fontId="15" fillId="3" borderId="0" xfId="1" applyNumberFormat="1" applyFont="1" applyFill="1" applyBorder="1" applyAlignment="1" applyProtection="1">
      <alignment horizontal="right" indent="1"/>
    </xf>
    <xf numFmtId="3" fontId="14" fillId="3" borderId="8" xfId="9" applyNumberFormat="1" applyFont="1" applyFill="1" applyBorder="1" applyProtection="1"/>
    <xf numFmtId="3" fontId="14" fillId="3" borderId="8" xfId="1" applyNumberFormat="1" applyFont="1" applyFill="1" applyBorder="1" applyAlignment="1" applyProtection="1">
      <alignment horizontal="right" indent="1"/>
    </xf>
    <xf numFmtId="168" fontId="23" fillId="0" borderId="0" xfId="0" applyNumberFormat="1" applyFont="1" applyAlignment="1">
      <alignment horizontal="left"/>
    </xf>
    <xf numFmtId="0" fontId="0" fillId="0" borderId="0" xfId="0" applyAlignment="1"/>
    <xf numFmtId="0" fontId="21" fillId="0" borderId="0" xfId="0" applyFont="1" applyAlignment="1"/>
    <xf numFmtId="0" fontId="23" fillId="0" borderId="0" xfId="0" applyFont="1" applyAlignment="1"/>
    <xf numFmtId="0" fontId="0" fillId="3" borderId="0" xfId="0" applyFill="1"/>
    <xf numFmtId="0" fontId="22" fillId="3" borderId="0" xfId="0" applyFont="1" applyFill="1"/>
    <xf numFmtId="0" fontId="21" fillId="3" borderId="0" xfId="0" applyFont="1" applyFill="1"/>
    <xf numFmtId="168" fontId="23" fillId="3" borderId="0" xfId="0" applyNumberFormat="1" applyFont="1" applyFill="1" applyAlignment="1">
      <alignment horizontal="left"/>
    </xf>
    <xf numFmtId="164" fontId="15" fillId="3" borderId="8" xfId="1" applyFont="1" applyFill="1" applyBorder="1" applyAlignment="1" applyProtection="1">
      <alignment horizontal="left"/>
    </xf>
    <xf numFmtId="1" fontId="15" fillId="3" borderId="8" xfId="1" applyNumberFormat="1" applyFont="1" applyFill="1" applyBorder="1" applyAlignment="1" applyProtection="1">
      <alignment horizontal="right" indent="1"/>
    </xf>
    <xf numFmtId="0" fontId="22" fillId="3" borderId="0" xfId="0" applyFont="1" applyFill="1" applyAlignment="1">
      <alignment horizontal="right"/>
    </xf>
    <xf numFmtId="0" fontId="0" fillId="3" borderId="0" xfId="0" applyFill="1" applyAlignment="1"/>
    <xf numFmtId="0" fontId="21" fillId="3" borderId="0" xfId="0" applyFont="1" applyFill="1" applyAlignment="1"/>
    <xf numFmtId="16" fontId="23" fillId="3" borderId="0" xfId="0" applyNumberFormat="1" applyFont="1" applyFill="1" applyAlignment="1"/>
    <xf numFmtId="168" fontId="25" fillId="3" borderId="0" xfId="0" applyNumberFormat="1" applyFont="1" applyFill="1" applyAlignment="1">
      <alignment horizontal="center"/>
    </xf>
    <xf numFmtId="0" fontId="24" fillId="3" borderId="0" xfId="0" applyFont="1" applyFill="1" applyAlignment="1"/>
    <xf numFmtId="0" fontId="23" fillId="3" borderId="0" xfId="0" applyFont="1" applyFill="1" applyAlignment="1"/>
    <xf numFmtId="0" fontId="12" fillId="3" borderId="0" xfId="0" applyFont="1" applyFill="1" applyBorder="1" applyAlignment="1" applyProtection="1">
      <alignment horizontal="left"/>
    </xf>
    <xf numFmtId="164" fontId="14" fillId="0" borderId="0" xfId="1" applyFont="1" applyFill="1" applyBorder="1" applyAlignment="1" applyProtection="1">
      <alignment horizontal="right"/>
    </xf>
    <xf numFmtId="0" fontId="26" fillId="3" borderId="0" xfId="0" applyFont="1" applyFill="1"/>
    <xf numFmtId="168" fontId="27" fillId="3" borderId="0" xfId="0" applyNumberFormat="1" applyFont="1" applyFill="1" applyAlignment="1">
      <alignment horizontal="left"/>
    </xf>
    <xf numFmtId="0" fontId="27" fillId="3" borderId="0" xfId="0" applyFont="1" applyFill="1"/>
    <xf numFmtId="16" fontId="27" fillId="3" borderId="0" xfId="0" applyNumberFormat="1" applyFont="1" applyFill="1"/>
    <xf numFmtId="0" fontId="17" fillId="3" borderId="0" xfId="0" applyFont="1" applyFill="1"/>
    <xf numFmtId="0" fontId="28" fillId="3" borderId="0" xfId="0" applyFont="1" applyFill="1"/>
    <xf numFmtId="168" fontId="27" fillId="3" borderId="0" xfId="0" applyNumberFormat="1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164" fontId="29" fillId="0" borderId="0" xfId="1" applyFont="1" applyFill="1" applyBorder="1" applyAlignment="1" applyProtection="1">
      <alignment vertical="top"/>
    </xf>
    <xf numFmtId="0" fontId="26" fillId="3" borderId="0" xfId="0" applyFont="1" applyFill="1" applyAlignment="1">
      <alignment horizontal="center"/>
    </xf>
    <xf numFmtId="0" fontId="17" fillId="3" borderId="0" xfId="0" applyFont="1" applyFill="1" applyAlignment="1"/>
    <xf numFmtId="0" fontId="28" fillId="3" borderId="0" xfId="0" applyFont="1" applyFill="1" applyAlignment="1"/>
    <xf numFmtId="168" fontId="30" fillId="3" borderId="0" xfId="0" applyNumberFormat="1" applyFont="1" applyFill="1" applyAlignment="1">
      <alignment horizontal="center"/>
    </xf>
    <xf numFmtId="0" fontId="31" fillId="3" borderId="0" xfId="0" applyFont="1" applyFill="1"/>
    <xf numFmtId="0" fontId="32" fillId="3" borderId="0" xfId="0" applyFont="1" applyFill="1"/>
    <xf numFmtId="0" fontId="33" fillId="3" borderId="0" xfId="0" applyFont="1" applyFill="1"/>
    <xf numFmtId="0" fontId="26" fillId="3" borderId="0" xfId="0" applyFont="1" applyFill="1" applyAlignment="1">
      <alignment horizontal="center" wrapText="1"/>
    </xf>
    <xf numFmtId="0" fontId="26" fillId="3" borderId="0" xfId="0" applyFont="1" applyFill="1" applyAlignment="1"/>
    <xf numFmtId="0" fontId="35" fillId="0" borderId="0" xfId="0" applyFont="1" applyFill="1" applyBorder="1" applyProtection="1"/>
    <xf numFmtId="0" fontId="7" fillId="0" borderId="0" xfId="0" applyFont="1" applyFill="1" applyBorder="1" applyAlignment="1" applyProtection="1"/>
    <xf numFmtId="0" fontId="36" fillId="0" borderId="0" xfId="0" applyFont="1" applyFill="1" applyBorder="1" applyProtection="1"/>
    <xf numFmtId="164" fontId="14" fillId="3" borderId="0" xfId="1" applyFont="1" applyFill="1" applyBorder="1" applyAlignment="1" applyProtection="1">
      <alignment horizontal="left" indent="1"/>
    </xf>
    <xf numFmtId="0" fontId="37" fillId="3" borderId="0" xfId="0" applyFont="1" applyFill="1"/>
    <xf numFmtId="0" fontId="38" fillId="3" borderId="0" xfId="0" applyFont="1" applyFill="1"/>
    <xf numFmtId="0" fontId="26" fillId="3" borderId="0" xfId="0" applyFont="1" applyFill="1" applyAlignment="1">
      <alignment horizontal="left"/>
    </xf>
    <xf numFmtId="0" fontId="15" fillId="3" borderId="7" xfId="0" applyFont="1" applyFill="1" applyBorder="1" applyAlignment="1" applyProtection="1">
      <alignment horizontal="left" wrapText="1"/>
    </xf>
    <xf numFmtId="164" fontId="15" fillId="3" borderId="8" xfId="1" applyFont="1" applyFill="1" applyBorder="1" applyAlignment="1" applyProtection="1">
      <alignment horizontal="left" wrapText="1"/>
    </xf>
    <xf numFmtId="3" fontId="15" fillId="3" borderId="8" xfId="1" applyNumberFormat="1" applyFont="1" applyFill="1" applyBorder="1" applyAlignment="1" applyProtection="1">
      <alignment horizontal="right" indent="1"/>
    </xf>
    <xf numFmtId="1" fontId="15" fillId="3" borderId="8" xfId="1" quotePrefix="1" applyNumberFormat="1" applyFont="1" applyFill="1" applyBorder="1" applyAlignment="1" applyProtection="1">
      <alignment horizontal="right" indent="1"/>
    </xf>
    <xf numFmtId="0" fontId="38" fillId="3" borderId="0" xfId="0" applyFont="1" applyFill="1" applyAlignment="1"/>
    <xf numFmtId="165" fontId="15" fillId="3" borderId="0" xfId="1" applyNumberFormat="1" applyFont="1" applyFill="1" applyBorder="1" applyAlignment="1" applyProtection="1">
      <alignment horizontal="right" indent="1"/>
    </xf>
    <xf numFmtId="3" fontId="39" fillId="3" borderId="0" xfId="5" applyNumberFormat="1" applyFont="1" applyFill="1" applyBorder="1" applyAlignment="1" applyProtection="1">
      <alignment horizontal="left" indent="1"/>
    </xf>
    <xf numFmtId="3" fontId="39" fillId="3" borderId="0" xfId="9" applyNumberFormat="1" applyFont="1" applyFill="1" applyBorder="1" applyAlignment="1" applyProtection="1">
      <alignment horizontal="right" indent="1"/>
    </xf>
    <xf numFmtId="3" fontId="14" fillId="0" borderId="0" xfId="9" applyNumberFormat="1" applyFont="1" applyFill="1" applyBorder="1" applyAlignment="1" applyProtection="1">
      <alignment horizontal="right" indent="1"/>
    </xf>
    <xf numFmtId="169" fontId="0" fillId="0" borderId="0" xfId="0" applyNumberFormat="1"/>
    <xf numFmtId="165" fontId="17" fillId="0" borderId="0" xfId="0" applyNumberFormat="1" applyFont="1"/>
    <xf numFmtId="169" fontId="17" fillId="0" borderId="0" xfId="0" applyNumberFormat="1" applyFont="1"/>
    <xf numFmtId="0" fontId="3" fillId="0" borderId="0" xfId="1" applyNumberFormat="1" applyFont="1" applyFill="1" applyBorder="1" applyProtection="1"/>
    <xf numFmtId="0" fontId="26" fillId="3" borderId="0" xfId="0" applyFont="1" applyFill="1" applyAlignment="1">
      <alignment wrapText="1"/>
    </xf>
    <xf numFmtId="165" fontId="39" fillId="3" borderId="0" xfId="9" applyNumberFormat="1" applyFont="1" applyFill="1" applyBorder="1" applyAlignment="1" applyProtection="1">
      <alignment horizontal="right" indent="1"/>
    </xf>
    <xf numFmtId="165" fontId="14" fillId="3" borderId="8" xfId="9" applyNumberFormat="1" applyFont="1" applyFill="1" applyBorder="1" applyAlignment="1" applyProtection="1">
      <alignment horizontal="right" indent="1"/>
    </xf>
    <xf numFmtId="167" fontId="15" fillId="3" borderId="0" xfId="0" applyNumberFormat="1" applyFont="1" applyFill="1" applyBorder="1" applyAlignment="1" applyProtection="1">
      <alignment horizontal="right"/>
    </xf>
    <xf numFmtId="167" fontId="14" fillId="3" borderId="0" xfId="0" applyNumberFormat="1" applyFont="1" applyFill="1" applyBorder="1" applyAlignment="1" applyProtection="1">
      <alignment horizontal="right"/>
    </xf>
    <xf numFmtId="167" fontId="14" fillId="3" borderId="6" xfId="0" applyNumberFormat="1" applyFont="1" applyFill="1" applyBorder="1" applyAlignment="1" applyProtection="1">
      <alignment horizontal="right"/>
    </xf>
    <xf numFmtId="0" fontId="26" fillId="3" borderId="0" xfId="0" applyFont="1" applyFill="1" applyAlignment="1">
      <alignment horizontal="left" wrapText="1"/>
    </xf>
    <xf numFmtId="3" fontId="15" fillId="3" borderId="0" xfId="9" applyNumberFormat="1" applyFont="1" applyFill="1" applyBorder="1" applyAlignment="1" applyProtection="1">
      <alignment horizontal="right" indent="1"/>
    </xf>
    <xf numFmtId="165" fontId="15" fillId="3" borderId="0" xfId="9" applyNumberFormat="1" applyFont="1" applyFill="1" applyBorder="1" applyAlignment="1" applyProtection="1">
      <alignment horizontal="right" indent="1"/>
    </xf>
    <xf numFmtId="3" fontId="17" fillId="0" borderId="0" xfId="0" applyNumberFormat="1" applyFont="1"/>
    <xf numFmtId="170" fontId="17" fillId="0" borderId="0" xfId="0" applyNumberFormat="1" applyFont="1"/>
    <xf numFmtId="0" fontId="26" fillId="3" borderId="0" xfId="0" applyFont="1" applyFill="1" applyAlignment="1">
      <alignment horizontal="left" wrapText="1"/>
    </xf>
    <xf numFmtId="172" fontId="17" fillId="0" borderId="0" xfId="0" applyNumberFormat="1" applyFont="1"/>
    <xf numFmtId="171" fontId="14" fillId="0" borderId="0" xfId="9" applyNumberFormat="1" applyFont="1" applyFill="1" applyBorder="1" applyAlignment="1" applyProtection="1">
      <alignment horizontal="right" indent="1"/>
    </xf>
    <xf numFmtId="0" fontId="26" fillId="3" borderId="0" xfId="0" applyFont="1" applyFill="1" applyAlignment="1">
      <alignment horizontal="left" wrapText="1"/>
    </xf>
    <xf numFmtId="0" fontId="0" fillId="0" borderId="0" xfId="0" applyFill="1" applyAlignment="1"/>
    <xf numFmtId="0" fontId="0" fillId="0" borderId="0" xfId="0" applyFill="1"/>
    <xf numFmtId="164" fontId="14" fillId="0" borderId="0" xfId="1" applyFont="1" applyFill="1" applyBorder="1" applyAlignment="1" applyProtection="1">
      <alignment horizontal="center" wrapText="1"/>
    </xf>
    <xf numFmtId="168" fontId="27" fillId="3" borderId="0" xfId="0" applyNumberFormat="1" applyFont="1" applyFill="1" applyAlignment="1">
      <alignment horizontal="right"/>
    </xf>
    <xf numFmtId="0" fontId="26" fillId="3" borderId="0" xfId="0" applyFont="1" applyFill="1" applyAlignment="1">
      <alignment vertical="center" wrapText="1"/>
    </xf>
    <xf numFmtId="0" fontId="28" fillId="3" borderId="0" xfId="0" applyFont="1" applyFill="1" applyAlignment="1">
      <alignment horizontal="right"/>
    </xf>
    <xf numFmtId="0" fontId="28" fillId="3" borderId="0" xfId="0" applyFont="1" applyFill="1" applyAlignment="1">
      <alignment horizontal="left"/>
    </xf>
    <xf numFmtId="0" fontId="27" fillId="3" borderId="0" xfId="0" applyFont="1" applyFill="1" applyAlignment="1">
      <alignment horizontal="left"/>
    </xf>
    <xf numFmtId="0" fontId="26" fillId="0" borderId="0" xfId="0" applyFont="1" applyFill="1" applyAlignment="1">
      <alignment wrapText="1"/>
    </xf>
    <xf numFmtId="0" fontId="40" fillId="3" borderId="0" xfId="0" applyFont="1" applyFill="1" applyAlignment="1">
      <alignment horizontal="right"/>
    </xf>
    <xf numFmtId="0" fontId="27" fillId="3" borderId="0" xfId="0" applyFont="1" applyFill="1" applyAlignment="1">
      <alignment horizontal="right"/>
    </xf>
    <xf numFmtId="0" fontId="28" fillId="3" borderId="0" xfId="0" applyFont="1" applyFill="1" applyAlignment="1">
      <alignment wrapText="1"/>
    </xf>
    <xf numFmtId="0" fontId="14" fillId="0" borderId="0" xfId="1" applyNumberFormat="1" applyFont="1" applyFill="1" applyAlignment="1" applyProtection="1">
      <alignment horizontal="justify" wrapText="1"/>
    </xf>
    <xf numFmtId="164" fontId="9" fillId="2" borderId="0" xfId="1" applyFont="1" applyFill="1" applyBorder="1" applyAlignment="1" applyProtection="1">
      <alignment horizontal="right" indent="1"/>
    </xf>
    <xf numFmtId="164" fontId="9" fillId="2" borderId="2" xfId="1" applyFont="1" applyFill="1" applyBorder="1" applyAlignment="1" applyProtection="1">
      <alignment horizontal="right" indent="1"/>
    </xf>
    <xf numFmtId="0" fontId="14" fillId="0" borderId="5" xfId="1" applyNumberFormat="1" applyFont="1" applyFill="1" applyBorder="1" applyAlignment="1" applyProtection="1">
      <alignment horizontal="justify"/>
    </xf>
    <xf numFmtId="0" fontId="14" fillId="0" borderId="0" xfId="1" applyNumberFormat="1" applyFont="1" applyFill="1" applyBorder="1" applyAlignment="1" applyProtection="1">
      <alignment horizontal="justify"/>
    </xf>
    <xf numFmtId="164" fontId="8" fillId="2" borderId="0" xfId="1" applyFont="1" applyFill="1" applyBorder="1" applyAlignment="1" applyProtection="1">
      <alignment horizontal="left" vertical="center" wrapText="1"/>
    </xf>
    <xf numFmtId="164" fontId="8" fillId="2" borderId="1" xfId="1" applyFont="1" applyFill="1" applyBorder="1" applyAlignment="1" applyProtection="1">
      <alignment horizontal="left" vertical="center" wrapText="1"/>
    </xf>
    <xf numFmtId="0" fontId="26" fillId="3" borderId="0" xfId="0" applyFont="1" applyFill="1" applyAlignment="1">
      <alignment horizontal="left" vertical="center" wrapText="1"/>
    </xf>
    <xf numFmtId="0" fontId="26" fillId="3" borderId="0" xfId="0" applyFont="1" applyFill="1" applyAlignment="1">
      <alignment horizontal="left" wrapText="1"/>
    </xf>
    <xf numFmtId="164" fontId="14" fillId="3" borderId="0" xfId="1" applyFont="1" applyFill="1" applyBorder="1" applyAlignment="1" applyProtection="1">
      <alignment horizontal="center" wrapText="1"/>
    </xf>
    <xf numFmtId="164" fontId="14" fillId="3" borderId="0" xfId="1" applyFont="1" applyFill="1" applyBorder="1" applyAlignment="1" applyProtection="1">
      <alignment horizontal="justify" wrapText="1"/>
    </xf>
    <xf numFmtId="0" fontId="38" fillId="3" borderId="0" xfId="0" applyFont="1" applyFill="1" applyAlignment="1">
      <alignment horizontal="justify" wrapText="1"/>
    </xf>
  </cellXfs>
  <cellStyles count="10">
    <cellStyle name="Normal" xfId="0" builtinId="0"/>
    <cellStyle name="Normal 2" xfId="1" xr:uid="{00000000-0005-0000-0000-000001000000}"/>
    <cellStyle name="Normal 2 2" xfId="8" xr:uid="{00000000-0005-0000-0000-000002000000}"/>
    <cellStyle name="Normal 3" xfId="3" xr:uid="{00000000-0005-0000-0000-000003000000}"/>
    <cellStyle name="Normal 3 2" xfId="4" xr:uid="{00000000-0005-0000-0000-000004000000}"/>
    <cellStyle name="Normal 5" xfId="7" xr:uid="{00000000-0005-0000-0000-000005000000}"/>
    <cellStyle name="Normal 7" xfId="6" xr:uid="{00000000-0005-0000-0000-000006000000}"/>
    <cellStyle name="Normal_A1 Comparacion Internacional" xfId="2" xr:uid="{00000000-0005-0000-0000-000009000000}"/>
    <cellStyle name="Normal_cuadro 1.1 2" xfId="9" xr:uid="{00000000-0005-0000-0000-00000A000000}"/>
    <cellStyle name="Normal_TTTTTTTT" xfId="5" xr:uid="{00000000-0005-0000-0000-00000C000000}"/>
  </cellStyles>
  <dxfs count="0"/>
  <tableStyles count="0" defaultTableStyle="TableStyleMedium2" defaultPivotStyle="PivotStyleLight16"/>
  <colors>
    <mruColors>
      <color rgb="FF004563"/>
      <color rgb="FFF5F5F5"/>
      <color rgb="FFA6A6A6"/>
      <color rgb="FF5B9BD5"/>
      <color rgb="FF464394"/>
      <color rgb="FFCFA2CA"/>
      <color rgb="FFFFCC66"/>
      <color rgb="FF993300"/>
      <color rgb="FF9A5CBC"/>
      <color rgb="FF6FB1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28575</xdr:colOff>
      <xdr:row>0</xdr:row>
      <xdr:rowOff>180975</xdr:rowOff>
    </xdr:from>
    <xdr:to>
      <xdr:col>2</xdr:col>
      <xdr:colOff>914400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9523</xdr:colOff>
      <xdr:row>2</xdr:row>
      <xdr:rowOff>38100</xdr:rowOff>
    </xdr:from>
    <xdr:to>
      <xdr:col>15</xdr:col>
      <xdr:colOff>13723</xdr:colOff>
      <xdr:row>2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200023" y="495300"/>
          <a:ext cx="907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28575</xdr:colOff>
      <xdr:row>0</xdr:row>
      <xdr:rowOff>152400</xdr:rowOff>
    </xdr:from>
    <xdr:to>
      <xdr:col>2</xdr:col>
      <xdr:colOff>914400</xdr:colOff>
      <xdr:row>1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A254CB-60EB-4483-BB7E-C9437355E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40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2</xdr:row>
      <xdr:rowOff>28575</xdr:rowOff>
    </xdr:from>
    <xdr:to>
      <xdr:col>5</xdr:col>
      <xdr:colOff>21599</xdr:colOff>
      <xdr:row>2</xdr:row>
      <xdr:rowOff>28575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E825740-D7B2-44BD-9125-9502775E09BC}"/>
            </a:ext>
          </a:extLst>
        </xdr:cNvPr>
        <xdr:cNvSpPr>
          <a:spLocks noChangeShapeType="1"/>
        </xdr:cNvSpPr>
      </xdr:nvSpPr>
      <xdr:spPr bwMode="auto">
        <a:xfrm flipH="1">
          <a:off x="200024" y="485775"/>
          <a:ext cx="55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28575</xdr:colOff>
      <xdr:row>0</xdr:row>
      <xdr:rowOff>152400</xdr:rowOff>
    </xdr:from>
    <xdr:to>
      <xdr:col>2</xdr:col>
      <xdr:colOff>914400</xdr:colOff>
      <xdr:row>1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40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2</xdr:row>
      <xdr:rowOff>28575</xdr:rowOff>
    </xdr:from>
    <xdr:to>
      <xdr:col>13</xdr:col>
      <xdr:colOff>2544524</xdr:colOff>
      <xdr:row>2</xdr:row>
      <xdr:rowOff>28575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200024" y="485775"/>
          <a:ext cx="1206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28575</xdr:colOff>
      <xdr:row>0</xdr:row>
      <xdr:rowOff>152400</xdr:rowOff>
    </xdr:from>
    <xdr:to>
      <xdr:col>3</xdr:col>
      <xdr:colOff>66675</xdr:colOff>
      <xdr:row>1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40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2</xdr:row>
      <xdr:rowOff>28575</xdr:rowOff>
    </xdr:from>
    <xdr:to>
      <xdr:col>15</xdr:col>
      <xdr:colOff>833099</xdr:colOff>
      <xdr:row>2</xdr:row>
      <xdr:rowOff>28575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200024" y="485775"/>
          <a:ext cx="1184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28575</xdr:colOff>
      <xdr:row>0</xdr:row>
      <xdr:rowOff>152400</xdr:rowOff>
    </xdr:from>
    <xdr:to>
      <xdr:col>3</xdr:col>
      <xdr:colOff>66675</xdr:colOff>
      <xdr:row>1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B706AF-31DD-4881-B693-CBF838286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40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2</xdr:row>
      <xdr:rowOff>28575</xdr:rowOff>
    </xdr:from>
    <xdr:to>
      <xdr:col>16</xdr:col>
      <xdr:colOff>813374</xdr:colOff>
      <xdr:row>2</xdr:row>
      <xdr:rowOff>28575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848FC8B-C4A7-4312-8A17-036D37E49810}"/>
            </a:ext>
          </a:extLst>
        </xdr:cNvPr>
        <xdr:cNvSpPr>
          <a:spLocks noChangeShapeType="1"/>
        </xdr:cNvSpPr>
      </xdr:nvSpPr>
      <xdr:spPr bwMode="auto">
        <a:xfrm flipH="1">
          <a:off x="200024" y="485775"/>
          <a:ext cx="1267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9525</xdr:rowOff>
    </xdr:from>
    <xdr:to>
      <xdr:col>8</xdr:col>
      <xdr:colOff>745275</xdr:colOff>
      <xdr:row>2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H="1">
          <a:off x="180975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</xdr:col>
      <xdr:colOff>1</xdr:colOff>
      <xdr:row>0</xdr:row>
      <xdr:rowOff>161925</xdr:rowOff>
    </xdr:from>
    <xdr:to>
      <xdr:col>1</xdr:col>
      <xdr:colOff>885826</xdr:colOff>
      <xdr:row>1</xdr:row>
      <xdr:rowOff>171450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16192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W41"/>
  <sheetViews>
    <sheetView showGridLines="0" showRowColHeaders="0" showOutlineSymbols="0" zoomScaleNormal="100" workbookViewId="0">
      <selection activeCell="B1" sqref="B1"/>
    </sheetView>
  </sheetViews>
  <sheetFormatPr baseColWidth="10" defaultRowHeight="12.75"/>
  <cols>
    <col min="1" max="1" width="0.140625" style="1" customWidth="1"/>
    <col min="2" max="2" width="2.7109375" style="1" customWidth="1"/>
    <col min="3" max="3" width="31.42578125" style="8" customWidth="1"/>
    <col min="4" max="4" width="8.7109375" style="12" customWidth="1"/>
    <col min="5" max="11" width="8.7109375" style="8" customWidth="1"/>
    <col min="12" max="12" width="8.7109375" style="12" customWidth="1"/>
    <col min="13" max="13" width="8.7109375" style="8" customWidth="1"/>
    <col min="14" max="14" width="8.7109375" style="12" customWidth="1"/>
    <col min="15" max="15" width="8.7109375" style="8" customWidth="1"/>
    <col min="16" max="250" width="11.42578125" style="8"/>
    <col min="251" max="251" width="0.140625" style="8" customWidth="1"/>
    <col min="252" max="252" width="2.7109375" style="8" customWidth="1"/>
    <col min="253" max="253" width="15.42578125" style="8" customWidth="1"/>
    <col min="254" max="254" width="1.28515625" style="8" customWidth="1"/>
    <col min="255" max="255" width="27.7109375" style="8" customWidth="1"/>
    <col min="256" max="256" width="6.7109375" style="8" customWidth="1"/>
    <col min="257" max="257" width="1.5703125" style="8" customWidth="1"/>
    <col min="258" max="258" width="10.5703125" style="8" customWidth="1"/>
    <col min="259" max="259" width="5.85546875" style="8" customWidth="1"/>
    <col min="260" max="260" width="1.5703125" style="8" customWidth="1"/>
    <col min="261" max="261" width="10.5703125" style="8" customWidth="1"/>
    <col min="262" max="262" width="6.7109375" style="8" customWidth="1"/>
    <col min="263" max="263" width="1.5703125" style="8" customWidth="1"/>
    <col min="264" max="264" width="10.5703125" style="8" customWidth="1"/>
    <col min="265" max="265" width="9.7109375" style="8" customWidth="1"/>
    <col min="266" max="266" width="13.28515625" style="8" bestFit="1" customWidth="1"/>
    <col min="267" max="267" width="7.7109375" style="8" customWidth="1"/>
    <col min="268" max="268" width="11.42578125" style="8"/>
    <col min="269" max="269" width="13.28515625" style="8" bestFit="1" customWidth="1"/>
    <col min="270" max="506" width="11.42578125" style="8"/>
    <col min="507" max="507" width="0.140625" style="8" customWidth="1"/>
    <col min="508" max="508" width="2.7109375" style="8" customWidth="1"/>
    <col min="509" max="509" width="15.42578125" style="8" customWidth="1"/>
    <col min="510" max="510" width="1.28515625" style="8" customWidth="1"/>
    <col min="511" max="511" width="27.7109375" style="8" customWidth="1"/>
    <col min="512" max="512" width="6.7109375" style="8" customWidth="1"/>
    <col min="513" max="513" width="1.5703125" style="8" customWidth="1"/>
    <col min="514" max="514" width="10.5703125" style="8" customWidth="1"/>
    <col min="515" max="515" width="5.85546875" style="8" customWidth="1"/>
    <col min="516" max="516" width="1.5703125" style="8" customWidth="1"/>
    <col min="517" max="517" width="10.5703125" style="8" customWidth="1"/>
    <col min="518" max="518" width="6.7109375" style="8" customWidth="1"/>
    <col min="519" max="519" width="1.5703125" style="8" customWidth="1"/>
    <col min="520" max="520" width="10.5703125" style="8" customWidth="1"/>
    <col min="521" max="521" width="9.7109375" style="8" customWidth="1"/>
    <col min="522" max="522" width="13.28515625" style="8" bestFit="1" customWidth="1"/>
    <col min="523" max="523" width="7.7109375" style="8" customWidth="1"/>
    <col min="524" max="524" width="11.42578125" style="8"/>
    <col min="525" max="525" width="13.28515625" style="8" bestFit="1" customWidth="1"/>
    <col min="526" max="762" width="11.42578125" style="8"/>
    <col min="763" max="763" width="0.140625" style="8" customWidth="1"/>
    <col min="764" max="764" width="2.7109375" style="8" customWidth="1"/>
    <col min="765" max="765" width="15.42578125" style="8" customWidth="1"/>
    <col min="766" max="766" width="1.28515625" style="8" customWidth="1"/>
    <col min="767" max="767" width="27.7109375" style="8" customWidth="1"/>
    <col min="768" max="768" width="6.7109375" style="8" customWidth="1"/>
    <col min="769" max="769" width="1.5703125" style="8" customWidth="1"/>
    <col min="770" max="770" width="10.5703125" style="8" customWidth="1"/>
    <col min="771" max="771" width="5.85546875" style="8" customWidth="1"/>
    <col min="772" max="772" width="1.5703125" style="8" customWidth="1"/>
    <col min="773" max="773" width="10.5703125" style="8" customWidth="1"/>
    <col min="774" max="774" width="6.7109375" style="8" customWidth="1"/>
    <col min="775" max="775" width="1.5703125" style="8" customWidth="1"/>
    <col min="776" max="776" width="10.5703125" style="8" customWidth="1"/>
    <col min="777" max="777" width="9.7109375" style="8" customWidth="1"/>
    <col min="778" max="778" width="13.28515625" style="8" bestFit="1" customWidth="1"/>
    <col min="779" max="779" width="7.7109375" style="8" customWidth="1"/>
    <col min="780" max="780" width="11.42578125" style="8"/>
    <col min="781" max="781" width="13.28515625" style="8" bestFit="1" customWidth="1"/>
    <col min="782" max="1018" width="11.42578125" style="8"/>
    <col min="1019" max="1019" width="0.140625" style="8" customWidth="1"/>
    <col min="1020" max="1020" width="2.7109375" style="8" customWidth="1"/>
    <col min="1021" max="1021" width="15.42578125" style="8" customWidth="1"/>
    <col min="1022" max="1022" width="1.28515625" style="8" customWidth="1"/>
    <col min="1023" max="1023" width="27.7109375" style="8" customWidth="1"/>
    <col min="1024" max="1024" width="6.7109375" style="8" customWidth="1"/>
    <col min="1025" max="1025" width="1.5703125" style="8" customWidth="1"/>
    <col min="1026" max="1026" width="10.5703125" style="8" customWidth="1"/>
    <col min="1027" max="1027" width="5.85546875" style="8" customWidth="1"/>
    <col min="1028" max="1028" width="1.5703125" style="8" customWidth="1"/>
    <col min="1029" max="1029" width="10.5703125" style="8" customWidth="1"/>
    <col min="1030" max="1030" width="6.7109375" style="8" customWidth="1"/>
    <col min="1031" max="1031" width="1.5703125" style="8" customWidth="1"/>
    <col min="1032" max="1032" width="10.5703125" style="8" customWidth="1"/>
    <col min="1033" max="1033" width="9.7109375" style="8" customWidth="1"/>
    <col min="1034" max="1034" width="13.28515625" style="8" bestFit="1" customWidth="1"/>
    <col min="1035" max="1035" width="7.7109375" style="8" customWidth="1"/>
    <col min="1036" max="1036" width="11.42578125" style="8"/>
    <col min="1037" max="1037" width="13.28515625" style="8" bestFit="1" customWidth="1"/>
    <col min="1038" max="1274" width="11.42578125" style="8"/>
    <col min="1275" max="1275" width="0.140625" style="8" customWidth="1"/>
    <col min="1276" max="1276" width="2.7109375" style="8" customWidth="1"/>
    <col min="1277" max="1277" width="15.42578125" style="8" customWidth="1"/>
    <col min="1278" max="1278" width="1.28515625" style="8" customWidth="1"/>
    <col min="1279" max="1279" width="27.7109375" style="8" customWidth="1"/>
    <col min="1280" max="1280" width="6.7109375" style="8" customWidth="1"/>
    <col min="1281" max="1281" width="1.5703125" style="8" customWidth="1"/>
    <col min="1282" max="1282" width="10.5703125" style="8" customWidth="1"/>
    <col min="1283" max="1283" width="5.85546875" style="8" customWidth="1"/>
    <col min="1284" max="1284" width="1.5703125" style="8" customWidth="1"/>
    <col min="1285" max="1285" width="10.5703125" style="8" customWidth="1"/>
    <col min="1286" max="1286" width="6.7109375" style="8" customWidth="1"/>
    <col min="1287" max="1287" width="1.5703125" style="8" customWidth="1"/>
    <col min="1288" max="1288" width="10.5703125" style="8" customWidth="1"/>
    <col min="1289" max="1289" width="9.7109375" style="8" customWidth="1"/>
    <col min="1290" max="1290" width="13.28515625" style="8" bestFit="1" customWidth="1"/>
    <col min="1291" max="1291" width="7.7109375" style="8" customWidth="1"/>
    <col min="1292" max="1292" width="11.42578125" style="8"/>
    <col min="1293" max="1293" width="13.28515625" style="8" bestFit="1" customWidth="1"/>
    <col min="1294" max="1530" width="11.42578125" style="8"/>
    <col min="1531" max="1531" width="0.140625" style="8" customWidth="1"/>
    <col min="1532" max="1532" width="2.7109375" style="8" customWidth="1"/>
    <col min="1533" max="1533" width="15.42578125" style="8" customWidth="1"/>
    <col min="1534" max="1534" width="1.28515625" style="8" customWidth="1"/>
    <col min="1535" max="1535" width="27.7109375" style="8" customWidth="1"/>
    <col min="1536" max="1536" width="6.7109375" style="8" customWidth="1"/>
    <col min="1537" max="1537" width="1.5703125" style="8" customWidth="1"/>
    <col min="1538" max="1538" width="10.5703125" style="8" customWidth="1"/>
    <col min="1539" max="1539" width="5.85546875" style="8" customWidth="1"/>
    <col min="1540" max="1540" width="1.5703125" style="8" customWidth="1"/>
    <col min="1541" max="1541" width="10.5703125" style="8" customWidth="1"/>
    <col min="1542" max="1542" width="6.7109375" style="8" customWidth="1"/>
    <col min="1543" max="1543" width="1.5703125" style="8" customWidth="1"/>
    <col min="1544" max="1544" width="10.5703125" style="8" customWidth="1"/>
    <col min="1545" max="1545" width="9.7109375" style="8" customWidth="1"/>
    <col min="1546" max="1546" width="13.28515625" style="8" bestFit="1" customWidth="1"/>
    <col min="1547" max="1547" width="7.7109375" style="8" customWidth="1"/>
    <col min="1548" max="1548" width="11.42578125" style="8"/>
    <col min="1549" max="1549" width="13.28515625" style="8" bestFit="1" customWidth="1"/>
    <col min="1550" max="1786" width="11.42578125" style="8"/>
    <col min="1787" max="1787" width="0.140625" style="8" customWidth="1"/>
    <col min="1788" max="1788" width="2.7109375" style="8" customWidth="1"/>
    <col min="1789" max="1789" width="15.42578125" style="8" customWidth="1"/>
    <col min="1790" max="1790" width="1.28515625" style="8" customWidth="1"/>
    <col min="1791" max="1791" width="27.7109375" style="8" customWidth="1"/>
    <col min="1792" max="1792" width="6.7109375" style="8" customWidth="1"/>
    <col min="1793" max="1793" width="1.5703125" style="8" customWidth="1"/>
    <col min="1794" max="1794" width="10.5703125" style="8" customWidth="1"/>
    <col min="1795" max="1795" width="5.85546875" style="8" customWidth="1"/>
    <col min="1796" max="1796" width="1.5703125" style="8" customWidth="1"/>
    <col min="1797" max="1797" width="10.5703125" style="8" customWidth="1"/>
    <col min="1798" max="1798" width="6.7109375" style="8" customWidth="1"/>
    <col min="1799" max="1799" width="1.5703125" style="8" customWidth="1"/>
    <col min="1800" max="1800" width="10.5703125" style="8" customWidth="1"/>
    <col min="1801" max="1801" width="9.7109375" style="8" customWidth="1"/>
    <col min="1802" max="1802" width="13.28515625" style="8" bestFit="1" customWidth="1"/>
    <col min="1803" max="1803" width="7.7109375" style="8" customWidth="1"/>
    <col min="1804" max="1804" width="11.42578125" style="8"/>
    <col min="1805" max="1805" width="13.28515625" style="8" bestFit="1" customWidth="1"/>
    <col min="1806" max="2042" width="11.42578125" style="8"/>
    <col min="2043" max="2043" width="0.140625" style="8" customWidth="1"/>
    <col min="2044" max="2044" width="2.7109375" style="8" customWidth="1"/>
    <col min="2045" max="2045" width="15.42578125" style="8" customWidth="1"/>
    <col min="2046" max="2046" width="1.28515625" style="8" customWidth="1"/>
    <col min="2047" max="2047" width="27.7109375" style="8" customWidth="1"/>
    <col min="2048" max="2048" width="6.7109375" style="8" customWidth="1"/>
    <col min="2049" max="2049" width="1.5703125" style="8" customWidth="1"/>
    <col min="2050" max="2050" width="10.5703125" style="8" customWidth="1"/>
    <col min="2051" max="2051" width="5.85546875" style="8" customWidth="1"/>
    <col min="2052" max="2052" width="1.5703125" style="8" customWidth="1"/>
    <col min="2053" max="2053" width="10.5703125" style="8" customWidth="1"/>
    <col min="2054" max="2054" width="6.7109375" style="8" customWidth="1"/>
    <col min="2055" max="2055" width="1.5703125" style="8" customWidth="1"/>
    <col min="2056" max="2056" width="10.5703125" style="8" customWidth="1"/>
    <col min="2057" max="2057" width="9.7109375" style="8" customWidth="1"/>
    <col min="2058" max="2058" width="13.28515625" style="8" bestFit="1" customWidth="1"/>
    <col min="2059" max="2059" width="7.7109375" style="8" customWidth="1"/>
    <col min="2060" max="2060" width="11.42578125" style="8"/>
    <col min="2061" max="2061" width="13.28515625" style="8" bestFit="1" customWidth="1"/>
    <col min="2062" max="2298" width="11.42578125" style="8"/>
    <col min="2299" max="2299" width="0.140625" style="8" customWidth="1"/>
    <col min="2300" max="2300" width="2.7109375" style="8" customWidth="1"/>
    <col min="2301" max="2301" width="15.42578125" style="8" customWidth="1"/>
    <col min="2302" max="2302" width="1.28515625" style="8" customWidth="1"/>
    <col min="2303" max="2303" width="27.7109375" style="8" customWidth="1"/>
    <col min="2304" max="2304" width="6.7109375" style="8" customWidth="1"/>
    <col min="2305" max="2305" width="1.5703125" style="8" customWidth="1"/>
    <col min="2306" max="2306" width="10.5703125" style="8" customWidth="1"/>
    <col min="2307" max="2307" width="5.85546875" style="8" customWidth="1"/>
    <col min="2308" max="2308" width="1.5703125" style="8" customWidth="1"/>
    <col min="2309" max="2309" width="10.5703125" style="8" customWidth="1"/>
    <col min="2310" max="2310" width="6.7109375" style="8" customWidth="1"/>
    <col min="2311" max="2311" width="1.5703125" style="8" customWidth="1"/>
    <col min="2312" max="2312" width="10.5703125" style="8" customWidth="1"/>
    <col min="2313" max="2313" width="9.7109375" style="8" customWidth="1"/>
    <col min="2314" max="2314" width="13.28515625" style="8" bestFit="1" customWidth="1"/>
    <col min="2315" max="2315" width="7.7109375" style="8" customWidth="1"/>
    <col min="2316" max="2316" width="11.42578125" style="8"/>
    <col min="2317" max="2317" width="13.28515625" style="8" bestFit="1" customWidth="1"/>
    <col min="2318" max="2554" width="11.42578125" style="8"/>
    <col min="2555" max="2555" width="0.140625" style="8" customWidth="1"/>
    <col min="2556" max="2556" width="2.7109375" style="8" customWidth="1"/>
    <col min="2557" max="2557" width="15.42578125" style="8" customWidth="1"/>
    <col min="2558" max="2558" width="1.28515625" style="8" customWidth="1"/>
    <col min="2559" max="2559" width="27.7109375" style="8" customWidth="1"/>
    <col min="2560" max="2560" width="6.7109375" style="8" customWidth="1"/>
    <col min="2561" max="2561" width="1.5703125" style="8" customWidth="1"/>
    <col min="2562" max="2562" width="10.5703125" style="8" customWidth="1"/>
    <col min="2563" max="2563" width="5.85546875" style="8" customWidth="1"/>
    <col min="2564" max="2564" width="1.5703125" style="8" customWidth="1"/>
    <col min="2565" max="2565" width="10.5703125" style="8" customWidth="1"/>
    <col min="2566" max="2566" width="6.7109375" style="8" customWidth="1"/>
    <col min="2567" max="2567" width="1.5703125" style="8" customWidth="1"/>
    <col min="2568" max="2568" width="10.5703125" style="8" customWidth="1"/>
    <col min="2569" max="2569" width="9.7109375" style="8" customWidth="1"/>
    <col min="2570" max="2570" width="13.28515625" style="8" bestFit="1" customWidth="1"/>
    <col min="2571" max="2571" width="7.7109375" style="8" customWidth="1"/>
    <col min="2572" max="2572" width="11.42578125" style="8"/>
    <col min="2573" max="2573" width="13.28515625" style="8" bestFit="1" customWidth="1"/>
    <col min="2574" max="2810" width="11.42578125" style="8"/>
    <col min="2811" max="2811" width="0.140625" style="8" customWidth="1"/>
    <col min="2812" max="2812" width="2.7109375" style="8" customWidth="1"/>
    <col min="2813" max="2813" width="15.42578125" style="8" customWidth="1"/>
    <col min="2814" max="2814" width="1.28515625" style="8" customWidth="1"/>
    <col min="2815" max="2815" width="27.7109375" style="8" customWidth="1"/>
    <col min="2816" max="2816" width="6.7109375" style="8" customWidth="1"/>
    <col min="2817" max="2817" width="1.5703125" style="8" customWidth="1"/>
    <col min="2818" max="2818" width="10.5703125" style="8" customWidth="1"/>
    <col min="2819" max="2819" width="5.85546875" style="8" customWidth="1"/>
    <col min="2820" max="2820" width="1.5703125" style="8" customWidth="1"/>
    <col min="2821" max="2821" width="10.5703125" style="8" customWidth="1"/>
    <col min="2822" max="2822" width="6.7109375" style="8" customWidth="1"/>
    <col min="2823" max="2823" width="1.5703125" style="8" customWidth="1"/>
    <col min="2824" max="2824" width="10.5703125" style="8" customWidth="1"/>
    <col min="2825" max="2825" width="9.7109375" style="8" customWidth="1"/>
    <col min="2826" max="2826" width="13.28515625" style="8" bestFit="1" customWidth="1"/>
    <col min="2827" max="2827" width="7.7109375" style="8" customWidth="1"/>
    <col min="2828" max="2828" width="11.42578125" style="8"/>
    <col min="2829" max="2829" width="13.28515625" style="8" bestFit="1" customWidth="1"/>
    <col min="2830" max="3066" width="11.42578125" style="8"/>
    <col min="3067" max="3067" width="0.140625" style="8" customWidth="1"/>
    <col min="3068" max="3068" width="2.7109375" style="8" customWidth="1"/>
    <col min="3069" max="3069" width="15.42578125" style="8" customWidth="1"/>
    <col min="3070" max="3070" width="1.28515625" style="8" customWidth="1"/>
    <col min="3071" max="3071" width="27.7109375" style="8" customWidth="1"/>
    <col min="3072" max="3072" width="6.7109375" style="8" customWidth="1"/>
    <col min="3073" max="3073" width="1.5703125" style="8" customWidth="1"/>
    <col min="3074" max="3074" width="10.5703125" style="8" customWidth="1"/>
    <col min="3075" max="3075" width="5.85546875" style="8" customWidth="1"/>
    <col min="3076" max="3076" width="1.5703125" style="8" customWidth="1"/>
    <col min="3077" max="3077" width="10.5703125" style="8" customWidth="1"/>
    <col min="3078" max="3078" width="6.7109375" style="8" customWidth="1"/>
    <col min="3079" max="3079" width="1.5703125" style="8" customWidth="1"/>
    <col min="3080" max="3080" width="10.5703125" style="8" customWidth="1"/>
    <col min="3081" max="3081" width="9.7109375" style="8" customWidth="1"/>
    <col min="3082" max="3082" width="13.28515625" style="8" bestFit="1" customWidth="1"/>
    <col min="3083" max="3083" width="7.7109375" style="8" customWidth="1"/>
    <col min="3084" max="3084" width="11.42578125" style="8"/>
    <col min="3085" max="3085" width="13.28515625" style="8" bestFit="1" customWidth="1"/>
    <col min="3086" max="3322" width="11.42578125" style="8"/>
    <col min="3323" max="3323" width="0.140625" style="8" customWidth="1"/>
    <col min="3324" max="3324" width="2.7109375" style="8" customWidth="1"/>
    <col min="3325" max="3325" width="15.42578125" style="8" customWidth="1"/>
    <col min="3326" max="3326" width="1.28515625" style="8" customWidth="1"/>
    <col min="3327" max="3327" width="27.7109375" style="8" customWidth="1"/>
    <col min="3328" max="3328" width="6.7109375" style="8" customWidth="1"/>
    <col min="3329" max="3329" width="1.5703125" style="8" customWidth="1"/>
    <col min="3330" max="3330" width="10.5703125" style="8" customWidth="1"/>
    <col min="3331" max="3331" width="5.85546875" style="8" customWidth="1"/>
    <col min="3332" max="3332" width="1.5703125" style="8" customWidth="1"/>
    <col min="3333" max="3333" width="10.5703125" style="8" customWidth="1"/>
    <col min="3334" max="3334" width="6.7109375" style="8" customWidth="1"/>
    <col min="3335" max="3335" width="1.5703125" style="8" customWidth="1"/>
    <col min="3336" max="3336" width="10.5703125" style="8" customWidth="1"/>
    <col min="3337" max="3337" width="9.7109375" style="8" customWidth="1"/>
    <col min="3338" max="3338" width="13.28515625" style="8" bestFit="1" customWidth="1"/>
    <col min="3339" max="3339" width="7.7109375" style="8" customWidth="1"/>
    <col min="3340" max="3340" width="11.42578125" style="8"/>
    <col min="3341" max="3341" width="13.28515625" style="8" bestFit="1" customWidth="1"/>
    <col min="3342" max="3578" width="11.42578125" style="8"/>
    <col min="3579" max="3579" width="0.140625" style="8" customWidth="1"/>
    <col min="3580" max="3580" width="2.7109375" style="8" customWidth="1"/>
    <col min="3581" max="3581" width="15.42578125" style="8" customWidth="1"/>
    <col min="3582" max="3582" width="1.28515625" style="8" customWidth="1"/>
    <col min="3583" max="3583" width="27.7109375" style="8" customWidth="1"/>
    <col min="3584" max="3584" width="6.7109375" style="8" customWidth="1"/>
    <col min="3585" max="3585" width="1.5703125" style="8" customWidth="1"/>
    <col min="3586" max="3586" width="10.5703125" style="8" customWidth="1"/>
    <col min="3587" max="3587" width="5.85546875" style="8" customWidth="1"/>
    <col min="3588" max="3588" width="1.5703125" style="8" customWidth="1"/>
    <col min="3589" max="3589" width="10.5703125" style="8" customWidth="1"/>
    <col min="3590" max="3590" width="6.7109375" style="8" customWidth="1"/>
    <col min="3591" max="3591" width="1.5703125" style="8" customWidth="1"/>
    <col min="3592" max="3592" width="10.5703125" style="8" customWidth="1"/>
    <col min="3593" max="3593" width="9.7109375" style="8" customWidth="1"/>
    <col min="3594" max="3594" width="13.28515625" style="8" bestFit="1" customWidth="1"/>
    <col min="3595" max="3595" width="7.7109375" style="8" customWidth="1"/>
    <col min="3596" max="3596" width="11.42578125" style="8"/>
    <col min="3597" max="3597" width="13.28515625" style="8" bestFit="1" customWidth="1"/>
    <col min="3598" max="3834" width="11.42578125" style="8"/>
    <col min="3835" max="3835" width="0.140625" style="8" customWidth="1"/>
    <col min="3836" max="3836" width="2.7109375" style="8" customWidth="1"/>
    <col min="3837" max="3837" width="15.42578125" style="8" customWidth="1"/>
    <col min="3838" max="3838" width="1.28515625" style="8" customWidth="1"/>
    <col min="3839" max="3839" width="27.7109375" style="8" customWidth="1"/>
    <col min="3840" max="3840" width="6.7109375" style="8" customWidth="1"/>
    <col min="3841" max="3841" width="1.5703125" style="8" customWidth="1"/>
    <col min="3842" max="3842" width="10.5703125" style="8" customWidth="1"/>
    <col min="3843" max="3843" width="5.85546875" style="8" customWidth="1"/>
    <col min="3844" max="3844" width="1.5703125" style="8" customWidth="1"/>
    <col min="3845" max="3845" width="10.5703125" style="8" customWidth="1"/>
    <col min="3846" max="3846" width="6.7109375" style="8" customWidth="1"/>
    <col min="3847" max="3847" width="1.5703125" style="8" customWidth="1"/>
    <col min="3848" max="3848" width="10.5703125" style="8" customWidth="1"/>
    <col min="3849" max="3849" width="9.7109375" style="8" customWidth="1"/>
    <col min="3850" max="3850" width="13.28515625" style="8" bestFit="1" customWidth="1"/>
    <col min="3851" max="3851" width="7.7109375" style="8" customWidth="1"/>
    <col min="3852" max="3852" width="11.42578125" style="8"/>
    <col min="3853" max="3853" width="13.28515625" style="8" bestFit="1" customWidth="1"/>
    <col min="3854" max="4090" width="11.42578125" style="8"/>
    <col min="4091" max="4091" width="0.140625" style="8" customWidth="1"/>
    <col min="4092" max="4092" width="2.7109375" style="8" customWidth="1"/>
    <col min="4093" max="4093" width="15.42578125" style="8" customWidth="1"/>
    <col min="4094" max="4094" width="1.28515625" style="8" customWidth="1"/>
    <col min="4095" max="4095" width="27.7109375" style="8" customWidth="1"/>
    <col min="4096" max="4096" width="6.7109375" style="8" customWidth="1"/>
    <col min="4097" max="4097" width="1.5703125" style="8" customWidth="1"/>
    <col min="4098" max="4098" width="10.5703125" style="8" customWidth="1"/>
    <col min="4099" max="4099" width="5.85546875" style="8" customWidth="1"/>
    <col min="4100" max="4100" width="1.5703125" style="8" customWidth="1"/>
    <col min="4101" max="4101" width="10.5703125" style="8" customWidth="1"/>
    <col min="4102" max="4102" width="6.7109375" style="8" customWidth="1"/>
    <col min="4103" max="4103" width="1.5703125" style="8" customWidth="1"/>
    <col min="4104" max="4104" width="10.5703125" style="8" customWidth="1"/>
    <col min="4105" max="4105" width="9.7109375" style="8" customWidth="1"/>
    <col min="4106" max="4106" width="13.28515625" style="8" bestFit="1" customWidth="1"/>
    <col min="4107" max="4107" width="7.7109375" style="8" customWidth="1"/>
    <col min="4108" max="4108" width="11.42578125" style="8"/>
    <col min="4109" max="4109" width="13.28515625" style="8" bestFit="1" customWidth="1"/>
    <col min="4110" max="4346" width="11.42578125" style="8"/>
    <col min="4347" max="4347" width="0.140625" style="8" customWidth="1"/>
    <col min="4348" max="4348" width="2.7109375" style="8" customWidth="1"/>
    <col min="4349" max="4349" width="15.42578125" style="8" customWidth="1"/>
    <col min="4350" max="4350" width="1.28515625" style="8" customWidth="1"/>
    <col min="4351" max="4351" width="27.7109375" style="8" customWidth="1"/>
    <col min="4352" max="4352" width="6.7109375" style="8" customWidth="1"/>
    <col min="4353" max="4353" width="1.5703125" style="8" customWidth="1"/>
    <col min="4354" max="4354" width="10.5703125" style="8" customWidth="1"/>
    <col min="4355" max="4355" width="5.85546875" style="8" customWidth="1"/>
    <col min="4356" max="4356" width="1.5703125" style="8" customWidth="1"/>
    <col min="4357" max="4357" width="10.5703125" style="8" customWidth="1"/>
    <col min="4358" max="4358" width="6.7109375" style="8" customWidth="1"/>
    <col min="4359" max="4359" width="1.5703125" style="8" customWidth="1"/>
    <col min="4360" max="4360" width="10.5703125" style="8" customWidth="1"/>
    <col min="4361" max="4361" width="9.7109375" style="8" customWidth="1"/>
    <col min="4362" max="4362" width="13.28515625" style="8" bestFit="1" customWidth="1"/>
    <col min="4363" max="4363" width="7.7109375" style="8" customWidth="1"/>
    <col min="4364" max="4364" width="11.42578125" style="8"/>
    <col min="4365" max="4365" width="13.28515625" style="8" bestFit="1" customWidth="1"/>
    <col min="4366" max="4602" width="11.42578125" style="8"/>
    <col min="4603" max="4603" width="0.140625" style="8" customWidth="1"/>
    <col min="4604" max="4604" width="2.7109375" style="8" customWidth="1"/>
    <col min="4605" max="4605" width="15.42578125" style="8" customWidth="1"/>
    <col min="4606" max="4606" width="1.28515625" style="8" customWidth="1"/>
    <col min="4607" max="4607" width="27.7109375" style="8" customWidth="1"/>
    <col min="4608" max="4608" width="6.7109375" style="8" customWidth="1"/>
    <col min="4609" max="4609" width="1.5703125" style="8" customWidth="1"/>
    <col min="4610" max="4610" width="10.5703125" style="8" customWidth="1"/>
    <col min="4611" max="4611" width="5.85546875" style="8" customWidth="1"/>
    <col min="4612" max="4612" width="1.5703125" style="8" customWidth="1"/>
    <col min="4613" max="4613" width="10.5703125" style="8" customWidth="1"/>
    <col min="4614" max="4614" width="6.7109375" style="8" customWidth="1"/>
    <col min="4615" max="4615" width="1.5703125" style="8" customWidth="1"/>
    <col min="4616" max="4616" width="10.5703125" style="8" customWidth="1"/>
    <col min="4617" max="4617" width="9.7109375" style="8" customWidth="1"/>
    <col min="4618" max="4618" width="13.28515625" style="8" bestFit="1" customWidth="1"/>
    <col min="4619" max="4619" width="7.7109375" style="8" customWidth="1"/>
    <col min="4620" max="4620" width="11.42578125" style="8"/>
    <col min="4621" max="4621" width="13.28515625" style="8" bestFit="1" customWidth="1"/>
    <col min="4622" max="4858" width="11.42578125" style="8"/>
    <col min="4859" max="4859" width="0.140625" style="8" customWidth="1"/>
    <col min="4860" max="4860" width="2.7109375" style="8" customWidth="1"/>
    <col min="4861" max="4861" width="15.42578125" style="8" customWidth="1"/>
    <col min="4862" max="4862" width="1.28515625" style="8" customWidth="1"/>
    <col min="4863" max="4863" width="27.7109375" style="8" customWidth="1"/>
    <col min="4864" max="4864" width="6.7109375" style="8" customWidth="1"/>
    <col min="4865" max="4865" width="1.5703125" style="8" customWidth="1"/>
    <col min="4866" max="4866" width="10.5703125" style="8" customWidth="1"/>
    <col min="4867" max="4867" width="5.85546875" style="8" customWidth="1"/>
    <col min="4868" max="4868" width="1.5703125" style="8" customWidth="1"/>
    <col min="4869" max="4869" width="10.5703125" style="8" customWidth="1"/>
    <col min="4870" max="4870" width="6.7109375" style="8" customWidth="1"/>
    <col min="4871" max="4871" width="1.5703125" style="8" customWidth="1"/>
    <col min="4872" max="4872" width="10.5703125" style="8" customWidth="1"/>
    <col min="4873" max="4873" width="9.7109375" style="8" customWidth="1"/>
    <col min="4874" max="4874" width="13.28515625" style="8" bestFit="1" customWidth="1"/>
    <col min="4875" max="4875" width="7.7109375" style="8" customWidth="1"/>
    <col min="4876" max="4876" width="11.42578125" style="8"/>
    <col min="4877" max="4877" width="13.28515625" style="8" bestFit="1" customWidth="1"/>
    <col min="4878" max="5114" width="11.42578125" style="8"/>
    <col min="5115" max="5115" width="0.140625" style="8" customWidth="1"/>
    <col min="5116" max="5116" width="2.7109375" style="8" customWidth="1"/>
    <col min="5117" max="5117" width="15.42578125" style="8" customWidth="1"/>
    <col min="5118" max="5118" width="1.28515625" style="8" customWidth="1"/>
    <col min="5119" max="5119" width="27.7109375" style="8" customWidth="1"/>
    <col min="5120" max="5120" width="6.7109375" style="8" customWidth="1"/>
    <col min="5121" max="5121" width="1.5703125" style="8" customWidth="1"/>
    <col min="5122" max="5122" width="10.5703125" style="8" customWidth="1"/>
    <col min="5123" max="5123" width="5.85546875" style="8" customWidth="1"/>
    <col min="5124" max="5124" width="1.5703125" style="8" customWidth="1"/>
    <col min="5125" max="5125" width="10.5703125" style="8" customWidth="1"/>
    <col min="5126" max="5126" width="6.7109375" style="8" customWidth="1"/>
    <col min="5127" max="5127" width="1.5703125" style="8" customWidth="1"/>
    <col min="5128" max="5128" width="10.5703125" style="8" customWidth="1"/>
    <col min="5129" max="5129" width="9.7109375" style="8" customWidth="1"/>
    <col min="5130" max="5130" width="13.28515625" style="8" bestFit="1" customWidth="1"/>
    <col min="5131" max="5131" width="7.7109375" style="8" customWidth="1"/>
    <col min="5132" max="5132" width="11.42578125" style="8"/>
    <col min="5133" max="5133" width="13.28515625" style="8" bestFit="1" customWidth="1"/>
    <col min="5134" max="5370" width="11.42578125" style="8"/>
    <col min="5371" max="5371" width="0.140625" style="8" customWidth="1"/>
    <col min="5372" max="5372" width="2.7109375" style="8" customWidth="1"/>
    <col min="5373" max="5373" width="15.42578125" style="8" customWidth="1"/>
    <col min="5374" max="5374" width="1.28515625" style="8" customWidth="1"/>
    <col min="5375" max="5375" width="27.7109375" style="8" customWidth="1"/>
    <col min="5376" max="5376" width="6.7109375" style="8" customWidth="1"/>
    <col min="5377" max="5377" width="1.5703125" style="8" customWidth="1"/>
    <col min="5378" max="5378" width="10.5703125" style="8" customWidth="1"/>
    <col min="5379" max="5379" width="5.85546875" style="8" customWidth="1"/>
    <col min="5380" max="5380" width="1.5703125" style="8" customWidth="1"/>
    <col min="5381" max="5381" width="10.5703125" style="8" customWidth="1"/>
    <col min="5382" max="5382" width="6.7109375" style="8" customWidth="1"/>
    <col min="5383" max="5383" width="1.5703125" style="8" customWidth="1"/>
    <col min="5384" max="5384" width="10.5703125" style="8" customWidth="1"/>
    <col min="5385" max="5385" width="9.7109375" style="8" customWidth="1"/>
    <col min="5386" max="5386" width="13.28515625" style="8" bestFit="1" customWidth="1"/>
    <col min="5387" max="5387" width="7.7109375" style="8" customWidth="1"/>
    <col min="5388" max="5388" width="11.42578125" style="8"/>
    <col min="5389" max="5389" width="13.28515625" style="8" bestFit="1" customWidth="1"/>
    <col min="5390" max="5626" width="11.42578125" style="8"/>
    <col min="5627" max="5627" width="0.140625" style="8" customWidth="1"/>
    <col min="5628" max="5628" width="2.7109375" style="8" customWidth="1"/>
    <col min="5629" max="5629" width="15.42578125" style="8" customWidth="1"/>
    <col min="5630" max="5630" width="1.28515625" style="8" customWidth="1"/>
    <col min="5631" max="5631" width="27.7109375" style="8" customWidth="1"/>
    <col min="5632" max="5632" width="6.7109375" style="8" customWidth="1"/>
    <col min="5633" max="5633" width="1.5703125" style="8" customWidth="1"/>
    <col min="5634" max="5634" width="10.5703125" style="8" customWidth="1"/>
    <col min="5635" max="5635" width="5.85546875" style="8" customWidth="1"/>
    <col min="5636" max="5636" width="1.5703125" style="8" customWidth="1"/>
    <col min="5637" max="5637" width="10.5703125" style="8" customWidth="1"/>
    <col min="5638" max="5638" width="6.7109375" style="8" customWidth="1"/>
    <col min="5639" max="5639" width="1.5703125" style="8" customWidth="1"/>
    <col min="5640" max="5640" width="10.5703125" style="8" customWidth="1"/>
    <col min="5641" max="5641" width="9.7109375" style="8" customWidth="1"/>
    <col min="5642" max="5642" width="13.28515625" style="8" bestFit="1" customWidth="1"/>
    <col min="5643" max="5643" width="7.7109375" style="8" customWidth="1"/>
    <col min="5644" max="5644" width="11.42578125" style="8"/>
    <col min="5645" max="5645" width="13.28515625" style="8" bestFit="1" customWidth="1"/>
    <col min="5646" max="5882" width="11.42578125" style="8"/>
    <col min="5883" max="5883" width="0.140625" style="8" customWidth="1"/>
    <col min="5884" max="5884" width="2.7109375" style="8" customWidth="1"/>
    <col min="5885" max="5885" width="15.42578125" style="8" customWidth="1"/>
    <col min="5886" max="5886" width="1.28515625" style="8" customWidth="1"/>
    <col min="5887" max="5887" width="27.7109375" style="8" customWidth="1"/>
    <col min="5888" max="5888" width="6.7109375" style="8" customWidth="1"/>
    <col min="5889" max="5889" width="1.5703125" style="8" customWidth="1"/>
    <col min="5890" max="5890" width="10.5703125" style="8" customWidth="1"/>
    <col min="5891" max="5891" width="5.85546875" style="8" customWidth="1"/>
    <col min="5892" max="5892" width="1.5703125" style="8" customWidth="1"/>
    <col min="5893" max="5893" width="10.5703125" style="8" customWidth="1"/>
    <col min="5894" max="5894" width="6.7109375" style="8" customWidth="1"/>
    <col min="5895" max="5895" width="1.5703125" style="8" customWidth="1"/>
    <col min="5896" max="5896" width="10.5703125" style="8" customWidth="1"/>
    <col min="5897" max="5897" width="9.7109375" style="8" customWidth="1"/>
    <col min="5898" max="5898" width="13.28515625" style="8" bestFit="1" customWidth="1"/>
    <col min="5899" max="5899" width="7.7109375" style="8" customWidth="1"/>
    <col min="5900" max="5900" width="11.42578125" style="8"/>
    <col min="5901" max="5901" width="13.28515625" style="8" bestFit="1" customWidth="1"/>
    <col min="5902" max="6138" width="11.42578125" style="8"/>
    <col min="6139" max="6139" width="0.140625" style="8" customWidth="1"/>
    <col min="6140" max="6140" width="2.7109375" style="8" customWidth="1"/>
    <col min="6141" max="6141" width="15.42578125" style="8" customWidth="1"/>
    <col min="6142" max="6142" width="1.28515625" style="8" customWidth="1"/>
    <col min="6143" max="6143" width="27.7109375" style="8" customWidth="1"/>
    <col min="6144" max="6144" width="6.7109375" style="8" customWidth="1"/>
    <col min="6145" max="6145" width="1.5703125" style="8" customWidth="1"/>
    <col min="6146" max="6146" width="10.5703125" style="8" customWidth="1"/>
    <col min="6147" max="6147" width="5.85546875" style="8" customWidth="1"/>
    <col min="6148" max="6148" width="1.5703125" style="8" customWidth="1"/>
    <col min="6149" max="6149" width="10.5703125" style="8" customWidth="1"/>
    <col min="6150" max="6150" width="6.7109375" style="8" customWidth="1"/>
    <col min="6151" max="6151" width="1.5703125" style="8" customWidth="1"/>
    <col min="6152" max="6152" width="10.5703125" style="8" customWidth="1"/>
    <col min="6153" max="6153" width="9.7109375" style="8" customWidth="1"/>
    <col min="6154" max="6154" width="13.28515625" style="8" bestFit="1" customWidth="1"/>
    <col min="6155" max="6155" width="7.7109375" style="8" customWidth="1"/>
    <col min="6156" max="6156" width="11.42578125" style="8"/>
    <col min="6157" max="6157" width="13.28515625" style="8" bestFit="1" customWidth="1"/>
    <col min="6158" max="6394" width="11.42578125" style="8"/>
    <col min="6395" max="6395" width="0.140625" style="8" customWidth="1"/>
    <col min="6396" max="6396" width="2.7109375" style="8" customWidth="1"/>
    <col min="6397" max="6397" width="15.42578125" style="8" customWidth="1"/>
    <col min="6398" max="6398" width="1.28515625" style="8" customWidth="1"/>
    <col min="6399" max="6399" width="27.7109375" style="8" customWidth="1"/>
    <col min="6400" max="6400" width="6.7109375" style="8" customWidth="1"/>
    <col min="6401" max="6401" width="1.5703125" style="8" customWidth="1"/>
    <col min="6402" max="6402" width="10.5703125" style="8" customWidth="1"/>
    <col min="6403" max="6403" width="5.85546875" style="8" customWidth="1"/>
    <col min="6404" max="6404" width="1.5703125" style="8" customWidth="1"/>
    <col min="6405" max="6405" width="10.5703125" style="8" customWidth="1"/>
    <col min="6406" max="6406" width="6.7109375" style="8" customWidth="1"/>
    <col min="6407" max="6407" width="1.5703125" style="8" customWidth="1"/>
    <col min="6408" max="6408" width="10.5703125" style="8" customWidth="1"/>
    <col min="6409" max="6409" width="9.7109375" style="8" customWidth="1"/>
    <col min="6410" max="6410" width="13.28515625" style="8" bestFit="1" customWidth="1"/>
    <col min="6411" max="6411" width="7.7109375" style="8" customWidth="1"/>
    <col min="6412" max="6412" width="11.42578125" style="8"/>
    <col min="6413" max="6413" width="13.28515625" style="8" bestFit="1" customWidth="1"/>
    <col min="6414" max="6650" width="11.42578125" style="8"/>
    <col min="6651" max="6651" width="0.140625" style="8" customWidth="1"/>
    <col min="6652" max="6652" width="2.7109375" style="8" customWidth="1"/>
    <col min="6653" max="6653" width="15.42578125" style="8" customWidth="1"/>
    <col min="6654" max="6654" width="1.28515625" style="8" customWidth="1"/>
    <col min="6655" max="6655" width="27.7109375" style="8" customWidth="1"/>
    <col min="6656" max="6656" width="6.7109375" style="8" customWidth="1"/>
    <col min="6657" max="6657" width="1.5703125" style="8" customWidth="1"/>
    <col min="6658" max="6658" width="10.5703125" style="8" customWidth="1"/>
    <col min="6659" max="6659" width="5.85546875" style="8" customWidth="1"/>
    <col min="6660" max="6660" width="1.5703125" style="8" customWidth="1"/>
    <col min="6661" max="6661" width="10.5703125" style="8" customWidth="1"/>
    <col min="6662" max="6662" width="6.7109375" style="8" customWidth="1"/>
    <col min="6663" max="6663" width="1.5703125" style="8" customWidth="1"/>
    <col min="6664" max="6664" width="10.5703125" style="8" customWidth="1"/>
    <col min="6665" max="6665" width="9.7109375" style="8" customWidth="1"/>
    <col min="6666" max="6666" width="13.28515625" style="8" bestFit="1" customWidth="1"/>
    <col min="6667" max="6667" width="7.7109375" style="8" customWidth="1"/>
    <col min="6668" max="6668" width="11.42578125" style="8"/>
    <col min="6669" max="6669" width="13.28515625" style="8" bestFit="1" customWidth="1"/>
    <col min="6670" max="6906" width="11.42578125" style="8"/>
    <col min="6907" max="6907" width="0.140625" style="8" customWidth="1"/>
    <col min="6908" max="6908" width="2.7109375" style="8" customWidth="1"/>
    <col min="6909" max="6909" width="15.42578125" style="8" customWidth="1"/>
    <col min="6910" max="6910" width="1.28515625" style="8" customWidth="1"/>
    <col min="6911" max="6911" width="27.7109375" style="8" customWidth="1"/>
    <col min="6912" max="6912" width="6.7109375" style="8" customWidth="1"/>
    <col min="6913" max="6913" width="1.5703125" style="8" customWidth="1"/>
    <col min="6914" max="6914" width="10.5703125" style="8" customWidth="1"/>
    <col min="6915" max="6915" width="5.85546875" style="8" customWidth="1"/>
    <col min="6916" max="6916" width="1.5703125" style="8" customWidth="1"/>
    <col min="6917" max="6917" width="10.5703125" style="8" customWidth="1"/>
    <col min="6918" max="6918" width="6.7109375" style="8" customWidth="1"/>
    <col min="6919" max="6919" width="1.5703125" style="8" customWidth="1"/>
    <col min="6920" max="6920" width="10.5703125" style="8" customWidth="1"/>
    <col min="6921" max="6921" width="9.7109375" style="8" customWidth="1"/>
    <col min="6922" max="6922" width="13.28515625" style="8" bestFit="1" customWidth="1"/>
    <col min="6923" max="6923" width="7.7109375" style="8" customWidth="1"/>
    <col min="6924" max="6924" width="11.42578125" style="8"/>
    <col min="6925" max="6925" width="13.28515625" style="8" bestFit="1" customWidth="1"/>
    <col min="6926" max="7162" width="11.42578125" style="8"/>
    <col min="7163" max="7163" width="0.140625" style="8" customWidth="1"/>
    <col min="7164" max="7164" width="2.7109375" style="8" customWidth="1"/>
    <col min="7165" max="7165" width="15.42578125" style="8" customWidth="1"/>
    <col min="7166" max="7166" width="1.28515625" style="8" customWidth="1"/>
    <col min="7167" max="7167" width="27.7109375" style="8" customWidth="1"/>
    <col min="7168" max="7168" width="6.7109375" style="8" customWidth="1"/>
    <col min="7169" max="7169" width="1.5703125" style="8" customWidth="1"/>
    <col min="7170" max="7170" width="10.5703125" style="8" customWidth="1"/>
    <col min="7171" max="7171" width="5.85546875" style="8" customWidth="1"/>
    <col min="7172" max="7172" width="1.5703125" style="8" customWidth="1"/>
    <col min="7173" max="7173" width="10.5703125" style="8" customWidth="1"/>
    <col min="7174" max="7174" width="6.7109375" style="8" customWidth="1"/>
    <col min="7175" max="7175" width="1.5703125" style="8" customWidth="1"/>
    <col min="7176" max="7176" width="10.5703125" style="8" customWidth="1"/>
    <col min="7177" max="7177" width="9.7109375" style="8" customWidth="1"/>
    <col min="7178" max="7178" width="13.28515625" style="8" bestFit="1" customWidth="1"/>
    <col min="7179" max="7179" width="7.7109375" style="8" customWidth="1"/>
    <col min="7180" max="7180" width="11.42578125" style="8"/>
    <col min="7181" max="7181" width="13.28515625" style="8" bestFit="1" customWidth="1"/>
    <col min="7182" max="7418" width="11.42578125" style="8"/>
    <col min="7419" max="7419" width="0.140625" style="8" customWidth="1"/>
    <col min="7420" max="7420" width="2.7109375" style="8" customWidth="1"/>
    <col min="7421" max="7421" width="15.42578125" style="8" customWidth="1"/>
    <col min="7422" max="7422" width="1.28515625" style="8" customWidth="1"/>
    <col min="7423" max="7423" width="27.7109375" style="8" customWidth="1"/>
    <col min="7424" max="7424" width="6.7109375" style="8" customWidth="1"/>
    <col min="7425" max="7425" width="1.5703125" style="8" customWidth="1"/>
    <col min="7426" max="7426" width="10.5703125" style="8" customWidth="1"/>
    <col min="7427" max="7427" width="5.85546875" style="8" customWidth="1"/>
    <col min="7428" max="7428" width="1.5703125" style="8" customWidth="1"/>
    <col min="7429" max="7429" width="10.5703125" style="8" customWidth="1"/>
    <col min="7430" max="7430" width="6.7109375" style="8" customWidth="1"/>
    <col min="7431" max="7431" width="1.5703125" style="8" customWidth="1"/>
    <col min="7432" max="7432" width="10.5703125" style="8" customWidth="1"/>
    <col min="7433" max="7433" width="9.7109375" style="8" customWidth="1"/>
    <col min="7434" max="7434" width="13.28515625" style="8" bestFit="1" customWidth="1"/>
    <col min="7435" max="7435" width="7.7109375" style="8" customWidth="1"/>
    <col min="7436" max="7436" width="11.42578125" style="8"/>
    <col min="7437" max="7437" width="13.28515625" style="8" bestFit="1" customWidth="1"/>
    <col min="7438" max="7674" width="11.42578125" style="8"/>
    <col min="7675" max="7675" width="0.140625" style="8" customWidth="1"/>
    <col min="7676" max="7676" width="2.7109375" style="8" customWidth="1"/>
    <col min="7677" max="7677" width="15.42578125" style="8" customWidth="1"/>
    <col min="7678" max="7678" width="1.28515625" style="8" customWidth="1"/>
    <col min="7679" max="7679" width="27.7109375" style="8" customWidth="1"/>
    <col min="7680" max="7680" width="6.7109375" style="8" customWidth="1"/>
    <col min="7681" max="7681" width="1.5703125" style="8" customWidth="1"/>
    <col min="7682" max="7682" width="10.5703125" style="8" customWidth="1"/>
    <col min="7683" max="7683" width="5.85546875" style="8" customWidth="1"/>
    <col min="7684" max="7684" width="1.5703125" style="8" customWidth="1"/>
    <col min="7685" max="7685" width="10.5703125" style="8" customWidth="1"/>
    <col min="7686" max="7686" width="6.7109375" style="8" customWidth="1"/>
    <col min="7687" max="7687" width="1.5703125" style="8" customWidth="1"/>
    <col min="7688" max="7688" width="10.5703125" style="8" customWidth="1"/>
    <col min="7689" max="7689" width="9.7109375" style="8" customWidth="1"/>
    <col min="7690" max="7690" width="13.28515625" style="8" bestFit="1" customWidth="1"/>
    <col min="7691" max="7691" width="7.7109375" style="8" customWidth="1"/>
    <col min="7692" max="7692" width="11.42578125" style="8"/>
    <col min="7693" max="7693" width="13.28515625" style="8" bestFit="1" customWidth="1"/>
    <col min="7694" max="7930" width="11.42578125" style="8"/>
    <col min="7931" max="7931" width="0.140625" style="8" customWidth="1"/>
    <col min="7932" max="7932" width="2.7109375" style="8" customWidth="1"/>
    <col min="7933" max="7933" width="15.42578125" style="8" customWidth="1"/>
    <col min="7934" max="7934" width="1.28515625" style="8" customWidth="1"/>
    <col min="7935" max="7935" width="27.7109375" style="8" customWidth="1"/>
    <col min="7936" max="7936" width="6.7109375" style="8" customWidth="1"/>
    <col min="7937" max="7937" width="1.5703125" style="8" customWidth="1"/>
    <col min="7938" max="7938" width="10.5703125" style="8" customWidth="1"/>
    <col min="7939" max="7939" width="5.85546875" style="8" customWidth="1"/>
    <col min="7940" max="7940" width="1.5703125" style="8" customWidth="1"/>
    <col min="7941" max="7941" width="10.5703125" style="8" customWidth="1"/>
    <col min="7942" max="7942" width="6.7109375" style="8" customWidth="1"/>
    <col min="7943" max="7943" width="1.5703125" style="8" customWidth="1"/>
    <col min="7944" max="7944" width="10.5703125" style="8" customWidth="1"/>
    <col min="7945" max="7945" width="9.7109375" style="8" customWidth="1"/>
    <col min="7946" max="7946" width="13.28515625" style="8" bestFit="1" customWidth="1"/>
    <col min="7947" max="7947" width="7.7109375" style="8" customWidth="1"/>
    <col min="7948" max="7948" width="11.42578125" style="8"/>
    <col min="7949" max="7949" width="13.28515625" style="8" bestFit="1" customWidth="1"/>
    <col min="7950" max="8186" width="11.42578125" style="8"/>
    <col min="8187" max="8187" width="0.140625" style="8" customWidth="1"/>
    <col min="8188" max="8188" width="2.7109375" style="8" customWidth="1"/>
    <col min="8189" max="8189" width="15.42578125" style="8" customWidth="1"/>
    <col min="8190" max="8190" width="1.28515625" style="8" customWidth="1"/>
    <col min="8191" max="8191" width="27.7109375" style="8" customWidth="1"/>
    <col min="8192" max="8192" width="6.7109375" style="8" customWidth="1"/>
    <col min="8193" max="8193" width="1.5703125" style="8" customWidth="1"/>
    <col min="8194" max="8194" width="10.5703125" style="8" customWidth="1"/>
    <col min="8195" max="8195" width="5.85546875" style="8" customWidth="1"/>
    <col min="8196" max="8196" width="1.5703125" style="8" customWidth="1"/>
    <col min="8197" max="8197" width="10.5703125" style="8" customWidth="1"/>
    <col min="8198" max="8198" width="6.7109375" style="8" customWidth="1"/>
    <col min="8199" max="8199" width="1.5703125" style="8" customWidth="1"/>
    <col min="8200" max="8200" width="10.5703125" style="8" customWidth="1"/>
    <col min="8201" max="8201" width="9.7109375" style="8" customWidth="1"/>
    <col min="8202" max="8202" width="13.28515625" style="8" bestFit="1" customWidth="1"/>
    <col min="8203" max="8203" width="7.7109375" style="8" customWidth="1"/>
    <col min="8204" max="8204" width="11.42578125" style="8"/>
    <col min="8205" max="8205" width="13.28515625" style="8" bestFit="1" customWidth="1"/>
    <col min="8206" max="8442" width="11.42578125" style="8"/>
    <col min="8443" max="8443" width="0.140625" style="8" customWidth="1"/>
    <col min="8444" max="8444" width="2.7109375" style="8" customWidth="1"/>
    <col min="8445" max="8445" width="15.42578125" style="8" customWidth="1"/>
    <col min="8446" max="8446" width="1.28515625" style="8" customWidth="1"/>
    <col min="8447" max="8447" width="27.7109375" style="8" customWidth="1"/>
    <col min="8448" max="8448" width="6.7109375" style="8" customWidth="1"/>
    <col min="8449" max="8449" width="1.5703125" style="8" customWidth="1"/>
    <col min="8450" max="8450" width="10.5703125" style="8" customWidth="1"/>
    <col min="8451" max="8451" width="5.85546875" style="8" customWidth="1"/>
    <col min="8452" max="8452" width="1.5703125" style="8" customWidth="1"/>
    <col min="8453" max="8453" width="10.5703125" style="8" customWidth="1"/>
    <col min="8454" max="8454" width="6.7109375" style="8" customWidth="1"/>
    <col min="8455" max="8455" width="1.5703125" style="8" customWidth="1"/>
    <col min="8456" max="8456" width="10.5703125" style="8" customWidth="1"/>
    <col min="8457" max="8457" width="9.7109375" style="8" customWidth="1"/>
    <col min="8458" max="8458" width="13.28515625" style="8" bestFit="1" customWidth="1"/>
    <col min="8459" max="8459" width="7.7109375" style="8" customWidth="1"/>
    <col min="8460" max="8460" width="11.42578125" style="8"/>
    <col min="8461" max="8461" width="13.28515625" style="8" bestFit="1" customWidth="1"/>
    <col min="8462" max="8698" width="11.42578125" style="8"/>
    <col min="8699" max="8699" width="0.140625" style="8" customWidth="1"/>
    <col min="8700" max="8700" width="2.7109375" style="8" customWidth="1"/>
    <col min="8701" max="8701" width="15.42578125" style="8" customWidth="1"/>
    <col min="8702" max="8702" width="1.28515625" style="8" customWidth="1"/>
    <col min="8703" max="8703" width="27.7109375" style="8" customWidth="1"/>
    <col min="8704" max="8704" width="6.7109375" style="8" customWidth="1"/>
    <col min="8705" max="8705" width="1.5703125" style="8" customWidth="1"/>
    <col min="8706" max="8706" width="10.5703125" style="8" customWidth="1"/>
    <col min="8707" max="8707" width="5.85546875" style="8" customWidth="1"/>
    <col min="8708" max="8708" width="1.5703125" style="8" customWidth="1"/>
    <col min="8709" max="8709" width="10.5703125" style="8" customWidth="1"/>
    <col min="8710" max="8710" width="6.7109375" style="8" customWidth="1"/>
    <col min="8711" max="8711" width="1.5703125" style="8" customWidth="1"/>
    <col min="8712" max="8712" width="10.5703125" style="8" customWidth="1"/>
    <col min="8713" max="8713" width="9.7109375" style="8" customWidth="1"/>
    <col min="8714" max="8714" width="13.28515625" style="8" bestFit="1" customWidth="1"/>
    <col min="8715" max="8715" width="7.7109375" style="8" customWidth="1"/>
    <col min="8716" max="8716" width="11.42578125" style="8"/>
    <col min="8717" max="8717" width="13.28515625" style="8" bestFit="1" customWidth="1"/>
    <col min="8718" max="8954" width="11.42578125" style="8"/>
    <col min="8955" max="8955" width="0.140625" style="8" customWidth="1"/>
    <col min="8956" max="8956" width="2.7109375" style="8" customWidth="1"/>
    <col min="8957" max="8957" width="15.42578125" style="8" customWidth="1"/>
    <col min="8958" max="8958" width="1.28515625" style="8" customWidth="1"/>
    <col min="8959" max="8959" width="27.7109375" style="8" customWidth="1"/>
    <col min="8960" max="8960" width="6.7109375" style="8" customWidth="1"/>
    <col min="8961" max="8961" width="1.5703125" style="8" customWidth="1"/>
    <col min="8962" max="8962" width="10.5703125" style="8" customWidth="1"/>
    <col min="8963" max="8963" width="5.85546875" style="8" customWidth="1"/>
    <col min="8964" max="8964" width="1.5703125" style="8" customWidth="1"/>
    <col min="8965" max="8965" width="10.5703125" style="8" customWidth="1"/>
    <col min="8966" max="8966" width="6.7109375" style="8" customWidth="1"/>
    <col min="8967" max="8967" width="1.5703125" style="8" customWidth="1"/>
    <col min="8968" max="8968" width="10.5703125" style="8" customWidth="1"/>
    <col min="8969" max="8969" width="9.7109375" style="8" customWidth="1"/>
    <col min="8970" max="8970" width="13.28515625" style="8" bestFit="1" customWidth="1"/>
    <col min="8971" max="8971" width="7.7109375" style="8" customWidth="1"/>
    <col min="8972" max="8972" width="11.42578125" style="8"/>
    <col min="8973" max="8973" width="13.28515625" style="8" bestFit="1" customWidth="1"/>
    <col min="8974" max="9210" width="11.42578125" style="8"/>
    <col min="9211" max="9211" width="0.140625" style="8" customWidth="1"/>
    <col min="9212" max="9212" width="2.7109375" style="8" customWidth="1"/>
    <col min="9213" max="9213" width="15.42578125" style="8" customWidth="1"/>
    <col min="9214" max="9214" width="1.28515625" style="8" customWidth="1"/>
    <col min="9215" max="9215" width="27.7109375" style="8" customWidth="1"/>
    <col min="9216" max="9216" width="6.7109375" style="8" customWidth="1"/>
    <col min="9217" max="9217" width="1.5703125" style="8" customWidth="1"/>
    <col min="9218" max="9218" width="10.5703125" style="8" customWidth="1"/>
    <col min="9219" max="9219" width="5.85546875" style="8" customWidth="1"/>
    <col min="9220" max="9220" width="1.5703125" style="8" customWidth="1"/>
    <col min="9221" max="9221" width="10.5703125" style="8" customWidth="1"/>
    <col min="9222" max="9222" width="6.7109375" style="8" customWidth="1"/>
    <col min="9223" max="9223" width="1.5703125" style="8" customWidth="1"/>
    <col min="9224" max="9224" width="10.5703125" style="8" customWidth="1"/>
    <col min="9225" max="9225" width="9.7109375" style="8" customWidth="1"/>
    <col min="9226" max="9226" width="13.28515625" style="8" bestFit="1" customWidth="1"/>
    <col min="9227" max="9227" width="7.7109375" style="8" customWidth="1"/>
    <col min="9228" max="9228" width="11.42578125" style="8"/>
    <col min="9229" max="9229" width="13.28515625" style="8" bestFit="1" customWidth="1"/>
    <col min="9230" max="9466" width="11.42578125" style="8"/>
    <col min="9467" max="9467" width="0.140625" style="8" customWidth="1"/>
    <col min="9468" max="9468" width="2.7109375" style="8" customWidth="1"/>
    <col min="9469" max="9469" width="15.42578125" style="8" customWidth="1"/>
    <col min="9470" max="9470" width="1.28515625" style="8" customWidth="1"/>
    <col min="9471" max="9471" width="27.7109375" style="8" customWidth="1"/>
    <col min="9472" max="9472" width="6.7109375" style="8" customWidth="1"/>
    <col min="9473" max="9473" width="1.5703125" style="8" customWidth="1"/>
    <col min="9474" max="9474" width="10.5703125" style="8" customWidth="1"/>
    <col min="9475" max="9475" width="5.85546875" style="8" customWidth="1"/>
    <col min="9476" max="9476" width="1.5703125" style="8" customWidth="1"/>
    <col min="9477" max="9477" width="10.5703125" style="8" customWidth="1"/>
    <col min="9478" max="9478" width="6.7109375" style="8" customWidth="1"/>
    <col min="9479" max="9479" width="1.5703125" style="8" customWidth="1"/>
    <col min="9480" max="9480" width="10.5703125" style="8" customWidth="1"/>
    <col min="9481" max="9481" width="9.7109375" style="8" customWidth="1"/>
    <col min="9482" max="9482" width="13.28515625" style="8" bestFit="1" customWidth="1"/>
    <col min="9483" max="9483" width="7.7109375" style="8" customWidth="1"/>
    <col min="9484" max="9484" width="11.42578125" style="8"/>
    <col min="9485" max="9485" width="13.28515625" style="8" bestFit="1" customWidth="1"/>
    <col min="9486" max="9722" width="11.42578125" style="8"/>
    <col min="9723" max="9723" width="0.140625" style="8" customWidth="1"/>
    <col min="9724" max="9724" width="2.7109375" style="8" customWidth="1"/>
    <col min="9725" max="9725" width="15.42578125" style="8" customWidth="1"/>
    <col min="9726" max="9726" width="1.28515625" style="8" customWidth="1"/>
    <col min="9727" max="9727" width="27.7109375" style="8" customWidth="1"/>
    <col min="9728" max="9728" width="6.7109375" style="8" customWidth="1"/>
    <col min="9729" max="9729" width="1.5703125" style="8" customWidth="1"/>
    <col min="9730" max="9730" width="10.5703125" style="8" customWidth="1"/>
    <col min="9731" max="9731" width="5.85546875" style="8" customWidth="1"/>
    <col min="9732" max="9732" width="1.5703125" style="8" customWidth="1"/>
    <col min="9733" max="9733" width="10.5703125" style="8" customWidth="1"/>
    <col min="9734" max="9734" width="6.7109375" style="8" customWidth="1"/>
    <col min="9735" max="9735" width="1.5703125" style="8" customWidth="1"/>
    <col min="9736" max="9736" width="10.5703125" style="8" customWidth="1"/>
    <col min="9737" max="9737" width="9.7109375" style="8" customWidth="1"/>
    <col min="9738" max="9738" width="13.28515625" style="8" bestFit="1" customWidth="1"/>
    <col min="9739" max="9739" width="7.7109375" style="8" customWidth="1"/>
    <col min="9740" max="9740" width="11.42578125" style="8"/>
    <col min="9741" max="9741" width="13.28515625" style="8" bestFit="1" customWidth="1"/>
    <col min="9742" max="9978" width="11.42578125" style="8"/>
    <col min="9979" max="9979" width="0.140625" style="8" customWidth="1"/>
    <col min="9980" max="9980" width="2.7109375" style="8" customWidth="1"/>
    <col min="9981" max="9981" width="15.42578125" style="8" customWidth="1"/>
    <col min="9982" max="9982" width="1.28515625" style="8" customWidth="1"/>
    <col min="9983" max="9983" width="27.7109375" style="8" customWidth="1"/>
    <col min="9984" max="9984" width="6.7109375" style="8" customWidth="1"/>
    <col min="9985" max="9985" width="1.5703125" style="8" customWidth="1"/>
    <col min="9986" max="9986" width="10.5703125" style="8" customWidth="1"/>
    <col min="9987" max="9987" width="5.85546875" style="8" customWidth="1"/>
    <col min="9988" max="9988" width="1.5703125" style="8" customWidth="1"/>
    <col min="9989" max="9989" width="10.5703125" style="8" customWidth="1"/>
    <col min="9990" max="9990" width="6.7109375" style="8" customWidth="1"/>
    <col min="9991" max="9991" width="1.5703125" style="8" customWidth="1"/>
    <col min="9992" max="9992" width="10.5703125" style="8" customWidth="1"/>
    <col min="9993" max="9993" width="9.7109375" style="8" customWidth="1"/>
    <col min="9994" max="9994" width="13.28515625" style="8" bestFit="1" customWidth="1"/>
    <col min="9995" max="9995" width="7.7109375" style="8" customWidth="1"/>
    <col min="9996" max="9996" width="11.42578125" style="8"/>
    <col min="9997" max="9997" width="13.28515625" style="8" bestFit="1" customWidth="1"/>
    <col min="9998" max="10234" width="11.42578125" style="8"/>
    <col min="10235" max="10235" width="0.140625" style="8" customWidth="1"/>
    <col min="10236" max="10236" width="2.7109375" style="8" customWidth="1"/>
    <col min="10237" max="10237" width="15.42578125" style="8" customWidth="1"/>
    <col min="10238" max="10238" width="1.28515625" style="8" customWidth="1"/>
    <col min="10239" max="10239" width="27.7109375" style="8" customWidth="1"/>
    <col min="10240" max="10240" width="6.7109375" style="8" customWidth="1"/>
    <col min="10241" max="10241" width="1.5703125" style="8" customWidth="1"/>
    <col min="10242" max="10242" width="10.5703125" style="8" customWidth="1"/>
    <col min="10243" max="10243" width="5.85546875" style="8" customWidth="1"/>
    <col min="10244" max="10244" width="1.5703125" style="8" customWidth="1"/>
    <col min="10245" max="10245" width="10.5703125" style="8" customWidth="1"/>
    <col min="10246" max="10246" width="6.7109375" style="8" customWidth="1"/>
    <col min="10247" max="10247" width="1.5703125" style="8" customWidth="1"/>
    <col min="10248" max="10248" width="10.5703125" style="8" customWidth="1"/>
    <col min="10249" max="10249" width="9.7109375" style="8" customWidth="1"/>
    <col min="10250" max="10250" width="13.28515625" style="8" bestFit="1" customWidth="1"/>
    <col min="10251" max="10251" width="7.7109375" style="8" customWidth="1"/>
    <col min="10252" max="10252" width="11.42578125" style="8"/>
    <col min="10253" max="10253" width="13.28515625" style="8" bestFit="1" customWidth="1"/>
    <col min="10254" max="10490" width="11.42578125" style="8"/>
    <col min="10491" max="10491" width="0.140625" style="8" customWidth="1"/>
    <col min="10492" max="10492" width="2.7109375" style="8" customWidth="1"/>
    <col min="10493" max="10493" width="15.42578125" style="8" customWidth="1"/>
    <col min="10494" max="10494" width="1.28515625" style="8" customWidth="1"/>
    <col min="10495" max="10495" width="27.7109375" style="8" customWidth="1"/>
    <col min="10496" max="10496" width="6.7109375" style="8" customWidth="1"/>
    <col min="10497" max="10497" width="1.5703125" style="8" customWidth="1"/>
    <col min="10498" max="10498" width="10.5703125" style="8" customWidth="1"/>
    <col min="10499" max="10499" width="5.85546875" style="8" customWidth="1"/>
    <col min="10500" max="10500" width="1.5703125" style="8" customWidth="1"/>
    <col min="10501" max="10501" width="10.5703125" style="8" customWidth="1"/>
    <col min="10502" max="10502" width="6.7109375" style="8" customWidth="1"/>
    <col min="10503" max="10503" width="1.5703125" style="8" customWidth="1"/>
    <col min="10504" max="10504" width="10.5703125" style="8" customWidth="1"/>
    <col min="10505" max="10505" width="9.7109375" style="8" customWidth="1"/>
    <col min="10506" max="10506" width="13.28515625" style="8" bestFit="1" customWidth="1"/>
    <col min="10507" max="10507" width="7.7109375" style="8" customWidth="1"/>
    <col min="10508" max="10508" width="11.42578125" style="8"/>
    <col min="10509" max="10509" width="13.28515625" style="8" bestFit="1" customWidth="1"/>
    <col min="10510" max="10746" width="11.42578125" style="8"/>
    <col min="10747" max="10747" width="0.140625" style="8" customWidth="1"/>
    <col min="10748" max="10748" width="2.7109375" style="8" customWidth="1"/>
    <col min="10749" max="10749" width="15.42578125" style="8" customWidth="1"/>
    <col min="10750" max="10750" width="1.28515625" style="8" customWidth="1"/>
    <col min="10751" max="10751" width="27.7109375" style="8" customWidth="1"/>
    <col min="10752" max="10752" width="6.7109375" style="8" customWidth="1"/>
    <col min="10753" max="10753" width="1.5703125" style="8" customWidth="1"/>
    <col min="10754" max="10754" width="10.5703125" style="8" customWidth="1"/>
    <col min="10755" max="10755" width="5.85546875" style="8" customWidth="1"/>
    <col min="10756" max="10756" width="1.5703125" style="8" customWidth="1"/>
    <col min="10757" max="10757" width="10.5703125" style="8" customWidth="1"/>
    <col min="10758" max="10758" width="6.7109375" style="8" customWidth="1"/>
    <col min="10759" max="10759" width="1.5703125" style="8" customWidth="1"/>
    <col min="10760" max="10760" width="10.5703125" style="8" customWidth="1"/>
    <col min="10761" max="10761" width="9.7109375" style="8" customWidth="1"/>
    <col min="10762" max="10762" width="13.28515625" style="8" bestFit="1" customWidth="1"/>
    <col min="10763" max="10763" width="7.7109375" style="8" customWidth="1"/>
    <col min="10764" max="10764" width="11.42578125" style="8"/>
    <col min="10765" max="10765" width="13.28515625" style="8" bestFit="1" customWidth="1"/>
    <col min="10766" max="11002" width="11.42578125" style="8"/>
    <col min="11003" max="11003" width="0.140625" style="8" customWidth="1"/>
    <col min="11004" max="11004" width="2.7109375" style="8" customWidth="1"/>
    <col min="11005" max="11005" width="15.42578125" style="8" customWidth="1"/>
    <col min="11006" max="11006" width="1.28515625" style="8" customWidth="1"/>
    <col min="11007" max="11007" width="27.7109375" style="8" customWidth="1"/>
    <col min="11008" max="11008" width="6.7109375" style="8" customWidth="1"/>
    <col min="11009" max="11009" width="1.5703125" style="8" customWidth="1"/>
    <col min="11010" max="11010" width="10.5703125" style="8" customWidth="1"/>
    <col min="11011" max="11011" width="5.85546875" style="8" customWidth="1"/>
    <col min="11012" max="11012" width="1.5703125" style="8" customWidth="1"/>
    <col min="11013" max="11013" width="10.5703125" style="8" customWidth="1"/>
    <col min="11014" max="11014" width="6.7109375" style="8" customWidth="1"/>
    <col min="11015" max="11015" width="1.5703125" style="8" customWidth="1"/>
    <col min="11016" max="11016" width="10.5703125" style="8" customWidth="1"/>
    <col min="11017" max="11017" width="9.7109375" style="8" customWidth="1"/>
    <col min="11018" max="11018" width="13.28515625" style="8" bestFit="1" customWidth="1"/>
    <col min="11019" max="11019" width="7.7109375" style="8" customWidth="1"/>
    <col min="11020" max="11020" width="11.42578125" style="8"/>
    <col min="11021" max="11021" width="13.28515625" style="8" bestFit="1" customWidth="1"/>
    <col min="11022" max="11258" width="11.42578125" style="8"/>
    <col min="11259" max="11259" width="0.140625" style="8" customWidth="1"/>
    <col min="11260" max="11260" width="2.7109375" style="8" customWidth="1"/>
    <col min="11261" max="11261" width="15.42578125" style="8" customWidth="1"/>
    <col min="11262" max="11262" width="1.28515625" style="8" customWidth="1"/>
    <col min="11263" max="11263" width="27.7109375" style="8" customWidth="1"/>
    <col min="11264" max="11264" width="6.7109375" style="8" customWidth="1"/>
    <col min="11265" max="11265" width="1.5703125" style="8" customWidth="1"/>
    <col min="11266" max="11266" width="10.5703125" style="8" customWidth="1"/>
    <col min="11267" max="11267" width="5.85546875" style="8" customWidth="1"/>
    <col min="11268" max="11268" width="1.5703125" style="8" customWidth="1"/>
    <col min="11269" max="11269" width="10.5703125" style="8" customWidth="1"/>
    <col min="11270" max="11270" width="6.7109375" style="8" customWidth="1"/>
    <col min="11271" max="11271" width="1.5703125" style="8" customWidth="1"/>
    <col min="11272" max="11272" width="10.5703125" style="8" customWidth="1"/>
    <col min="11273" max="11273" width="9.7109375" style="8" customWidth="1"/>
    <col min="11274" max="11274" width="13.28515625" style="8" bestFit="1" customWidth="1"/>
    <col min="11275" max="11275" width="7.7109375" style="8" customWidth="1"/>
    <col min="11276" max="11276" width="11.42578125" style="8"/>
    <col min="11277" max="11277" width="13.28515625" style="8" bestFit="1" customWidth="1"/>
    <col min="11278" max="11514" width="11.42578125" style="8"/>
    <col min="11515" max="11515" width="0.140625" style="8" customWidth="1"/>
    <col min="11516" max="11516" width="2.7109375" style="8" customWidth="1"/>
    <col min="11517" max="11517" width="15.42578125" style="8" customWidth="1"/>
    <col min="11518" max="11518" width="1.28515625" style="8" customWidth="1"/>
    <col min="11519" max="11519" width="27.7109375" style="8" customWidth="1"/>
    <col min="11520" max="11520" width="6.7109375" style="8" customWidth="1"/>
    <col min="11521" max="11521" width="1.5703125" style="8" customWidth="1"/>
    <col min="11522" max="11522" width="10.5703125" style="8" customWidth="1"/>
    <col min="11523" max="11523" width="5.85546875" style="8" customWidth="1"/>
    <col min="11524" max="11524" width="1.5703125" style="8" customWidth="1"/>
    <col min="11525" max="11525" width="10.5703125" style="8" customWidth="1"/>
    <col min="11526" max="11526" width="6.7109375" style="8" customWidth="1"/>
    <col min="11527" max="11527" width="1.5703125" style="8" customWidth="1"/>
    <col min="11528" max="11528" width="10.5703125" style="8" customWidth="1"/>
    <col min="11529" max="11529" width="9.7109375" style="8" customWidth="1"/>
    <col min="11530" max="11530" width="13.28515625" style="8" bestFit="1" customWidth="1"/>
    <col min="11531" max="11531" width="7.7109375" style="8" customWidth="1"/>
    <col min="11532" max="11532" width="11.42578125" style="8"/>
    <col min="11533" max="11533" width="13.28515625" style="8" bestFit="1" customWidth="1"/>
    <col min="11534" max="11770" width="11.42578125" style="8"/>
    <col min="11771" max="11771" width="0.140625" style="8" customWidth="1"/>
    <col min="11772" max="11772" width="2.7109375" style="8" customWidth="1"/>
    <col min="11773" max="11773" width="15.42578125" style="8" customWidth="1"/>
    <col min="11774" max="11774" width="1.28515625" style="8" customWidth="1"/>
    <col min="11775" max="11775" width="27.7109375" style="8" customWidth="1"/>
    <col min="11776" max="11776" width="6.7109375" style="8" customWidth="1"/>
    <col min="11777" max="11777" width="1.5703125" style="8" customWidth="1"/>
    <col min="11778" max="11778" width="10.5703125" style="8" customWidth="1"/>
    <col min="11779" max="11779" width="5.85546875" style="8" customWidth="1"/>
    <col min="11780" max="11780" width="1.5703125" style="8" customWidth="1"/>
    <col min="11781" max="11781" width="10.5703125" style="8" customWidth="1"/>
    <col min="11782" max="11782" width="6.7109375" style="8" customWidth="1"/>
    <col min="11783" max="11783" width="1.5703125" style="8" customWidth="1"/>
    <col min="11784" max="11784" width="10.5703125" style="8" customWidth="1"/>
    <col min="11785" max="11785" width="9.7109375" style="8" customWidth="1"/>
    <col min="11786" max="11786" width="13.28515625" style="8" bestFit="1" customWidth="1"/>
    <col min="11787" max="11787" width="7.7109375" style="8" customWidth="1"/>
    <col min="11788" max="11788" width="11.42578125" style="8"/>
    <col min="11789" max="11789" width="13.28515625" style="8" bestFit="1" customWidth="1"/>
    <col min="11790" max="12026" width="11.42578125" style="8"/>
    <col min="12027" max="12027" width="0.140625" style="8" customWidth="1"/>
    <col min="12028" max="12028" width="2.7109375" style="8" customWidth="1"/>
    <col min="12029" max="12029" width="15.42578125" style="8" customWidth="1"/>
    <col min="12030" max="12030" width="1.28515625" style="8" customWidth="1"/>
    <col min="12031" max="12031" width="27.7109375" style="8" customWidth="1"/>
    <col min="12032" max="12032" width="6.7109375" style="8" customWidth="1"/>
    <col min="12033" max="12033" width="1.5703125" style="8" customWidth="1"/>
    <col min="12034" max="12034" width="10.5703125" style="8" customWidth="1"/>
    <col min="12035" max="12035" width="5.85546875" style="8" customWidth="1"/>
    <col min="12036" max="12036" width="1.5703125" style="8" customWidth="1"/>
    <col min="12037" max="12037" width="10.5703125" style="8" customWidth="1"/>
    <col min="12038" max="12038" width="6.7109375" style="8" customWidth="1"/>
    <col min="12039" max="12039" width="1.5703125" style="8" customWidth="1"/>
    <col min="12040" max="12040" width="10.5703125" style="8" customWidth="1"/>
    <col min="12041" max="12041" width="9.7109375" style="8" customWidth="1"/>
    <col min="12042" max="12042" width="13.28515625" style="8" bestFit="1" customWidth="1"/>
    <col min="12043" max="12043" width="7.7109375" style="8" customWidth="1"/>
    <col min="12044" max="12044" width="11.42578125" style="8"/>
    <col min="12045" max="12045" width="13.28515625" style="8" bestFit="1" customWidth="1"/>
    <col min="12046" max="12282" width="11.42578125" style="8"/>
    <col min="12283" max="12283" width="0.140625" style="8" customWidth="1"/>
    <col min="12284" max="12284" width="2.7109375" style="8" customWidth="1"/>
    <col min="12285" max="12285" width="15.42578125" style="8" customWidth="1"/>
    <col min="12286" max="12286" width="1.28515625" style="8" customWidth="1"/>
    <col min="12287" max="12287" width="27.7109375" style="8" customWidth="1"/>
    <col min="12288" max="12288" width="6.7109375" style="8" customWidth="1"/>
    <col min="12289" max="12289" width="1.5703125" style="8" customWidth="1"/>
    <col min="12290" max="12290" width="10.5703125" style="8" customWidth="1"/>
    <col min="12291" max="12291" width="5.85546875" style="8" customWidth="1"/>
    <col min="12292" max="12292" width="1.5703125" style="8" customWidth="1"/>
    <col min="12293" max="12293" width="10.5703125" style="8" customWidth="1"/>
    <col min="12294" max="12294" width="6.7109375" style="8" customWidth="1"/>
    <col min="12295" max="12295" width="1.5703125" style="8" customWidth="1"/>
    <col min="12296" max="12296" width="10.5703125" style="8" customWidth="1"/>
    <col min="12297" max="12297" width="9.7109375" style="8" customWidth="1"/>
    <col min="12298" max="12298" width="13.28515625" style="8" bestFit="1" customWidth="1"/>
    <col min="12299" max="12299" width="7.7109375" style="8" customWidth="1"/>
    <col min="12300" max="12300" width="11.42578125" style="8"/>
    <col min="12301" max="12301" width="13.28515625" style="8" bestFit="1" customWidth="1"/>
    <col min="12302" max="12538" width="11.42578125" style="8"/>
    <col min="12539" max="12539" width="0.140625" style="8" customWidth="1"/>
    <col min="12540" max="12540" width="2.7109375" style="8" customWidth="1"/>
    <col min="12541" max="12541" width="15.42578125" style="8" customWidth="1"/>
    <col min="12542" max="12542" width="1.28515625" style="8" customWidth="1"/>
    <col min="12543" max="12543" width="27.7109375" style="8" customWidth="1"/>
    <col min="12544" max="12544" width="6.7109375" style="8" customWidth="1"/>
    <col min="12545" max="12545" width="1.5703125" style="8" customWidth="1"/>
    <col min="12546" max="12546" width="10.5703125" style="8" customWidth="1"/>
    <col min="12547" max="12547" width="5.85546875" style="8" customWidth="1"/>
    <col min="12548" max="12548" width="1.5703125" style="8" customWidth="1"/>
    <col min="12549" max="12549" width="10.5703125" style="8" customWidth="1"/>
    <col min="12550" max="12550" width="6.7109375" style="8" customWidth="1"/>
    <col min="12551" max="12551" width="1.5703125" style="8" customWidth="1"/>
    <col min="12552" max="12552" width="10.5703125" style="8" customWidth="1"/>
    <col min="12553" max="12553" width="9.7109375" style="8" customWidth="1"/>
    <col min="12554" max="12554" width="13.28515625" style="8" bestFit="1" customWidth="1"/>
    <col min="12555" max="12555" width="7.7109375" style="8" customWidth="1"/>
    <col min="12556" max="12556" width="11.42578125" style="8"/>
    <col min="12557" max="12557" width="13.28515625" style="8" bestFit="1" customWidth="1"/>
    <col min="12558" max="12794" width="11.42578125" style="8"/>
    <col min="12795" max="12795" width="0.140625" style="8" customWidth="1"/>
    <col min="12796" max="12796" width="2.7109375" style="8" customWidth="1"/>
    <col min="12797" max="12797" width="15.42578125" style="8" customWidth="1"/>
    <col min="12798" max="12798" width="1.28515625" style="8" customWidth="1"/>
    <col min="12799" max="12799" width="27.7109375" style="8" customWidth="1"/>
    <col min="12800" max="12800" width="6.7109375" style="8" customWidth="1"/>
    <col min="12801" max="12801" width="1.5703125" style="8" customWidth="1"/>
    <col min="12802" max="12802" width="10.5703125" style="8" customWidth="1"/>
    <col min="12803" max="12803" width="5.85546875" style="8" customWidth="1"/>
    <col min="12804" max="12804" width="1.5703125" style="8" customWidth="1"/>
    <col min="12805" max="12805" width="10.5703125" style="8" customWidth="1"/>
    <col min="12806" max="12806" width="6.7109375" style="8" customWidth="1"/>
    <col min="12807" max="12807" width="1.5703125" style="8" customWidth="1"/>
    <col min="12808" max="12808" width="10.5703125" style="8" customWidth="1"/>
    <col min="12809" max="12809" width="9.7109375" style="8" customWidth="1"/>
    <col min="12810" max="12810" width="13.28515625" style="8" bestFit="1" customWidth="1"/>
    <col min="12811" max="12811" width="7.7109375" style="8" customWidth="1"/>
    <col min="12812" max="12812" width="11.42578125" style="8"/>
    <col min="12813" max="12813" width="13.28515625" style="8" bestFit="1" customWidth="1"/>
    <col min="12814" max="13050" width="11.42578125" style="8"/>
    <col min="13051" max="13051" width="0.140625" style="8" customWidth="1"/>
    <col min="13052" max="13052" width="2.7109375" style="8" customWidth="1"/>
    <col min="13053" max="13053" width="15.42578125" style="8" customWidth="1"/>
    <col min="13054" max="13054" width="1.28515625" style="8" customWidth="1"/>
    <col min="13055" max="13055" width="27.7109375" style="8" customWidth="1"/>
    <col min="13056" max="13056" width="6.7109375" style="8" customWidth="1"/>
    <col min="13057" max="13057" width="1.5703125" style="8" customWidth="1"/>
    <col min="13058" max="13058" width="10.5703125" style="8" customWidth="1"/>
    <col min="13059" max="13059" width="5.85546875" style="8" customWidth="1"/>
    <col min="13060" max="13060" width="1.5703125" style="8" customWidth="1"/>
    <col min="13061" max="13061" width="10.5703125" style="8" customWidth="1"/>
    <col min="13062" max="13062" width="6.7109375" style="8" customWidth="1"/>
    <col min="13063" max="13063" width="1.5703125" style="8" customWidth="1"/>
    <col min="13064" max="13064" width="10.5703125" style="8" customWidth="1"/>
    <col min="13065" max="13065" width="9.7109375" style="8" customWidth="1"/>
    <col min="13066" max="13066" width="13.28515625" style="8" bestFit="1" customWidth="1"/>
    <col min="13067" max="13067" width="7.7109375" style="8" customWidth="1"/>
    <col min="13068" max="13068" width="11.42578125" style="8"/>
    <col min="13069" max="13069" width="13.28515625" style="8" bestFit="1" customWidth="1"/>
    <col min="13070" max="13306" width="11.42578125" style="8"/>
    <col min="13307" max="13307" width="0.140625" style="8" customWidth="1"/>
    <col min="13308" max="13308" width="2.7109375" style="8" customWidth="1"/>
    <col min="13309" max="13309" width="15.42578125" style="8" customWidth="1"/>
    <col min="13310" max="13310" width="1.28515625" style="8" customWidth="1"/>
    <col min="13311" max="13311" width="27.7109375" style="8" customWidth="1"/>
    <col min="13312" max="13312" width="6.7109375" style="8" customWidth="1"/>
    <col min="13313" max="13313" width="1.5703125" style="8" customWidth="1"/>
    <col min="13314" max="13314" width="10.5703125" style="8" customWidth="1"/>
    <col min="13315" max="13315" width="5.85546875" style="8" customWidth="1"/>
    <col min="13316" max="13316" width="1.5703125" style="8" customWidth="1"/>
    <col min="13317" max="13317" width="10.5703125" style="8" customWidth="1"/>
    <col min="13318" max="13318" width="6.7109375" style="8" customWidth="1"/>
    <col min="13319" max="13319" width="1.5703125" style="8" customWidth="1"/>
    <col min="13320" max="13320" width="10.5703125" style="8" customWidth="1"/>
    <col min="13321" max="13321" width="9.7109375" style="8" customWidth="1"/>
    <col min="13322" max="13322" width="13.28515625" style="8" bestFit="1" customWidth="1"/>
    <col min="13323" max="13323" width="7.7109375" style="8" customWidth="1"/>
    <col min="13324" max="13324" width="11.42578125" style="8"/>
    <col min="13325" max="13325" width="13.28515625" style="8" bestFit="1" customWidth="1"/>
    <col min="13326" max="13562" width="11.42578125" style="8"/>
    <col min="13563" max="13563" width="0.140625" style="8" customWidth="1"/>
    <col min="13564" max="13564" width="2.7109375" style="8" customWidth="1"/>
    <col min="13565" max="13565" width="15.42578125" style="8" customWidth="1"/>
    <col min="13566" max="13566" width="1.28515625" style="8" customWidth="1"/>
    <col min="13567" max="13567" width="27.7109375" style="8" customWidth="1"/>
    <col min="13568" max="13568" width="6.7109375" style="8" customWidth="1"/>
    <col min="13569" max="13569" width="1.5703125" style="8" customWidth="1"/>
    <col min="13570" max="13570" width="10.5703125" style="8" customWidth="1"/>
    <col min="13571" max="13571" width="5.85546875" style="8" customWidth="1"/>
    <col min="13572" max="13572" width="1.5703125" style="8" customWidth="1"/>
    <col min="13573" max="13573" width="10.5703125" style="8" customWidth="1"/>
    <col min="13574" max="13574" width="6.7109375" style="8" customWidth="1"/>
    <col min="13575" max="13575" width="1.5703125" style="8" customWidth="1"/>
    <col min="13576" max="13576" width="10.5703125" style="8" customWidth="1"/>
    <col min="13577" max="13577" width="9.7109375" style="8" customWidth="1"/>
    <col min="13578" max="13578" width="13.28515625" style="8" bestFit="1" customWidth="1"/>
    <col min="13579" max="13579" width="7.7109375" style="8" customWidth="1"/>
    <col min="13580" max="13580" width="11.42578125" style="8"/>
    <col min="13581" max="13581" width="13.28515625" style="8" bestFit="1" customWidth="1"/>
    <col min="13582" max="13818" width="11.42578125" style="8"/>
    <col min="13819" max="13819" width="0.140625" style="8" customWidth="1"/>
    <col min="13820" max="13820" width="2.7109375" style="8" customWidth="1"/>
    <col min="13821" max="13821" width="15.42578125" style="8" customWidth="1"/>
    <col min="13822" max="13822" width="1.28515625" style="8" customWidth="1"/>
    <col min="13823" max="13823" width="27.7109375" style="8" customWidth="1"/>
    <col min="13824" max="13824" width="6.7109375" style="8" customWidth="1"/>
    <col min="13825" max="13825" width="1.5703125" style="8" customWidth="1"/>
    <col min="13826" max="13826" width="10.5703125" style="8" customWidth="1"/>
    <col min="13827" max="13827" width="5.85546875" style="8" customWidth="1"/>
    <col min="13828" max="13828" width="1.5703125" style="8" customWidth="1"/>
    <col min="13829" max="13829" width="10.5703125" style="8" customWidth="1"/>
    <col min="13830" max="13830" width="6.7109375" style="8" customWidth="1"/>
    <col min="13831" max="13831" width="1.5703125" style="8" customWidth="1"/>
    <col min="13832" max="13832" width="10.5703125" style="8" customWidth="1"/>
    <col min="13833" max="13833" width="9.7109375" style="8" customWidth="1"/>
    <col min="13834" max="13834" width="13.28515625" style="8" bestFit="1" customWidth="1"/>
    <col min="13835" max="13835" width="7.7109375" style="8" customWidth="1"/>
    <col min="13836" max="13836" width="11.42578125" style="8"/>
    <col min="13837" max="13837" width="13.28515625" style="8" bestFit="1" customWidth="1"/>
    <col min="13838" max="14074" width="11.42578125" style="8"/>
    <col min="14075" max="14075" width="0.140625" style="8" customWidth="1"/>
    <col min="14076" max="14076" width="2.7109375" style="8" customWidth="1"/>
    <col min="14077" max="14077" width="15.42578125" style="8" customWidth="1"/>
    <col min="14078" max="14078" width="1.28515625" style="8" customWidth="1"/>
    <col min="14079" max="14079" width="27.7109375" style="8" customWidth="1"/>
    <col min="14080" max="14080" width="6.7109375" style="8" customWidth="1"/>
    <col min="14081" max="14081" width="1.5703125" style="8" customWidth="1"/>
    <col min="14082" max="14082" width="10.5703125" style="8" customWidth="1"/>
    <col min="14083" max="14083" width="5.85546875" style="8" customWidth="1"/>
    <col min="14084" max="14084" width="1.5703125" style="8" customWidth="1"/>
    <col min="14085" max="14085" width="10.5703125" style="8" customWidth="1"/>
    <col min="14086" max="14086" width="6.7109375" style="8" customWidth="1"/>
    <col min="14087" max="14087" width="1.5703125" style="8" customWidth="1"/>
    <col min="14088" max="14088" width="10.5703125" style="8" customWidth="1"/>
    <col min="14089" max="14089" width="9.7109375" style="8" customWidth="1"/>
    <col min="14090" max="14090" width="13.28515625" style="8" bestFit="1" customWidth="1"/>
    <col min="14091" max="14091" width="7.7109375" style="8" customWidth="1"/>
    <col min="14092" max="14092" width="11.42578125" style="8"/>
    <col min="14093" max="14093" width="13.28515625" style="8" bestFit="1" customWidth="1"/>
    <col min="14094" max="14330" width="11.42578125" style="8"/>
    <col min="14331" max="14331" width="0.140625" style="8" customWidth="1"/>
    <col min="14332" max="14332" width="2.7109375" style="8" customWidth="1"/>
    <col min="14333" max="14333" width="15.42578125" style="8" customWidth="1"/>
    <col min="14334" max="14334" width="1.28515625" style="8" customWidth="1"/>
    <col min="14335" max="14335" width="27.7109375" style="8" customWidth="1"/>
    <col min="14336" max="14336" width="6.7109375" style="8" customWidth="1"/>
    <col min="14337" max="14337" width="1.5703125" style="8" customWidth="1"/>
    <col min="14338" max="14338" width="10.5703125" style="8" customWidth="1"/>
    <col min="14339" max="14339" width="5.85546875" style="8" customWidth="1"/>
    <col min="14340" max="14340" width="1.5703125" style="8" customWidth="1"/>
    <col min="14341" max="14341" width="10.5703125" style="8" customWidth="1"/>
    <col min="14342" max="14342" width="6.7109375" style="8" customWidth="1"/>
    <col min="14343" max="14343" width="1.5703125" style="8" customWidth="1"/>
    <col min="14344" max="14344" width="10.5703125" style="8" customWidth="1"/>
    <col min="14345" max="14345" width="9.7109375" style="8" customWidth="1"/>
    <col min="14346" max="14346" width="13.28515625" style="8" bestFit="1" customWidth="1"/>
    <col min="14347" max="14347" width="7.7109375" style="8" customWidth="1"/>
    <col min="14348" max="14348" width="11.42578125" style="8"/>
    <col min="14349" max="14349" width="13.28515625" style="8" bestFit="1" customWidth="1"/>
    <col min="14350" max="14586" width="11.42578125" style="8"/>
    <col min="14587" max="14587" width="0.140625" style="8" customWidth="1"/>
    <col min="14588" max="14588" width="2.7109375" style="8" customWidth="1"/>
    <col min="14589" max="14589" width="15.42578125" style="8" customWidth="1"/>
    <col min="14590" max="14590" width="1.28515625" style="8" customWidth="1"/>
    <col min="14591" max="14591" width="27.7109375" style="8" customWidth="1"/>
    <col min="14592" max="14592" width="6.7109375" style="8" customWidth="1"/>
    <col min="14593" max="14593" width="1.5703125" style="8" customWidth="1"/>
    <col min="14594" max="14594" width="10.5703125" style="8" customWidth="1"/>
    <col min="14595" max="14595" width="5.85546875" style="8" customWidth="1"/>
    <col min="14596" max="14596" width="1.5703125" style="8" customWidth="1"/>
    <col min="14597" max="14597" width="10.5703125" style="8" customWidth="1"/>
    <col min="14598" max="14598" width="6.7109375" style="8" customWidth="1"/>
    <col min="14599" max="14599" width="1.5703125" style="8" customWidth="1"/>
    <col min="14600" max="14600" width="10.5703125" style="8" customWidth="1"/>
    <col min="14601" max="14601" width="9.7109375" style="8" customWidth="1"/>
    <col min="14602" max="14602" width="13.28515625" style="8" bestFit="1" customWidth="1"/>
    <col min="14603" max="14603" width="7.7109375" style="8" customWidth="1"/>
    <col min="14604" max="14604" width="11.42578125" style="8"/>
    <col min="14605" max="14605" width="13.28515625" style="8" bestFit="1" customWidth="1"/>
    <col min="14606" max="14842" width="11.42578125" style="8"/>
    <col min="14843" max="14843" width="0.140625" style="8" customWidth="1"/>
    <col min="14844" max="14844" width="2.7109375" style="8" customWidth="1"/>
    <col min="14845" max="14845" width="15.42578125" style="8" customWidth="1"/>
    <col min="14846" max="14846" width="1.28515625" style="8" customWidth="1"/>
    <col min="14847" max="14847" width="27.7109375" style="8" customWidth="1"/>
    <col min="14848" max="14848" width="6.7109375" style="8" customWidth="1"/>
    <col min="14849" max="14849" width="1.5703125" style="8" customWidth="1"/>
    <col min="14850" max="14850" width="10.5703125" style="8" customWidth="1"/>
    <col min="14851" max="14851" width="5.85546875" style="8" customWidth="1"/>
    <col min="14852" max="14852" width="1.5703125" style="8" customWidth="1"/>
    <col min="14853" max="14853" width="10.5703125" style="8" customWidth="1"/>
    <col min="14854" max="14854" width="6.7109375" style="8" customWidth="1"/>
    <col min="14855" max="14855" width="1.5703125" style="8" customWidth="1"/>
    <col min="14856" max="14856" width="10.5703125" style="8" customWidth="1"/>
    <col min="14857" max="14857" width="9.7109375" style="8" customWidth="1"/>
    <col min="14858" max="14858" width="13.28515625" style="8" bestFit="1" customWidth="1"/>
    <col min="14859" max="14859" width="7.7109375" style="8" customWidth="1"/>
    <col min="14860" max="14860" width="11.42578125" style="8"/>
    <col min="14861" max="14861" width="13.28515625" style="8" bestFit="1" customWidth="1"/>
    <col min="14862" max="15098" width="11.42578125" style="8"/>
    <col min="15099" max="15099" width="0.140625" style="8" customWidth="1"/>
    <col min="15100" max="15100" width="2.7109375" style="8" customWidth="1"/>
    <col min="15101" max="15101" width="15.42578125" style="8" customWidth="1"/>
    <col min="15102" max="15102" width="1.28515625" style="8" customWidth="1"/>
    <col min="15103" max="15103" width="27.7109375" style="8" customWidth="1"/>
    <col min="15104" max="15104" width="6.7109375" style="8" customWidth="1"/>
    <col min="15105" max="15105" width="1.5703125" style="8" customWidth="1"/>
    <col min="15106" max="15106" width="10.5703125" style="8" customWidth="1"/>
    <col min="15107" max="15107" width="5.85546875" style="8" customWidth="1"/>
    <col min="15108" max="15108" width="1.5703125" style="8" customWidth="1"/>
    <col min="15109" max="15109" width="10.5703125" style="8" customWidth="1"/>
    <col min="15110" max="15110" width="6.7109375" style="8" customWidth="1"/>
    <col min="15111" max="15111" width="1.5703125" style="8" customWidth="1"/>
    <col min="15112" max="15112" width="10.5703125" style="8" customWidth="1"/>
    <col min="15113" max="15113" width="9.7109375" style="8" customWidth="1"/>
    <col min="15114" max="15114" width="13.28515625" style="8" bestFit="1" customWidth="1"/>
    <col min="15115" max="15115" width="7.7109375" style="8" customWidth="1"/>
    <col min="15116" max="15116" width="11.42578125" style="8"/>
    <col min="15117" max="15117" width="13.28515625" style="8" bestFit="1" customWidth="1"/>
    <col min="15118" max="15354" width="11.42578125" style="8"/>
    <col min="15355" max="15355" width="0.140625" style="8" customWidth="1"/>
    <col min="15356" max="15356" width="2.7109375" style="8" customWidth="1"/>
    <col min="15357" max="15357" width="15.42578125" style="8" customWidth="1"/>
    <col min="15358" max="15358" width="1.28515625" style="8" customWidth="1"/>
    <col min="15359" max="15359" width="27.7109375" style="8" customWidth="1"/>
    <col min="15360" max="15360" width="6.7109375" style="8" customWidth="1"/>
    <col min="15361" max="15361" width="1.5703125" style="8" customWidth="1"/>
    <col min="15362" max="15362" width="10.5703125" style="8" customWidth="1"/>
    <col min="15363" max="15363" width="5.85546875" style="8" customWidth="1"/>
    <col min="15364" max="15364" width="1.5703125" style="8" customWidth="1"/>
    <col min="15365" max="15365" width="10.5703125" style="8" customWidth="1"/>
    <col min="15366" max="15366" width="6.7109375" style="8" customWidth="1"/>
    <col min="15367" max="15367" width="1.5703125" style="8" customWidth="1"/>
    <col min="15368" max="15368" width="10.5703125" style="8" customWidth="1"/>
    <col min="15369" max="15369" width="9.7109375" style="8" customWidth="1"/>
    <col min="15370" max="15370" width="13.28515625" style="8" bestFit="1" customWidth="1"/>
    <col min="15371" max="15371" width="7.7109375" style="8" customWidth="1"/>
    <col min="15372" max="15372" width="11.42578125" style="8"/>
    <col min="15373" max="15373" width="13.28515625" style="8" bestFit="1" customWidth="1"/>
    <col min="15374" max="15610" width="11.42578125" style="8"/>
    <col min="15611" max="15611" width="0.140625" style="8" customWidth="1"/>
    <col min="15612" max="15612" width="2.7109375" style="8" customWidth="1"/>
    <col min="15613" max="15613" width="15.42578125" style="8" customWidth="1"/>
    <col min="15614" max="15614" width="1.28515625" style="8" customWidth="1"/>
    <col min="15615" max="15615" width="27.7109375" style="8" customWidth="1"/>
    <col min="15616" max="15616" width="6.7109375" style="8" customWidth="1"/>
    <col min="15617" max="15617" width="1.5703125" style="8" customWidth="1"/>
    <col min="15618" max="15618" width="10.5703125" style="8" customWidth="1"/>
    <col min="15619" max="15619" width="5.85546875" style="8" customWidth="1"/>
    <col min="15620" max="15620" width="1.5703125" style="8" customWidth="1"/>
    <col min="15621" max="15621" width="10.5703125" style="8" customWidth="1"/>
    <col min="15622" max="15622" width="6.7109375" style="8" customWidth="1"/>
    <col min="15623" max="15623" width="1.5703125" style="8" customWidth="1"/>
    <col min="15624" max="15624" width="10.5703125" style="8" customWidth="1"/>
    <col min="15625" max="15625" width="9.7109375" style="8" customWidth="1"/>
    <col min="15626" max="15626" width="13.28515625" style="8" bestFit="1" customWidth="1"/>
    <col min="15627" max="15627" width="7.7109375" style="8" customWidth="1"/>
    <col min="15628" max="15628" width="11.42578125" style="8"/>
    <col min="15629" max="15629" width="13.28515625" style="8" bestFit="1" customWidth="1"/>
    <col min="15630" max="15866" width="11.42578125" style="8"/>
    <col min="15867" max="15867" width="0.140625" style="8" customWidth="1"/>
    <col min="15868" max="15868" width="2.7109375" style="8" customWidth="1"/>
    <col min="15869" max="15869" width="15.42578125" style="8" customWidth="1"/>
    <col min="15870" max="15870" width="1.28515625" style="8" customWidth="1"/>
    <col min="15871" max="15871" width="27.7109375" style="8" customWidth="1"/>
    <col min="15872" max="15872" width="6.7109375" style="8" customWidth="1"/>
    <col min="15873" max="15873" width="1.5703125" style="8" customWidth="1"/>
    <col min="15874" max="15874" width="10.5703125" style="8" customWidth="1"/>
    <col min="15875" max="15875" width="5.85546875" style="8" customWidth="1"/>
    <col min="15876" max="15876" width="1.5703125" style="8" customWidth="1"/>
    <col min="15877" max="15877" width="10.5703125" style="8" customWidth="1"/>
    <col min="15878" max="15878" width="6.7109375" style="8" customWidth="1"/>
    <col min="15879" max="15879" width="1.5703125" style="8" customWidth="1"/>
    <col min="15880" max="15880" width="10.5703125" style="8" customWidth="1"/>
    <col min="15881" max="15881" width="9.7109375" style="8" customWidth="1"/>
    <col min="15882" max="15882" width="13.28515625" style="8" bestFit="1" customWidth="1"/>
    <col min="15883" max="15883" width="7.7109375" style="8" customWidth="1"/>
    <col min="15884" max="15884" width="11.42578125" style="8"/>
    <col min="15885" max="15885" width="13.28515625" style="8" bestFit="1" customWidth="1"/>
    <col min="15886" max="16122" width="11.42578125" style="8"/>
    <col min="16123" max="16123" width="0.140625" style="8" customWidth="1"/>
    <col min="16124" max="16124" width="2.7109375" style="8" customWidth="1"/>
    <col min="16125" max="16125" width="15.42578125" style="8" customWidth="1"/>
    <col min="16126" max="16126" width="1.28515625" style="8" customWidth="1"/>
    <col min="16127" max="16127" width="27.7109375" style="8" customWidth="1"/>
    <col min="16128" max="16128" width="6.7109375" style="8" customWidth="1"/>
    <col min="16129" max="16129" width="1.5703125" style="8" customWidth="1"/>
    <col min="16130" max="16130" width="10.5703125" style="8" customWidth="1"/>
    <col min="16131" max="16131" width="5.85546875" style="8" customWidth="1"/>
    <col min="16132" max="16132" width="1.5703125" style="8" customWidth="1"/>
    <col min="16133" max="16133" width="10.5703125" style="8" customWidth="1"/>
    <col min="16134" max="16134" width="6.7109375" style="8" customWidth="1"/>
    <col min="16135" max="16135" width="1.5703125" style="8" customWidth="1"/>
    <col min="16136" max="16136" width="10.5703125" style="8" customWidth="1"/>
    <col min="16137" max="16137" width="9.7109375" style="8" customWidth="1"/>
    <col min="16138" max="16138" width="13.28515625" style="8" bestFit="1" customWidth="1"/>
    <col min="16139" max="16139" width="7.7109375" style="8" customWidth="1"/>
    <col min="16140" max="16140" width="11.42578125" style="8"/>
    <col min="16141" max="16141" width="13.28515625" style="8" bestFit="1" customWidth="1"/>
    <col min="16142" max="16384" width="11.42578125" style="8"/>
  </cols>
  <sheetData>
    <row r="1" spans="1:18" s="1" customFormat="1" ht="21" customHeight="1">
      <c r="C1" s="2"/>
      <c r="O1" s="20" t="s">
        <v>0</v>
      </c>
    </row>
    <row r="2" spans="1:18" s="1" customFormat="1" ht="15" customHeight="1"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21" t="s">
        <v>154</v>
      </c>
    </row>
    <row r="3" spans="1:18" s="3" customFormat="1" ht="21" customHeight="1">
      <c r="B3" s="4"/>
      <c r="O3" s="92" t="s">
        <v>106</v>
      </c>
      <c r="P3" s="5"/>
    </row>
    <row r="4" spans="1:18" s="3" customFormat="1" ht="12.75" customHeight="1">
      <c r="B4" s="4"/>
      <c r="P4" s="5"/>
    </row>
    <row r="5" spans="1:18" s="3" customFormat="1" ht="15">
      <c r="B5" s="4"/>
      <c r="C5" s="102"/>
      <c r="P5" s="5"/>
    </row>
    <row r="6" spans="1:18" s="3" customFormat="1" ht="12.75" customHeight="1">
      <c r="B6" s="4"/>
      <c r="C6" s="164" t="s">
        <v>155</v>
      </c>
      <c r="D6" s="160" t="s">
        <v>1</v>
      </c>
      <c r="E6" s="160"/>
      <c r="F6" s="160" t="s">
        <v>1</v>
      </c>
      <c r="G6" s="160"/>
      <c r="H6" s="160" t="s">
        <v>1</v>
      </c>
      <c r="I6" s="160"/>
      <c r="J6" s="160" t="s">
        <v>1</v>
      </c>
      <c r="K6" s="160"/>
      <c r="L6" s="160" t="s">
        <v>1</v>
      </c>
      <c r="M6" s="160"/>
      <c r="N6" s="160" t="s">
        <v>2</v>
      </c>
      <c r="O6" s="160"/>
      <c r="P6" s="5"/>
    </row>
    <row r="7" spans="1:18" s="3" customFormat="1" ht="12.75" customHeight="1">
      <c r="B7" s="4"/>
      <c r="C7" s="164"/>
      <c r="D7" s="161" t="s">
        <v>3</v>
      </c>
      <c r="E7" s="161"/>
      <c r="F7" s="161" t="s">
        <v>19</v>
      </c>
      <c r="G7" s="161"/>
      <c r="H7" s="161" t="s">
        <v>20</v>
      </c>
      <c r="I7" s="161"/>
      <c r="J7" s="161" t="s">
        <v>58</v>
      </c>
      <c r="K7" s="161"/>
      <c r="L7" s="161" t="s">
        <v>21</v>
      </c>
      <c r="M7" s="161"/>
      <c r="N7" s="161" t="s">
        <v>4</v>
      </c>
      <c r="O7" s="161"/>
      <c r="P7" s="5"/>
    </row>
    <row r="8" spans="1:18" ht="12.75" customHeight="1">
      <c r="A8" s="3"/>
      <c r="B8" s="4"/>
      <c r="C8" s="165"/>
      <c r="D8" s="6" t="s">
        <v>5</v>
      </c>
      <c r="E8" s="6" t="str">
        <f>'Data 1'!M7</f>
        <v>%19/18</v>
      </c>
      <c r="F8" s="6" t="s">
        <v>5</v>
      </c>
      <c r="G8" s="6" t="str">
        <f>'Data 1'!M28</f>
        <v>%19/18</v>
      </c>
      <c r="H8" s="6" t="s">
        <v>5</v>
      </c>
      <c r="I8" s="6" t="str">
        <f>'Data 1'!M46</f>
        <v>%19/18</v>
      </c>
      <c r="J8" s="6" t="s">
        <v>5</v>
      </c>
      <c r="K8" s="6" t="str">
        <f>'Data 1'!M63</f>
        <v>%19/18</v>
      </c>
      <c r="L8" s="6" t="s">
        <v>5</v>
      </c>
      <c r="M8" s="6" t="str">
        <f>'Data 1'!M71</f>
        <v>%19/18</v>
      </c>
      <c r="N8" s="6" t="s">
        <v>5</v>
      </c>
      <c r="O8" s="6" t="str">
        <f>'Data 1'!M83</f>
        <v>%19/18</v>
      </c>
      <c r="P8" s="7"/>
    </row>
    <row r="9" spans="1:18">
      <c r="A9" s="3"/>
      <c r="B9" s="4"/>
      <c r="C9" s="22" t="s">
        <v>6</v>
      </c>
      <c r="D9" s="16">
        <f>'Data 1'!L8</f>
        <v>23439.209797584157</v>
      </c>
      <c r="E9" s="15">
        <f>'Data 1'!M8</f>
        <v>-31.291451091282042</v>
      </c>
      <c r="F9" s="16" t="s">
        <v>26</v>
      </c>
      <c r="G9" s="15" t="s">
        <v>26</v>
      </c>
      <c r="H9" s="16">
        <f>'Data 1'!L47</f>
        <v>3.4610194087035748</v>
      </c>
      <c r="I9" s="15">
        <f>'Data 1'!M47</f>
        <v>5.6118743791354841</v>
      </c>
      <c r="J9" s="16" t="s">
        <v>26</v>
      </c>
      <c r="K9" s="15" t="s">
        <v>26</v>
      </c>
      <c r="L9" s="16" t="s">
        <v>26</v>
      </c>
      <c r="M9" s="15" t="s">
        <v>26</v>
      </c>
      <c r="N9" s="16">
        <f>'Data 1'!L84</f>
        <v>23442.670816992861</v>
      </c>
      <c r="O9" s="15">
        <f>'Data 1'!M84</f>
        <v>-31.287906363573047</v>
      </c>
      <c r="P9" s="9"/>
      <c r="R9" s="12"/>
    </row>
    <row r="10" spans="1:18" ht="12.75" customHeight="1">
      <c r="A10" s="3"/>
      <c r="B10" s="4"/>
      <c r="C10" s="22" t="s">
        <v>9</v>
      </c>
      <c r="D10" s="16" t="s">
        <v>26</v>
      </c>
      <c r="E10" s="15" t="s">
        <v>26</v>
      </c>
      <c r="F10" s="16" t="s">
        <v>26</v>
      </c>
      <c r="G10" s="15" t="s">
        <v>26</v>
      </c>
      <c r="H10" s="16">
        <f>'Data 1'!L54</f>
        <v>24.108849083928597</v>
      </c>
      <c r="I10" s="15">
        <f>'Data 1'!M54</f>
        <v>1.916274188953726</v>
      </c>
      <c r="J10" s="16" t="s">
        <v>26</v>
      </c>
      <c r="K10" s="15" t="s">
        <v>26</v>
      </c>
      <c r="L10" s="16" t="s">
        <v>26</v>
      </c>
      <c r="M10" s="15" t="s">
        <v>26</v>
      </c>
      <c r="N10" s="16">
        <f>'Data 1'!L90</f>
        <v>24.108849083928597</v>
      </c>
      <c r="O10" s="15">
        <f>'Data 1'!M90</f>
        <v>1.916274188953726</v>
      </c>
      <c r="P10" s="9"/>
      <c r="R10" s="12"/>
    </row>
    <row r="11" spans="1:18" ht="12.75" customHeight="1">
      <c r="A11" s="3"/>
      <c r="B11" s="4"/>
      <c r="C11" s="22" t="s">
        <v>10</v>
      </c>
      <c r="D11" s="16">
        <f>'Data 1'!L14</f>
        <v>52676.731291000004</v>
      </c>
      <c r="E11" s="15">
        <f>'Data 1'!M14</f>
        <v>7.6008063676079818</v>
      </c>
      <c r="F11" s="16">
        <f>'Data 1'!L35</f>
        <v>6.1852998275299864</v>
      </c>
      <c r="G11" s="15">
        <f>'Data 1'!M35</f>
        <v>64.626518929534654</v>
      </c>
      <c r="H11" s="16">
        <f>'Data 1'!L55</f>
        <v>1163.092312090308</v>
      </c>
      <c r="I11" s="15">
        <f>'Data 1'!M55</f>
        <v>86.983734887854581</v>
      </c>
      <c r="J11" s="16" t="s">
        <v>26</v>
      </c>
      <c r="K11" s="15" t="s">
        <v>26</v>
      </c>
      <c r="L11" s="16" t="s">
        <v>26</v>
      </c>
      <c r="M11" s="15" t="s">
        <v>26</v>
      </c>
      <c r="N11" s="16">
        <f>'Data 1'!L91</f>
        <v>53846.008902917842</v>
      </c>
      <c r="O11" s="15">
        <f>'Data 1'!M91</f>
        <v>8.6010326322455199</v>
      </c>
      <c r="P11" s="9"/>
      <c r="R11" s="12"/>
    </row>
    <row r="12" spans="1:18" ht="12.75" customHeight="1">
      <c r="A12" s="3"/>
      <c r="B12" s="4"/>
      <c r="C12" s="22" t="s">
        <v>11</v>
      </c>
      <c r="D12" s="16">
        <f>'Data 1'!L15</f>
        <v>8818.8652830520004</v>
      </c>
      <c r="E12" s="15">
        <f>'Data 1'!M15</f>
        <v>19.487953774050858</v>
      </c>
      <c r="F12" s="16">
        <f>'Data 1'!L36</f>
        <v>124.91221470964793</v>
      </c>
      <c r="G12" s="15">
        <f>'Data 1'!M36</f>
        <v>10.070777409347587</v>
      </c>
      <c r="H12" s="16">
        <f>'Data 1'!L56</f>
        <v>276.46846134320714</v>
      </c>
      <c r="I12" s="15">
        <f>'Data 1'!M56</f>
        <v>1.6156598851924331</v>
      </c>
      <c r="J12" s="16" t="s">
        <v>26</v>
      </c>
      <c r="K12" s="15" t="s">
        <v>26</v>
      </c>
      <c r="L12" s="16">
        <f>'Data 1'!L75</f>
        <v>7.1875999999999995E-2</v>
      </c>
      <c r="M12" s="15">
        <f>'Data 1'!M75</f>
        <v>-3.6656793234241758</v>
      </c>
      <c r="N12" s="16">
        <f>'Data 1'!L92</f>
        <v>9220.3178351048555</v>
      </c>
      <c r="O12" s="15">
        <f>'Data 1'!M92</f>
        <v>18.724002083493762</v>
      </c>
      <c r="P12" s="9"/>
      <c r="R12" s="12"/>
    </row>
    <row r="13" spans="1:18">
      <c r="A13" s="3"/>
      <c r="B13" s="4"/>
      <c r="C13" s="22" t="s">
        <v>12</v>
      </c>
      <c r="D13" s="16">
        <f>'Data 1'!L16</f>
        <v>5227.8869299479984</v>
      </c>
      <c r="E13" s="15">
        <f>'Data 1'!M16</f>
        <v>18.162317458839581</v>
      </c>
      <c r="F13" s="16" t="s">
        <v>26</v>
      </c>
      <c r="G13" s="15" t="s">
        <v>26</v>
      </c>
      <c r="H13" s="16" t="s">
        <v>26</v>
      </c>
      <c r="I13" s="16" t="s">
        <v>26</v>
      </c>
      <c r="J13" s="16" t="s">
        <v>26</v>
      </c>
      <c r="K13" s="16" t="s">
        <v>26</v>
      </c>
      <c r="L13" s="16" t="s">
        <v>26</v>
      </c>
      <c r="M13" s="15" t="s">
        <v>26</v>
      </c>
      <c r="N13" s="16">
        <f>'Data 1'!L93</f>
        <v>5227.8869299479984</v>
      </c>
      <c r="O13" s="15">
        <f>'Data 1'!M93</f>
        <v>18.162317458839581</v>
      </c>
      <c r="P13" s="9"/>
      <c r="R13" s="12"/>
    </row>
    <row r="14" spans="1:18">
      <c r="A14" s="3"/>
      <c r="B14" s="4"/>
      <c r="C14" s="22" t="s">
        <v>156</v>
      </c>
      <c r="D14" s="16">
        <f>'Data 1'!L17</f>
        <v>3638.2634600000006</v>
      </c>
      <c r="E14" s="15">
        <f>'Data 1'!M17</f>
        <v>2.567917965865596</v>
      </c>
      <c r="F14" s="16">
        <f>'Data 1'!L37</f>
        <v>1.1188174032815958</v>
      </c>
      <c r="G14" s="15">
        <f>'Data 1'!M37</f>
        <v>-16.042203123860144</v>
      </c>
      <c r="H14" s="16">
        <f>'Data 1'!L57</f>
        <v>9.5739180006200844</v>
      </c>
      <c r="I14" s="15">
        <f>'Data 1'!M57</f>
        <v>7.1915582467510841</v>
      </c>
      <c r="J14" s="16" t="s">
        <v>26</v>
      </c>
      <c r="K14" s="15" t="s">
        <v>26</v>
      </c>
      <c r="L14" s="16" t="s">
        <v>26</v>
      </c>
      <c r="M14" s="15" t="s">
        <v>26</v>
      </c>
      <c r="N14" s="16">
        <f>'Data 1'!L94</f>
        <v>3648.9561954039023</v>
      </c>
      <c r="O14" s="15">
        <f>'Data 1'!M94</f>
        <v>2.572555216662642</v>
      </c>
      <c r="P14" s="9"/>
      <c r="R14" s="12"/>
    </row>
    <row r="15" spans="1:18">
      <c r="A15" s="3"/>
      <c r="B15" s="4"/>
      <c r="C15" s="22" t="s">
        <v>15</v>
      </c>
      <c r="D15" s="16">
        <f>'Data 1'!L20</f>
        <v>743.58328500000005</v>
      </c>
      <c r="E15" s="15">
        <f>'Data 1'!M20</f>
        <v>1.4478919904217902</v>
      </c>
      <c r="F15" s="16">
        <f>'Data 1'!L40</f>
        <v>148.50591854962832</v>
      </c>
      <c r="G15" s="15">
        <f>'Data 1'!M40</f>
        <v>9.3903843913879292</v>
      </c>
      <c r="H15" s="16" t="s">
        <v>26</v>
      </c>
      <c r="I15" s="15" t="s">
        <v>26</v>
      </c>
      <c r="J15" s="16" t="s">
        <v>26</v>
      </c>
      <c r="K15" s="15" t="s">
        <v>26</v>
      </c>
      <c r="L15" s="16">
        <f>'Data 1'!L77</f>
        <v>5.5136315000000007</v>
      </c>
      <c r="M15" s="15">
        <f>'Data 1'!M77</f>
        <v>3.119459927632029</v>
      </c>
      <c r="N15" s="16">
        <f>'Data 1'!L97</f>
        <v>897.60283504962831</v>
      </c>
      <c r="O15" s="15">
        <f>'Data 1'!M97</f>
        <v>2.6917122048947029</v>
      </c>
      <c r="P15" s="9"/>
      <c r="R15" s="12"/>
    </row>
    <row r="16" spans="1:18">
      <c r="A16" s="3"/>
      <c r="B16" s="4"/>
      <c r="C16" s="23" t="s">
        <v>52</v>
      </c>
      <c r="D16" s="24">
        <f>SUM(D9:D15)</f>
        <v>94544.540046584167</v>
      </c>
      <c r="E16" s="25">
        <f>(SUM('Data 1'!L8,'Data 1'!L14:L17,'Data 1'!L20)/SUM('Data 1'!K8,'Data 1'!K14:K17,'Data 1'!K20)-1)*100</f>
        <v>-4.6494495055230516</v>
      </c>
      <c r="F16" s="24">
        <f>SUM(F9:F15)</f>
        <v>280.72225049008784</v>
      </c>
      <c r="G16" s="25">
        <f>(SUM('Data 1'!L35:L37,'Data 1'!L40)/SUM('Data 1'!K35:K37,'Data 1'!K40)-1)*100</f>
        <v>10.376711745657596</v>
      </c>
      <c r="H16" s="24">
        <f>SUM(H9:H15)</f>
        <v>1476.7045599267674</v>
      </c>
      <c r="I16" s="25">
        <f>(SUM('Data 1'!L47,'Data 1'!L54:L57)/SUM('Data 1'!K47,'Data 1'!K54:K57)-1)*100</f>
        <v>58.791319172038904</v>
      </c>
      <c r="J16" s="24">
        <f>SUM(J9:J15)</f>
        <v>0</v>
      </c>
      <c r="K16" s="25" t="s">
        <v>26</v>
      </c>
      <c r="L16" s="24">
        <f>SUM(L9:L15)</f>
        <v>5.5855075000000003</v>
      </c>
      <c r="M16" s="25">
        <f>(SUM('Data 1'!L75,'Data 1'!L77)/SUM('Data 1'!K75,'Data 1'!K77)-1)*100</f>
        <v>3.0260815833402566</v>
      </c>
      <c r="N16" s="24">
        <f>SUM(N9:N15)</f>
        <v>96307.552364501025</v>
      </c>
      <c r="O16" s="25">
        <f>(SUM('Data 1'!L84,'Data 1'!L90:L94,'Data 1'!L97)/SUM('Data 1'!K84,'Data 1'!K90:K94,'Data 1'!K97)-1)*100</f>
        <v>-4.0229974287941168</v>
      </c>
      <c r="P16" s="9"/>
      <c r="R16" s="12"/>
    </row>
    <row r="17" spans="1:18">
      <c r="A17" s="3"/>
      <c r="B17" s="4"/>
      <c r="C17" s="22" t="s">
        <v>158</v>
      </c>
      <c r="D17" s="16">
        <f>'Data 1'!L9</f>
        <v>1544.6993547299996</v>
      </c>
      <c r="E17" s="15">
        <f>'Data 1'!M9</f>
        <v>-22.532475090472946</v>
      </c>
      <c r="F17" s="16" t="s">
        <v>26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  <c r="N17" s="16">
        <f>'Data 1'!L85</f>
        <v>1544.6993547299996</v>
      </c>
      <c r="O17" s="15">
        <f>'Data 1'!M85</f>
        <v>-22.532475090472946</v>
      </c>
      <c r="P17" s="9"/>
      <c r="R17" s="12"/>
    </row>
    <row r="18" spans="1:18">
      <c r="A18" s="3"/>
      <c r="B18" s="4"/>
      <c r="C18" s="22" t="s">
        <v>7</v>
      </c>
      <c r="D18" s="16">
        <f>'Data 1'!L10</f>
        <v>55298.166615190436</v>
      </c>
      <c r="E18" s="15">
        <f>'Data 1'!M10</f>
        <v>3.948577561682054</v>
      </c>
      <c r="F18" s="16" t="s">
        <v>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  <c r="N18" s="16">
        <f>'Data 1'!L86</f>
        <v>55298.166615190436</v>
      </c>
      <c r="O18" s="15">
        <f>'Data 1'!M86</f>
        <v>3.948577561682054</v>
      </c>
      <c r="P18" s="9"/>
      <c r="R18" s="12"/>
    </row>
    <row r="19" spans="1:18">
      <c r="A19" s="3"/>
      <c r="B19" s="4"/>
      <c r="C19" s="22" t="s">
        <v>8</v>
      </c>
      <c r="D19" s="16">
        <f>'Data 1'!L11</f>
        <v>11084.369805201402</v>
      </c>
      <c r="E19" s="15">
        <f>'Data 1'!M11</f>
        <v>-68.222359590180375</v>
      </c>
      <c r="F19" s="16">
        <f>'Data 1'!L29</f>
        <v>2032.2503862902588</v>
      </c>
      <c r="G19" s="15">
        <f>'Data 1'!M29</f>
        <v>-15.173426641336151</v>
      </c>
      <c r="H19" s="15" t="s">
        <v>26</v>
      </c>
      <c r="I19" s="15" t="s">
        <v>26</v>
      </c>
      <c r="J19" s="15" t="s">
        <v>26</v>
      </c>
      <c r="K19" s="15" t="s">
        <v>26</v>
      </c>
      <c r="L19" s="16" t="s">
        <v>26</v>
      </c>
      <c r="M19" s="15" t="s">
        <v>26</v>
      </c>
      <c r="N19" s="16">
        <f>'Data 1'!L87</f>
        <v>13116.620191491662</v>
      </c>
      <c r="O19" s="15">
        <f>'Data 1'!M87</f>
        <v>-64.812918007452197</v>
      </c>
      <c r="P19" s="9"/>
      <c r="R19" s="12"/>
    </row>
    <row r="20" spans="1:18" ht="12.75" customHeight="1">
      <c r="A20" s="3"/>
      <c r="B20" s="4"/>
      <c r="C20" s="22" t="s">
        <v>160</v>
      </c>
      <c r="D20" s="16">
        <f>'Data 1'!L12</f>
        <v>-9.9999999999999995E-7</v>
      </c>
      <c r="E20" s="15" t="str">
        <f>'Data 1'!M12</f>
        <v>-</v>
      </c>
      <c r="F20" s="16">
        <f>SUM('Data 1'!L32,'Data 1'!L34)</f>
        <v>953.36536328718921</v>
      </c>
      <c r="G20" s="15">
        <f>((SUM('Data 1'!L32,'Data 1'!L34)/SUM('Data 1'!K32,'Data 1'!K34)-1)*100)</f>
        <v>-32.514350192955497</v>
      </c>
      <c r="H20" s="16">
        <f>SUM('Data 1'!L51,'Data 1'!L53)</f>
        <v>4377.1793757752339</v>
      </c>
      <c r="I20" s="15">
        <f>((SUM('Data 1'!L51,'Data 1'!L53)/SUM('Data 1'!K51,'Data 1'!K53)-1)*100)</f>
        <v>-9.9468100982604497</v>
      </c>
      <c r="J20" s="16">
        <f>'Data 1'!L66</f>
        <v>206.98428999999999</v>
      </c>
      <c r="K20" s="15">
        <f>'Data 1'!M66</f>
        <v>-0.17936958574246153</v>
      </c>
      <c r="L20" s="16">
        <f>'Data 1'!L74</f>
        <v>200.18939500000002</v>
      </c>
      <c r="M20" s="15">
        <f>'Data 1'!M74</f>
        <v>-0.98494630797398841</v>
      </c>
      <c r="N20" s="16">
        <f>'Data 1'!L88</f>
        <v>5737.7184230624234</v>
      </c>
      <c r="O20" s="15">
        <f>'Data 1'!M88</f>
        <v>-14.143162038821677</v>
      </c>
      <c r="P20" s="9"/>
      <c r="R20" s="12"/>
    </row>
    <row r="21" spans="1:18">
      <c r="A21" s="3"/>
      <c r="B21" s="4"/>
      <c r="C21" s="22" t="s">
        <v>162</v>
      </c>
      <c r="D21" s="16">
        <f>'Data 1'!L13</f>
        <v>53166.222737654687</v>
      </c>
      <c r="E21" s="15">
        <f>'Data 1'!M13</f>
        <v>101.364911751297</v>
      </c>
      <c r="F21" s="16">
        <f>'Data 1'!L33</f>
        <v>1036.1562331749433</v>
      </c>
      <c r="G21" s="15">
        <f>'Data 1'!M33</f>
        <v>75.464305185893579</v>
      </c>
      <c r="H21" s="16">
        <f>'Data 1'!L52</f>
        <v>3004.1118411038628</v>
      </c>
      <c r="I21" s="15">
        <f>'Data 1'!M52</f>
        <v>-1.5375101498179</v>
      </c>
      <c r="J21" s="16" t="s">
        <v>26</v>
      </c>
      <c r="K21" s="15" t="s">
        <v>26</v>
      </c>
      <c r="L21" s="16" t="s">
        <v>26</v>
      </c>
      <c r="M21" s="15" t="s">
        <v>26</v>
      </c>
      <c r="N21" s="16">
        <f>'Data 1'!L89</f>
        <v>57206.490811933494</v>
      </c>
      <c r="O21" s="15">
        <f>'Data 1'!M89</f>
        <v>90.406075237219724</v>
      </c>
      <c r="P21" s="9"/>
      <c r="R21" s="12"/>
    </row>
    <row r="22" spans="1:18">
      <c r="A22" s="3"/>
      <c r="B22" s="4"/>
      <c r="C22" s="22" t="s">
        <v>13</v>
      </c>
      <c r="D22" s="16">
        <f>'Data 1'!L18</f>
        <v>29522.742668999992</v>
      </c>
      <c r="E22" s="15">
        <f>'Data 1'!M18</f>
        <v>1.901712017232482</v>
      </c>
      <c r="F22" s="16">
        <f>'Data 1'!L38</f>
        <v>33.276329703795049</v>
      </c>
      <c r="G22" s="15">
        <f>'Data 1'!M38</f>
        <v>-4.8553057744072703</v>
      </c>
      <c r="H22" s="16" t="s">
        <v>26</v>
      </c>
      <c r="I22" s="15" t="s">
        <v>26</v>
      </c>
      <c r="J22" s="16" t="s">
        <v>26</v>
      </c>
      <c r="K22" s="15" t="s">
        <v>26</v>
      </c>
      <c r="L22" s="16" t="s">
        <v>26</v>
      </c>
      <c r="M22" s="15" t="s">
        <v>26</v>
      </c>
      <c r="N22" s="16">
        <f>'Data 1'!L95</f>
        <v>29556.018998703788</v>
      </c>
      <c r="O22" s="15">
        <f>'Data 1'!M95</f>
        <v>1.8935648482153011</v>
      </c>
      <c r="P22" s="9"/>
      <c r="R22" s="12"/>
    </row>
    <row r="23" spans="1:18">
      <c r="A23" s="3"/>
      <c r="B23" s="4"/>
      <c r="C23" s="22" t="s">
        <v>14</v>
      </c>
      <c r="D23" s="16">
        <f>'Data 1'!L19</f>
        <v>2098.5154069999999</v>
      </c>
      <c r="E23" s="15">
        <f>'Data 1'!M19</f>
        <v>-8.5159054420671065</v>
      </c>
      <c r="F23" s="16">
        <f>'Data 1'!L39</f>
        <v>148.50591854962832</v>
      </c>
      <c r="G23" s="15">
        <f>'Data 1'!M39</f>
        <v>9.3903843913879292</v>
      </c>
      <c r="H23" s="16" t="s">
        <v>26</v>
      </c>
      <c r="I23" s="15" t="s">
        <v>26</v>
      </c>
      <c r="J23" s="16" t="s">
        <v>26</v>
      </c>
      <c r="K23" s="15" t="s">
        <v>26</v>
      </c>
      <c r="L23" s="16">
        <f>'Data 1'!L76</f>
        <v>5.5136315000000007</v>
      </c>
      <c r="M23" s="15">
        <f>'Data 1'!M76</f>
        <v>3.119459927632029</v>
      </c>
      <c r="N23" s="16">
        <f>'Data 1'!L96</f>
        <v>2252.5349570496282</v>
      </c>
      <c r="O23" s="15">
        <f>'Data 1'!M96</f>
        <v>-7.492017126473316</v>
      </c>
      <c r="P23" s="9"/>
      <c r="R23" s="12"/>
    </row>
    <row r="24" spans="1:18">
      <c r="A24" s="3"/>
      <c r="B24" s="4"/>
      <c r="C24" s="23" t="s">
        <v>53</v>
      </c>
      <c r="D24" s="24">
        <f>SUM(D17:D23)</f>
        <v>152714.71658777652</v>
      </c>
      <c r="E24" s="25">
        <f>(SUM('Data 1'!L9:L13,'Data 1'!L18:L19)/SUM('Data 1'!K9:K13,'Data 1'!K18:K19)-1)*100</f>
        <v>3.3663621832754842</v>
      </c>
      <c r="F24" s="24">
        <f>SUM(F17:F23)</f>
        <v>4203.5542310058145</v>
      </c>
      <c r="G24" s="25">
        <f>(SUM('Data 1'!L29,'Data 1'!L32:L34,'Data 1'!L38:L39)/SUM('Data 1'!K29,'Data 1'!K32:K34,'Data 1'!K38:K39)-1)*100</f>
        <v>-8.0128529408703191</v>
      </c>
      <c r="H24" s="24">
        <f>SUM(H17:H23)</f>
        <v>7381.2912168790972</v>
      </c>
      <c r="I24" s="25">
        <f>(SUM('Data 1'!L51:L53,'Data 1'!L58)/SUM('Data 1'!K51:K53,'Data 1'!K58))</f>
        <v>0.9329611057755679</v>
      </c>
      <c r="J24" s="24">
        <f>SUM(J17:J23)</f>
        <v>206.98428999999999</v>
      </c>
      <c r="K24" s="25">
        <f>(('Data 1'!L66/'Data 1'!K66)-1)*100</f>
        <v>-0.17936958574246153</v>
      </c>
      <c r="L24" s="24">
        <f>SUM(L17:L23)</f>
        <v>205.70302650000002</v>
      </c>
      <c r="M24" s="25">
        <f>(SUM('Data 1'!L74,'Data 1'!L76,'Data 1'!L78)/SUM('Data 1'!K74,'Data 1'!K76,'Data 1'!K78)-1)*100</f>
        <v>-0.87919845227721893</v>
      </c>
      <c r="N24" s="24">
        <f>SUM(N17:N23)</f>
        <v>164712.24935216145</v>
      </c>
      <c r="O24" s="25">
        <f>(SUM('Data 1'!L85:L89,'Data 1'!L95:L96)/SUM('Data 1'!K85:K89,'Data 1'!K95:K96)-1)*100</f>
        <v>2.5366135609917295</v>
      </c>
      <c r="P24" s="9"/>
      <c r="R24" s="12"/>
    </row>
    <row r="25" spans="1:18">
      <c r="A25" s="3"/>
      <c r="B25" s="4"/>
      <c r="C25" s="26" t="s">
        <v>17</v>
      </c>
      <c r="D25" s="16">
        <f>'Data 1'!L22</f>
        <v>-2714.6767992939999</v>
      </c>
      <c r="E25" s="15">
        <f>'Data 1'!M22</f>
        <v>-15.124771211649989</v>
      </c>
      <c r="F25" s="16" t="s">
        <v>26</v>
      </c>
      <c r="G25" s="16" t="s">
        <v>26</v>
      </c>
      <c r="H25" s="16" t="s">
        <v>26</v>
      </c>
      <c r="I25" s="16" t="s">
        <v>26</v>
      </c>
      <c r="J25" s="16" t="s">
        <v>26</v>
      </c>
      <c r="K25" s="16" t="s">
        <v>26</v>
      </c>
      <c r="L25" s="16" t="s">
        <v>26</v>
      </c>
      <c r="M25" s="15" t="s">
        <v>26</v>
      </c>
      <c r="N25" s="16">
        <f>'Data 1'!L99</f>
        <v>-2714.6767992939999</v>
      </c>
      <c r="O25" s="15">
        <f>'Data 1'!M99</f>
        <v>-15.124771211649989</v>
      </c>
      <c r="P25" s="9"/>
      <c r="R25" s="12"/>
    </row>
    <row r="26" spans="1:18">
      <c r="A26" s="3"/>
      <c r="B26" s="4"/>
      <c r="C26" s="26" t="s">
        <v>42</v>
      </c>
      <c r="D26" s="16">
        <f>'Data 1'!L23</f>
        <v>-1685.1548877777777</v>
      </c>
      <c r="E26" s="15">
        <f>'Data 1'!M23</f>
        <v>36.63143173037713</v>
      </c>
      <c r="F26" s="16">
        <f>'Data 1'!L42</f>
        <v>1685.1648877777779</v>
      </c>
      <c r="G26" s="15">
        <f>'Data 1'!M42</f>
        <v>36.632242524878713</v>
      </c>
      <c r="H26" s="16" t="s">
        <v>26</v>
      </c>
      <c r="I26" s="15" t="s">
        <v>26</v>
      </c>
      <c r="J26" s="15" t="s">
        <v>26</v>
      </c>
      <c r="K26" s="15" t="s">
        <v>26</v>
      </c>
      <c r="L26" s="16" t="s">
        <v>26</v>
      </c>
      <c r="M26" s="15" t="s">
        <v>26</v>
      </c>
      <c r="N26" s="15" t="s">
        <v>26</v>
      </c>
      <c r="O26" s="15" t="s">
        <v>26</v>
      </c>
      <c r="P26" s="131"/>
      <c r="R26" s="12"/>
    </row>
    <row r="27" spans="1:18">
      <c r="A27" s="3"/>
      <c r="B27" s="4"/>
      <c r="C27" s="26" t="s">
        <v>43</v>
      </c>
      <c r="D27" s="27">
        <f>'Data 1'!L24</f>
        <v>6538.3629916396803</v>
      </c>
      <c r="E27" s="28">
        <f>'Data 1'!M24</f>
        <v>-41.108090868131029</v>
      </c>
      <c r="F27" s="27" t="s">
        <v>26</v>
      </c>
      <c r="G27" s="27" t="s">
        <v>26</v>
      </c>
      <c r="H27" s="27" t="s">
        <v>26</v>
      </c>
      <c r="I27" s="27" t="s">
        <v>26</v>
      </c>
      <c r="J27" s="27" t="s">
        <v>26</v>
      </c>
      <c r="K27" s="27" t="s">
        <v>26</v>
      </c>
      <c r="L27" s="27" t="s">
        <v>26</v>
      </c>
      <c r="M27" s="28" t="s">
        <v>26</v>
      </c>
      <c r="N27" s="27">
        <f>'Data 1'!L100</f>
        <v>6538.3629916396803</v>
      </c>
      <c r="O27" s="28">
        <f>'Data 1'!M100</f>
        <v>-41.108090868131029</v>
      </c>
      <c r="P27" s="9"/>
      <c r="R27" s="12"/>
    </row>
    <row r="28" spans="1:18" ht="16.149999999999999" customHeight="1">
      <c r="C28" s="29" t="s">
        <v>18</v>
      </c>
      <c r="D28" s="30">
        <f>SUM(D16,D24:D27)</f>
        <v>249397.78793892861</v>
      </c>
      <c r="E28" s="31">
        <f>'Data 1'!M25</f>
        <v>-1.6440000736246629</v>
      </c>
      <c r="F28" s="30">
        <f>SUM(F16,F24:F27)</f>
        <v>6169.4413692736807</v>
      </c>
      <c r="G28" s="31">
        <f>'Data 1'!M43</f>
        <v>1.849521591043457</v>
      </c>
      <c r="H28" s="30">
        <f>SUM(H16,H24:H27)</f>
        <v>8857.9957768058648</v>
      </c>
      <c r="I28" s="31">
        <f>'Data 1'!M60</f>
        <v>0.18490476410681911</v>
      </c>
      <c r="J28" s="30">
        <f>SUM(J16,J24:J27)</f>
        <v>206.98428999999999</v>
      </c>
      <c r="K28" s="31">
        <f>'Data 1'!M68</f>
        <v>-0.17936958574246153</v>
      </c>
      <c r="L28" s="30">
        <f>SUM(L16,L24:L27)</f>
        <v>211.28853400000003</v>
      </c>
      <c r="M28" s="31">
        <f>'Data 1'!M80</f>
        <v>-0.77977429493745198</v>
      </c>
      <c r="N28" s="30">
        <f>SUM(N16,N24:N27)</f>
        <v>264843.48790900817</v>
      </c>
      <c r="O28" s="31">
        <f>'Data 1'!M101</f>
        <v>-1.5033494428784211</v>
      </c>
      <c r="P28" s="9"/>
      <c r="R28" s="12"/>
    </row>
    <row r="29" spans="1:18" ht="16.899999999999999" customHeight="1">
      <c r="C29" s="162" t="s">
        <v>44</v>
      </c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7"/>
    </row>
    <row r="30" spans="1:18" ht="12.75" customHeight="1">
      <c r="C30" s="163" t="s">
        <v>157</v>
      </c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7"/>
    </row>
    <row r="31" spans="1:18" ht="12.75" customHeight="1">
      <c r="C31" s="163" t="s">
        <v>159</v>
      </c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7"/>
    </row>
    <row r="32" spans="1:18" ht="12.75" customHeight="1">
      <c r="C32" s="163" t="s">
        <v>161</v>
      </c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7"/>
    </row>
    <row r="33" spans="1:23" ht="12.75" customHeight="1">
      <c r="C33" s="163" t="s">
        <v>163</v>
      </c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7"/>
    </row>
    <row r="34" spans="1:23" ht="12.75" customHeight="1">
      <c r="C34" s="159" t="s">
        <v>45</v>
      </c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7"/>
    </row>
    <row r="35" spans="1:23" ht="12.75" customHeight="1">
      <c r="C35" s="159" t="s">
        <v>46</v>
      </c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7"/>
    </row>
    <row r="37" spans="1:23">
      <c r="C37" s="10"/>
      <c r="D37" s="11"/>
      <c r="L37" s="11"/>
      <c r="N37" s="8"/>
    </row>
    <row r="38" spans="1:23">
      <c r="C38" s="11"/>
      <c r="D38" s="11"/>
    </row>
    <row r="39" spans="1:23">
      <c r="C39" s="11"/>
      <c r="D39" s="11"/>
    </row>
    <row r="41" spans="1:23" s="12" customFormat="1">
      <c r="A41" s="1"/>
      <c r="B41" s="1"/>
      <c r="C41" s="8"/>
      <c r="D41" s="8"/>
      <c r="E41" s="8"/>
      <c r="F41" s="8"/>
      <c r="G41" s="8"/>
      <c r="H41" s="8"/>
      <c r="I41" s="8"/>
      <c r="J41" s="8"/>
      <c r="K41" s="8"/>
      <c r="M41" s="8"/>
      <c r="O41" s="8"/>
      <c r="P41" s="8"/>
      <c r="Q41" s="8"/>
      <c r="R41" s="8"/>
      <c r="S41" s="8"/>
      <c r="T41" s="8"/>
      <c r="U41" s="8"/>
      <c r="V41" s="8"/>
      <c r="W41" s="8"/>
    </row>
  </sheetData>
  <mergeCells count="20">
    <mergeCell ref="N6:O6"/>
    <mergeCell ref="D7:E7"/>
    <mergeCell ref="L7:M7"/>
    <mergeCell ref="N7:O7"/>
    <mergeCell ref="C35:O35"/>
    <mergeCell ref="F6:G6"/>
    <mergeCell ref="F7:G7"/>
    <mergeCell ref="H6:I6"/>
    <mergeCell ref="H7:I7"/>
    <mergeCell ref="J6:K6"/>
    <mergeCell ref="J7:K7"/>
    <mergeCell ref="C29:O29"/>
    <mergeCell ref="C31:O31"/>
    <mergeCell ref="C32:O32"/>
    <mergeCell ref="C33:O33"/>
    <mergeCell ref="C30:O30"/>
    <mergeCell ref="C34:O34"/>
    <mergeCell ref="C6:C8"/>
    <mergeCell ref="D6:E6"/>
    <mergeCell ref="L6:M6"/>
  </mergeCells>
  <printOptions horizontalCentered="1" verticalCentered="1"/>
  <pageMargins left="0.78740157480314965" right="0.78740157480314965" top="0.78740157480314965" bottom="0.98425196850393704" header="0" footer="0"/>
  <pageSetup paperSize="9" scale="87" orientation="landscape" r:id="rId1"/>
  <headerFooter alignWithMargins="0"/>
  <ignoredErrors>
    <ignoredError sqref="E28 G28 I28 K28 M28 E24 E16 G16 G24 K24 I24 M16 M24" formula="1"/>
    <ignoredError sqref="I16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5CE24-6A57-4280-B155-2769CA925B63}">
  <sheetPr>
    <pageSetUpPr fitToPage="1"/>
  </sheetPr>
  <dimension ref="C1:E63"/>
  <sheetViews>
    <sheetView showGridLines="0" showRowColHeaders="0" zoomScaleNormal="100" workbookViewId="0">
      <selection activeCell="B1" sqref="B1"/>
    </sheetView>
  </sheetViews>
  <sheetFormatPr baseColWidth="10" defaultRowHeight="12.75"/>
  <cols>
    <col min="1" max="1" width="0.140625" customWidth="1"/>
    <col min="2" max="2" width="2.7109375" customWidth="1"/>
    <col min="3" max="3" width="51" customWidth="1"/>
    <col min="4" max="5" width="15.7109375" customWidth="1"/>
  </cols>
  <sheetData>
    <row r="1" spans="3:5" ht="21" customHeight="1">
      <c r="E1" s="20" t="s">
        <v>0</v>
      </c>
    </row>
    <row r="2" spans="3:5" ht="15" customHeight="1">
      <c r="E2" s="21" t="s">
        <v>154</v>
      </c>
    </row>
    <row r="3" spans="3:5" ht="21" customHeight="1">
      <c r="E3" s="92" t="s">
        <v>106</v>
      </c>
    </row>
    <row r="4" spans="3:5" ht="15" customHeight="1"/>
    <row r="5" spans="3:5" ht="15" customHeight="1">
      <c r="C5" s="95"/>
      <c r="D5" s="157">
        <v>2019</v>
      </c>
      <c r="E5" s="157">
        <v>2018</v>
      </c>
    </row>
    <row r="6" spans="3:5" ht="15" customHeight="1">
      <c r="C6" s="146" t="s">
        <v>142</v>
      </c>
      <c r="D6" s="156" t="str">
        <f>CONCATENATE(TEXT('Data 1'!L25/1000,"0,0")&amp;" TWh")</f>
        <v>249,4 TWh</v>
      </c>
      <c r="E6" s="156" t="s">
        <v>153</v>
      </c>
    </row>
    <row r="7" spans="3:5" ht="15" customHeight="1">
      <c r="C7" s="95" t="s">
        <v>110</v>
      </c>
      <c r="D7" s="150">
        <f>'Data 1'!M25/100</f>
        <v>-1.6440000736246629E-2</v>
      </c>
      <c r="E7" s="150"/>
    </row>
    <row r="8" spans="3:5" ht="15" customHeight="1">
      <c r="C8" s="95" t="s">
        <v>61</v>
      </c>
      <c r="D8" s="150">
        <f>'Data 1'!L164/100</f>
        <v>-2.7310727374311616E-2</v>
      </c>
      <c r="E8" s="150"/>
    </row>
    <row r="9" spans="3:5" ht="15" customHeight="1"/>
    <row r="10" spans="3:5" ht="15" customHeight="1">
      <c r="C10" s="151" t="s">
        <v>144</v>
      </c>
      <c r="D10" s="156" t="str">
        <f>CONCATENATE(TEXT('Data 1'!E178,"0.000")&amp;" MW")</f>
        <v>40.455 MW</v>
      </c>
      <c r="E10" s="156" t="str">
        <f>CONCATENATE(TEXT('Data 1'!E177,"0.000")&amp;" MW")</f>
        <v>40.947 MW</v>
      </c>
    </row>
    <row r="11" spans="3:5" ht="15" customHeight="1">
      <c r="C11" s="151"/>
      <c r="D11" s="156" t="s">
        <v>117</v>
      </c>
      <c r="E11" s="156"/>
    </row>
    <row r="12" spans="3:5" ht="15" customHeight="1">
      <c r="C12" s="98" t="s">
        <v>143</v>
      </c>
      <c r="D12" s="150">
        <f>(('Data 1'!E178/'Data 1'!E177)-1)</f>
        <v>-1.2015532273426666E-2</v>
      </c>
      <c r="E12" s="150"/>
    </row>
    <row r="13" spans="3:5" ht="30" customHeight="1">
      <c r="C13" s="158" t="s">
        <v>164</v>
      </c>
      <c r="D13" s="150">
        <f>(('Data 1'!E178/'Data 1'!E168)-1)</f>
        <v>-0.10990099009900989</v>
      </c>
      <c r="E13" s="152"/>
    </row>
    <row r="14" spans="3:5" ht="15" customHeight="1"/>
    <row r="15" spans="3:5" ht="15" customHeight="1">
      <c r="C15" s="132" t="s">
        <v>145</v>
      </c>
      <c r="D15" s="156" t="str">
        <f>CONCATENATE(TEXT(SUM('Data 1'!L43,'Data 1'!L60,'Data 1'!L68,'Data 1'!L80)/1000,"0,0")&amp;" TWh")</f>
        <v>15,4 TWh</v>
      </c>
      <c r="E15" s="156"/>
    </row>
    <row r="16" spans="3:5" ht="15" customHeight="1">
      <c r="C16" s="95" t="s">
        <v>110</v>
      </c>
      <c r="D16" s="78"/>
      <c r="E16" s="78"/>
    </row>
    <row r="17" spans="3:5" ht="15" customHeight="1">
      <c r="C17" s="94" t="s">
        <v>59</v>
      </c>
      <c r="D17" s="150">
        <f>'Data 1'!M43/100</f>
        <v>1.849521591043457E-2</v>
      </c>
      <c r="E17" s="78"/>
    </row>
    <row r="18" spans="3:5" ht="15" customHeight="1">
      <c r="C18" s="153" t="s">
        <v>60</v>
      </c>
      <c r="D18" s="150">
        <f>'Data 1'!M60/100</f>
        <v>1.8490476410681911E-3</v>
      </c>
      <c r="E18" s="78"/>
    </row>
    <row r="19" spans="3:5" ht="15" customHeight="1">
      <c r="C19" s="154" t="s">
        <v>58</v>
      </c>
      <c r="D19" s="150">
        <f>'Data 1'!M68/100</f>
        <v>-1.7936958574246153E-3</v>
      </c>
      <c r="E19" s="97"/>
    </row>
    <row r="20" spans="3:5" ht="15" customHeight="1">
      <c r="C20" s="154" t="s">
        <v>21</v>
      </c>
      <c r="D20" s="150">
        <f>'Data 1'!M80/100</f>
        <v>-7.7977429493745198E-3</v>
      </c>
      <c r="E20" s="97"/>
    </row>
    <row r="21" spans="3:5" ht="15" customHeight="1"/>
    <row r="22" spans="3:5" ht="15" customHeight="1">
      <c r="C22" s="146" t="s">
        <v>146</v>
      </c>
      <c r="D22" s="156" t="str">
        <f>CONCATENATE(TEXT('Data 1'!L101/1000,"0,0")&amp;" TWh")</f>
        <v>264,8 TWh</v>
      </c>
      <c r="E22" s="156"/>
    </row>
    <row r="23" spans="3:5" ht="15" customHeight="1">
      <c r="C23" s="95" t="s">
        <v>110</v>
      </c>
      <c r="D23" s="150">
        <f>'Data 1'!M101/100</f>
        <v>-1.5033494428784211E-2</v>
      </c>
      <c r="E23" s="150"/>
    </row>
    <row r="24" spans="3:5" ht="15" customHeight="1">
      <c r="C24" s="95" t="s">
        <v>61</v>
      </c>
      <c r="D24" s="150">
        <f>'Data 1'!L156/100</f>
        <v>-2.5497216734252912E-2</v>
      </c>
      <c r="E24" s="150"/>
    </row>
    <row r="26" spans="3:5" ht="15">
      <c r="C26" s="151" t="s">
        <v>150</v>
      </c>
      <c r="D26" s="156" t="str">
        <f>CONCATENATE(TEXT('Data 1'!L98/1000,"0,0")&amp;" TWh")</f>
        <v>261,0 TWh</v>
      </c>
      <c r="E26" s="156" t="str">
        <f>CONCATENATE(TEXT('Data 1'!K98/1000,"0,0")&amp;" TWh")</f>
        <v>261,0 TWh</v>
      </c>
    </row>
    <row r="27" spans="3:5" ht="15">
      <c r="C27" s="98" t="s">
        <v>6</v>
      </c>
      <c r="D27" s="150">
        <f>'Data 1'!L125/100</f>
        <v>0.09</v>
      </c>
      <c r="E27" s="150">
        <f>'Data 1'!K125/100</f>
        <v>0.13100000000000001</v>
      </c>
    </row>
    <row r="28" spans="3:5" ht="15">
      <c r="C28" s="98" t="s">
        <v>10</v>
      </c>
      <c r="D28" s="150">
        <f>'Data 1'!L132/100</f>
        <v>0.20600000000000002</v>
      </c>
      <c r="E28" s="150">
        <f>'Data 1'!K132/100</f>
        <v>0.19</v>
      </c>
    </row>
    <row r="29" spans="3:5" ht="15">
      <c r="C29" s="98" t="s">
        <v>11</v>
      </c>
      <c r="D29" s="150">
        <f>'Data 1'!L133/100</f>
        <v>3.5000000000000003E-2</v>
      </c>
      <c r="E29" s="150">
        <f>'Data 1'!K133/100</f>
        <v>0.03</v>
      </c>
    </row>
    <row r="30" spans="3:5" ht="15">
      <c r="C30" s="98" t="s">
        <v>12</v>
      </c>
      <c r="D30" s="150">
        <f>'Data 1'!L134/100</f>
        <v>0.02</v>
      </c>
      <c r="E30" s="150">
        <f>'Data 1'!K134/100</f>
        <v>1.7000000000000001E-2</v>
      </c>
    </row>
    <row r="31" spans="3:5" ht="15">
      <c r="C31" s="98" t="s">
        <v>29</v>
      </c>
      <c r="D31" s="150">
        <f>SUM('Data 1'!L131,'Data 1'!L135,'Data 1'!L138)/100</f>
        <v>1.7000000000000001E-2</v>
      </c>
      <c r="E31" s="150">
        <f>SUM('Data 1'!K131,'Data 1'!K135,'Data 1'!K138)/100</f>
        <v>1.7000000000000001E-2</v>
      </c>
    </row>
    <row r="32" spans="3:5" ht="15">
      <c r="C32" s="98" t="s">
        <v>7</v>
      </c>
      <c r="D32" s="150">
        <f>'Data 1'!L127/100</f>
        <v>0.21199999999999999</v>
      </c>
      <c r="E32" s="150">
        <f>'Data 1'!K127/100</f>
        <v>0.20399999999999999</v>
      </c>
    </row>
    <row r="33" spans="3:5" ht="15">
      <c r="C33" s="98" t="s">
        <v>8</v>
      </c>
      <c r="D33" s="150">
        <f>'Data 1'!L128/100</f>
        <v>0.05</v>
      </c>
      <c r="E33" s="150">
        <f>'Data 1'!K128/100</f>
        <v>0.14300000000000002</v>
      </c>
    </row>
    <row r="34" spans="3:5" ht="15">
      <c r="C34" s="98" t="s">
        <v>132</v>
      </c>
      <c r="D34" s="150">
        <f>'Data 1'!L129/100</f>
        <v>2.2000000000000002E-2</v>
      </c>
      <c r="E34" s="150">
        <f>'Data 1'!K129/100</f>
        <v>2.6000000000000002E-2</v>
      </c>
    </row>
    <row r="35" spans="3:5" ht="15">
      <c r="C35" s="98" t="s">
        <v>28</v>
      </c>
      <c r="D35" s="150">
        <f>'Data 1'!L130/100</f>
        <v>0.21899999999999997</v>
      </c>
      <c r="E35" s="150">
        <f>'Data 1'!K130/100</f>
        <v>0.115</v>
      </c>
    </row>
    <row r="36" spans="3:5" ht="15">
      <c r="C36" s="98" t="s">
        <v>13</v>
      </c>
      <c r="D36" s="150">
        <f>'Data 1'!L136/100</f>
        <v>0.11399999999999992</v>
      </c>
      <c r="E36" s="150">
        <f>'Data 1'!K136/100</f>
        <v>0.11</v>
      </c>
    </row>
    <row r="37" spans="3:5" ht="15">
      <c r="C37" s="98" t="s">
        <v>66</v>
      </c>
      <c r="D37" s="150">
        <f>SUM('Data 1'!L126,'Data 1'!L137)/100</f>
        <v>1.4999999999999999E-2</v>
      </c>
      <c r="E37" s="150">
        <f>SUM('Data 1'!K126,'Data 1'!K137)/100</f>
        <v>1.7000000000000001E-2</v>
      </c>
    </row>
    <row r="38" spans="3:5" ht="15">
      <c r="C38" s="155"/>
      <c r="D38" s="148"/>
      <c r="E38" s="148"/>
    </row>
    <row r="39" spans="3:5" ht="15">
      <c r="C39" s="151" t="s">
        <v>147</v>
      </c>
      <c r="D39" s="156" t="str">
        <f>CONCATENATE(TEXT('Data 1'!L320/1000,"0,0")&amp;" GW")</f>
        <v>108,6 GW</v>
      </c>
      <c r="E39" s="156"/>
    </row>
    <row r="40" spans="3:5" ht="15">
      <c r="C40" s="98" t="s">
        <v>110</v>
      </c>
      <c r="D40" s="150">
        <f>(('Data 1'!L320/'Data 1'!K320)-1)</f>
        <v>4.2752020249217315E-2</v>
      </c>
      <c r="E40" s="150"/>
    </row>
    <row r="42" spans="3:5" ht="15" customHeight="1">
      <c r="C42" s="151" t="s">
        <v>148</v>
      </c>
      <c r="D42" s="156" t="str">
        <f>CONCATENATE(TEXT('Data 1'!L119/1000,"0,0")&amp;" TWh")</f>
        <v>96,3 TWh</v>
      </c>
      <c r="E42" s="156"/>
    </row>
    <row r="43" spans="3:5" ht="15">
      <c r="C43" s="98" t="s">
        <v>165</v>
      </c>
      <c r="D43" s="150" t="str">
        <f>CONCATENATE(TEXT('Data 1'!L139,"0,0")&amp;" %")</f>
        <v>36,8 %</v>
      </c>
      <c r="E43" s="150"/>
    </row>
    <row r="44" spans="3:5" ht="15">
      <c r="C44" s="98" t="s">
        <v>166</v>
      </c>
      <c r="D44" s="150"/>
      <c r="E44" s="150" t="str">
        <f>CONCATENATE(TEXT('Data 1'!K139,"0,0")&amp;" %")</f>
        <v>38,5 %</v>
      </c>
    </row>
    <row r="46" spans="3:5" ht="15" customHeight="1">
      <c r="C46" s="151" t="s">
        <v>149</v>
      </c>
      <c r="D46" s="156"/>
      <c r="E46" s="156"/>
    </row>
    <row r="47" spans="3:5" ht="15">
      <c r="C47" s="98" t="s">
        <v>165</v>
      </c>
      <c r="D47" s="150" t="str">
        <f>CONCATENATE(TEXT('Data 1'!L147,"0,0")&amp;" %")</f>
        <v>58,6 %</v>
      </c>
      <c r="E47" s="150"/>
    </row>
    <row r="48" spans="3:5" ht="15">
      <c r="C48" s="98" t="s">
        <v>166</v>
      </c>
      <c r="D48" s="150"/>
      <c r="E48" s="150" t="str">
        <f>CONCATENATE(TEXT('Data 1'!K147,"0,0")&amp;" %")</f>
        <v>59,7 %</v>
      </c>
    </row>
    <row r="50" spans="3:5" ht="15">
      <c r="C50" s="151" t="s">
        <v>151</v>
      </c>
      <c r="D50" s="156"/>
      <c r="E50" s="156"/>
    </row>
    <row r="51" spans="3:5" ht="15">
      <c r="C51" s="98" t="s">
        <v>68</v>
      </c>
      <c r="D51" s="150" t="str">
        <f>CONCATENATE(TEXT('Data 1'!L349/1000,"0,0")&amp;" TWh")</f>
        <v>18,8 TWh</v>
      </c>
      <c r="E51" s="150"/>
    </row>
    <row r="52" spans="3:5" ht="15">
      <c r="C52" s="98" t="s">
        <v>69</v>
      </c>
      <c r="D52" s="150" t="str">
        <f>CONCATENATE(TEXT('Data 1'!L354/1000,"0,0")&amp;" TWh")</f>
        <v>12,2 TWh</v>
      </c>
      <c r="E52" s="150"/>
    </row>
    <row r="53" spans="3:5" ht="15">
      <c r="C53" s="98" t="s">
        <v>124</v>
      </c>
      <c r="D53" s="150" t="str">
        <f>CONCATENATE(TEXT('Data 1'!L359/1000,"0,0")&amp;" TWh")</f>
        <v>6,5 TWh</v>
      </c>
      <c r="E53" s="150"/>
    </row>
    <row r="54" spans="3:5" ht="15">
      <c r="C54" s="98" t="s">
        <v>167</v>
      </c>
      <c r="D54" s="150"/>
      <c r="E54" s="150" t="str">
        <f>CONCATENATE(TEXT('Data 1'!K359/1000,"0,0")&amp;" TWh")</f>
        <v>11,1 TWh</v>
      </c>
    </row>
    <row r="56" spans="3:5" ht="15">
      <c r="C56" s="151" t="s">
        <v>30</v>
      </c>
      <c r="D56" s="156" t="str">
        <f>CONCATENATE(TEXT(-'Data 1'!L23/1000,"0,0")&amp;" TWh")</f>
        <v>1,7 TWh</v>
      </c>
      <c r="E56" s="156"/>
    </row>
    <row r="57" spans="3:5" ht="15">
      <c r="C57" s="98" t="s">
        <v>110</v>
      </c>
      <c r="D57" s="150">
        <f>'Data 1'!M23/100</f>
        <v>0.36631431730377129</v>
      </c>
      <c r="E57" s="150"/>
    </row>
    <row r="59" spans="3:5" ht="15">
      <c r="C59" s="151" t="s">
        <v>152</v>
      </c>
      <c r="D59" s="156"/>
      <c r="E59" s="156"/>
    </row>
    <row r="60" spans="3:5" ht="15">
      <c r="C60" s="98" t="s">
        <v>168</v>
      </c>
      <c r="D60" s="150" t="str">
        <f>CONCATENATE(TEXT('Data 1'!M369,"0.000")&amp;" km")</f>
        <v>44.457 km</v>
      </c>
      <c r="E60" s="150"/>
    </row>
    <row r="61" spans="3:5" ht="15">
      <c r="C61" s="98" t="s">
        <v>169</v>
      </c>
      <c r="D61" s="150"/>
      <c r="E61" s="150" t="str">
        <f>CONCATENATE(TEXT('Data 1'!L369,"0.000")&amp;" km")</f>
        <v>44.255 km</v>
      </c>
    </row>
    <row r="63" spans="3:5" ht="24.75">
      <c r="C63" s="158" t="s">
        <v>170</v>
      </c>
      <c r="D63" s="150" t="str">
        <f>'PRODUCCION NACIONAL'!P26</f>
        <v>33.700 km</v>
      </c>
      <c r="E63" s="150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N19"/>
  <sheetViews>
    <sheetView showGridLines="0" showRowColHeaders="0" tabSelected="1" zoomScaleNormal="100" workbookViewId="0">
      <selection activeCell="B1" sqref="B1"/>
    </sheetView>
  </sheetViews>
  <sheetFormatPr baseColWidth="10" defaultRowHeight="12.75"/>
  <cols>
    <col min="1" max="1" width="0.140625" customWidth="1"/>
    <col min="2" max="2" width="2.7109375" customWidth="1"/>
    <col min="3" max="3" width="38.7109375" customWidth="1"/>
    <col min="4" max="4" width="5.7109375" customWidth="1"/>
    <col min="5" max="5" width="15.7109375" customWidth="1"/>
    <col min="6" max="6" width="5.7109375" customWidth="1"/>
    <col min="7" max="7" width="22.7109375" customWidth="1"/>
    <col min="8" max="8" width="5.7109375" customWidth="1"/>
    <col min="9" max="12" width="10.7109375" customWidth="1"/>
    <col min="13" max="13" width="5.7109375" customWidth="1"/>
    <col min="14" max="14" width="38.7109375" customWidth="1"/>
  </cols>
  <sheetData>
    <row r="1" spans="3:14" ht="21" customHeight="1">
      <c r="N1" s="20" t="s">
        <v>0</v>
      </c>
    </row>
    <row r="2" spans="3:14" ht="15" customHeight="1">
      <c r="N2" s="21" t="s">
        <v>154</v>
      </c>
    </row>
    <row r="3" spans="3:14" ht="21" customHeight="1">
      <c r="N3" s="92" t="s">
        <v>106</v>
      </c>
    </row>
    <row r="4" spans="3:14" ht="15" customHeight="1">
      <c r="L4" s="32"/>
    </row>
    <row r="5" spans="3:14" ht="15" customHeight="1">
      <c r="L5" s="32"/>
    </row>
    <row r="6" spans="3:14" ht="30">
      <c r="C6" s="143" t="s">
        <v>121</v>
      </c>
      <c r="E6" s="166" t="s">
        <v>122</v>
      </c>
      <c r="F6" s="166"/>
      <c r="G6" s="166"/>
      <c r="I6" s="167" t="s">
        <v>129</v>
      </c>
      <c r="J6" s="167"/>
      <c r="K6" s="167"/>
      <c r="L6" s="167"/>
      <c r="N6" s="138" t="s">
        <v>128</v>
      </c>
    </row>
    <row r="7" spans="3:14" ht="15" customHeight="1">
      <c r="C7" s="78"/>
      <c r="E7" s="97"/>
      <c r="F7" s="96"/>
      <c r="G7" s="97"/>
      <c r="I7" s="78"/>
      <c r="J7" s="78"/>
      <c r="K7" s="78"/>
      <c r="L7" s="78"/>
      <c r="N7" s="78"/>
    </row>
    <row r="8" spans="3:14" ht="21" customHeight="1">
      <c r="C8" s="79" t="str">
        <f>CONCATENATE(TEXT('Data 1'!L25/1000,"0,0")&amp;" TWh")</f>
        <v>249,4 TWh</v>
      </c>
      <c r="E8" s="79" t="str">
        <f>CONCATENATE(TEXT('Data 1'!E178,"0.000")&amp;" MW")</f>
        <v>40.455 MW</v>
      </c>
      <c r="F8" s="79"/>
      <c r="G8" s="96" t="str">
        <f>'Data 1'!D178</f>
        <v>22 enero (20:08 h)</v>
      </c>
      <c r="I8" s="79" t="str">
        <f>CONCATENATE(TEXT(SUM('Data 1'!L43,'Data 1'!L60,'Data 1'!L68,'Data 1'!L80)/1000,"0,0")&amp;" TWh")</f>
        <v>15,4 TWh</v>
      </c>
      <c r="J8" s="78"/>
      <c r="K8" s="78"/>
      <c r="L8" s="78"/>
      <c r="N8" s="79" t="str">
        <f>CONCATENATE(TEXT('Data 1'!L101/1000,"0,0")&amp;" TWh")</f>
        <v>264,8 TWh</v>
      </c>
    </row>
    <row r="9" spans="3:14" ht="15" customHeight="1">
      <c r="C9" s="78"/>
      <c r="E9" s="80"/>
      <c r="F9" s="80"/>
      <c r="G9" s="78"/>
      <c r="I9" s="78"/>
      <c r="J9" s="78"/>
      <c r="K9" s="78"/>
      <c r="L9" s="78"/>
      <c r="N9" s="78"/>
    </row>
    <row r="10" spans="3:14" ht="15">
      <c r="C10" s="93" t="s">
        <v>110</v>
      </c>
      <c r="E10" s="98" t="s">
        <v>118</v>
      </c>
      <c r="F10" s="94"/>
      <c r="G10" s="98" t="s">
        <v>118</v>
      </c>
      <c r="I10" s="93" t="s">
        <v>110</v>
      </c>
      <c r="J10" s="97"/>
      <c r="K10" s="97"/>
      <c r="L10" s="97"/>
      <c r="N10" s="93" t="s">
        <v>110</v>
      </c>
    </row>
    <row r="11" spans="3:14" ht="20.100000000000001" customHeight="1">
      <c r="C11" s="94">
        <f>'Data 1'!M25/100</f>
        <v>-1.6440000736246629E-2</v>
      </c>
      <c r="E11" s="98" t="s">
        <v>119</v>
      </c>
      <c r="F11" s="98"/>
      <c r="G11" s="98" t="s">
        <v>120</v>
      </c>
      <c r="I11" s="99" t="s">
        <v>59</v>
      </c>
      <c r="J11" s="100" t="s">
        <v>60</v>
      </c>
      <c r="K11" s="101" t="s">
        <v>58</v>
      </c>
      <c r="L11" s="101" t="s">
        <v>21</v>
      </c>
      <c r="N11" s="94">
        <f>'Data 1'!M101/100</f>
        <v>-1.5033494428784211E-2</v>
      </c>
    </row>
    <row r="12" spans="3:14" ht="20.100000000000001" customHeight="1">
      <c r="C12" s="95" t="s">
        <v>61</v>
      </c>
      <c r="E12" s="94">
        <f>(('Data 1'!E178/'Data 1'!E177)-1)</f>
        <v>-1.2015532273426666E-2</v>
      </c>
      <c r="F12" s="98"/>
      <c r="G12" s="94">
        <f>(('Data 1'!E178/'Data 1'!E168)-1)</f>
        <v>-0.10990099009900989</v>
      </c>
      <c r="I12" s="99">
        <f>'Data 1'!M43/100</f>
        <v>1.849521591043457E-2</v>
      </c>
      <c r="J12" s="99">
        <f>'Data 1'!M60/100</f>
        <v>1.8490476410681911E-3</v>
      </c>
      <c r="K12" s="99">
        <f>'Data 1'!M68/100</f>
        <v>-1.7936958574246153E-3</v>
      </c>
      <c r="L12" s="99">
        <f>'Data 1'!M80/100</f>
        <v>-7.7977429493745198E-3</v>
      </c>
      <c r="N12" s="95" t="s">
        <v>61</v>
      </c>
    </row>
    <row r="13" spans="3:14" ht="20.100000000000001" customHeight="1">
      <c r="C13" s="94">
        <f>'Data 1'!L164/100</f>
        <v>-2.7310727374311616E-2</v>
      </c>
      <c r="E13" s="98" t="str">
        <f>CONCATENATE(TEXT('Data 1'!E177,"0.000")&amp;" MW")</f>
        <v>40.947 MW</v>
      </c>
      <c r="F13" s="98"/>
      <c r="G13" s="98" t="str">
        <f>CONCATENATE(TEXT('Data 1'!E168,"0.000")&amp;" MW")</f>
        <v>45.450 MW</v>
      </c>
      <c r="I13" s="99"/>
      <c r="J13" s="100"/>
      <c r="K13" s="101"/>
      <c r="L13" s="101"/>
      <c r="N13" s="94">
        <f>'Data 1'!L156/100</f>
        <v>-2.5497216734252912E-2</v>
      </c>
    </row>
    <row r="15" spans="3:14">
      <c r="C15" s="13"/>
      <c r="E15" s="13"/>
      <c r="F15" s="13"/>
      <c r="I15" s="13"/>
      <c r="N15" s="13"/>
    </row>
    <row r="18" spans="3:14">
      <c r="C18" s="128"/>
      <c r="N18" s="128"/>
    </row>
    <row r="19" spans="3:14">
      <c r="C19" s="128"/>
      <c r="N19" s="128"/>
    </row>
  </sheetData>
  <mergeCells count="2">
    <mergeCell ref="E6:G6"/>
    <mergeCell ref="I6:L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P28"/>
  <sheetViews>
    <sheetView showGridLines="0" showRowColHeaders="0" zoomScaleNormal="100" workbookViewId="0">
      <selection activeCell="B1" sqref="B1"/>
    </sheetView>
  </sheetViews>
  <sheetFormatPr baseColWidth="10" defaultRowHeight="12.75"/>
  <cols>
    <col min="1" max="1" width="0.140625" customWidth="1"/>
    <col min="2" max="2" width="2.7109375" customWidth="1"/>
    <col min="3" max="16" width="12.7109375" customWidth="1"/>
  </cols>
  <sheetData>
    <row r="1" spans="3:16" ht="21" customHeight="1">
      <c r="P1" s="20" t="s">
        <v>0</v>
      </c>
    </row>
    <row r="2" spans="3:16" ht="15" customHeight="1">
      <c r="P2" s="21" t="s">
        <v>154</v>
      </c>
    </row>
    <row r="3" spans="3:16" ht="21" customHeight="1">
      <c r="P3" s="92" t="s">
        <v>106</v>
      </c>
    </row>
    <row r="4" spans="3:16" ht="15" customHeight="1">
      <c r="M4" s="32"/>
    </row>
    <row r="5" spans="3:16" ht="15" customHeight="1">
      <c r="M5" s="32"/>
    </row>
    <row r="6" spans="3:16" ht="21">
      <c r="C6" s="93" t="s">
        <v>111</v>
      </c>
      <c r="D6" s="85"/>
      <c r="E6" s="86"/>
      <c r="F6" s="86"/>
      <c r="G6" s="78"/>
      <c r="H6" s="78"/>
      <c r="I6" s="84" t="str">
        <f>CONCATENATE(TEXT('Data 1'!L21/1000,"0,0")&amp;" TWh")</f>
        <v>247,3 TWh</v>
      </c>
      <c r="J6" s="86"/>
      <c r="K6" s="86"/>
      <c r="L6" s="86"/>
      <c r="M6" s="86"/>
      <c r="N6" s="76"/>
      <c r="O6" s="93" t="s">
        <v>65</v>
      </c>
      <c r="P6" s="85"/>
    </row>
    <row r="7" spans="3:16" ht="15" customHeight="1">
      <c r="C7" s="85"/>
      <c r="D7" s="85"/>
      <c r="E7" s="87"/>
      <c r="F7" s="87"/>
      <c r="G7" s="87"/>
      <c r="H7" s="87"/>
      <c r="I7" s="85"/>
      <c r="J7" s="85"/>
      <c r="K7" s="85"/>
      <c r="L7" s="85"/>
      <c r="M7" s="85"/>
      <c r="N7" s="75"/>
      <c r="O7" s="93" t="s">
        <v>123</v>
      </c>
      <c r="P7" s="85"/>
    </row>
    <row r="8" spans="3:16" ht="30" customHeight="1">
      <c r="C8" s="103" t="s">
        <v>6</v>
      </c>
      <c r="D8" s="103" t="s">
        <v>10</v>
      </c>
      <c r="E8" s="110" t="s">
        <v>11</v>
      </c>
      <c r="F8" s="110" t="s">
        <v>12</v>
      </c>
      <c r="G8" s="110" t="s">
        <v>29</v>
      </c>
      <c r="H8" s="103"/>
      <c r="I8" s="103" t="s">
        <v>7</v>
      </c>
      <c r="J8" s="103" t="s">
        <v>8</v>
      </c>
      <c r="K8" s="110" t="s">
        <v>28</v>
      </c>
      <c r="L8" s="103" t="s">
        <v>13</v>
      </c>
      <c r="M8" s="110" t="s">
        <v>66</v>
      </c>
      <c r="N8" s="75"/>
      <c r="O8" s="85"/>
      <c r="P8" s="85"/>
    </row>
    <row r="9" spans="3:16" ht="15" customHeight="1">
      <c r="C9" s="85"/>
      <c r="D9" s="85"/>
      <c r="E9" s="86"/>
      <c r="F9" s="86"/>
      <c r="G9" s="86"/>
      <c r="H9" s="86"/>
      <c r="I9" s="85"/>
      <c r="J9" s="85"/>
      <c r="K9" s="85"/>
      <c r="L9" s="85"/>
      <c r="M9" s="85"/>
      <c r="N9" s="75"/>
      <c r="O9" s="107"/>
      <c r="P9" s="78"/>
    </row>
    <row r="10" spans="3:16" ht="21">
      <c r="C10" s="88">
        <f>'Data 1'!L201/100</f>
        <v>9.5000000000000001E-2</v>
      </c>
      <c r="D10" s="88">
        <f>'Data 1'!L207/100</f>
        <v>0.21299999999999999</v>
      </c>
      <c r="E10" s="88">
        <f>'Data 1'!L208/100</f>
        <v>3.6000000000000004E-2</v>
      </c>
      <c r="F10" s="88">
        <f>'Data 1'!L209/100</f>
        <v>2.1000000000000001E-2</v>
      </c>
      <c r="G10" s="88">
        <f>SUM('Data 1'!L210,'Data 1'!L213)/100</f>
        <v>1.8000000000000002E-2</v>
      </c>
      <c r="H10" s="88"/>
      <c r="I10" s="88">
        <f>'Data 1'!L203/100</f>
        <v>0.22399999999999998</v>
      </c>
      <c r="J10" s="88">
        <f>'Data 1'!L204/100</f>
        <v>4.4999999999999998E-2</v>
      </c>
      <c r="K10" s="88">
        <f>'Data 1'!L206/100</f>
        <v>0.215</v>
      </c>
      <c r="L10" s="88">
        <f>'Data 1'!L211/100</f>
        <v>0.1190000000000002</v>
      </c>
      <c r="M10" s="88">
        <f>SUM('Data 1'!L202,'Data 1'!L212)/100</f>
        <v>1.3999999999999999E-2</v>
      </c>
      <c r="N10" s="75"/>
      <c r="O10" s="79" t="str">
        <f>CONCATENATE(TEXT('Data 1'!L242/1000,"0,0")&amp;" GW")</f>
        <v>103,2 GW</v>
      </c>
      <c r="P10" s="78"/>
    </row>
    <row r="11" spans="3:16" ht="21">
      <c r="C11" s="81"/>
      <c r="D11" s="81"/>
      <c r="E11" s="85"/>
      <c r="F11" s="85"/>
      <c r="G11" s="89"/>
      <c r="H11" s="89"/>
      <c r="I11" s="89"/>
      <c r="J11" s="85"/>
      <c r="K11" s="81"/>
      <c r="L11" s="81"/>
      <c r="M11" s="81"/>
      <c r="N11" s="74"/>
      <c r="O11" s="109"/>
      <c r="P11" s="78"/>
    </row>
    <row r="12" spans="3:16" ht="18.75">
      <c r="C12" s="81"/>
      <c r="D12" s="81"/>
      <c r="E12" s="85"/>
      <c r="F12" s="85"/>
      <c r="G12" s="89"/>
      <c r="H12" s="89"/>
      <c r="I12" s="89"/>
      <c r="J12" s="85"/>
      <c r="K12" s="81"/>
      <c r="L12" s="89"/>
      <c r="M12" s="90"/>
      <c r="N12" s="77"/>
      <c r="O12" s="108"/>
      <c r="P12" s="78"/>
    </row>
    <row r="13" spans="3:16" ht="21">
      <c r="C13" s="93" t="s">
        <v>62</v>
      </c>
      <c r="D13" s="93"/>
      <c r="E13" s="104"/>
      <c r="F13" s="104"/>
      <c r="G13" s="105"/>
      <c r="H13" s="105"/>
      <c r="I13" s="84" t="str">
        <f>CONCATENATE(TEXT('Data 1'!K21/1000,"0,0")&amp;" TWh")</f>
        <v>246,9 TWh</v>
      </c>
      <c r="J13" s="90"/>
      <c r="K13" s="90"/>
      <c r="L13" s="85"/>
      <c r="M13" s="85"/>
      <c r="N13" s="75"/>
      <c r="O13" s="93" t="s">
        <v>110</v>
      </c>
      <c r="P13" s="78"/>
    </row>
    <row r="14" spans="3:16" ht="15.75">
      <c r="C14" s="106">
        <f>'Data 1'!K201/100</f>
        <v>0.13800000000000001</v>
      </c>
      <c r="D14" s="106">
        <f>'Data 1'!K207/100</f>
        <v>0.19800000000000001</v>
      </c>
      <c r="E14" s="106">
        <f>'Data 1'!K208/100</f>
        <v>0.03</v>
      </c>
      <c r="F14" s="106">
        <f>'Data 1'!K209/100</f>
        <v>1.8000000000000002E-2</v>
      </c>
      <c r="G14" s="106">
        <f>SUM('Data 1'!K210,'Data 1'!K213)/100</f>
        <v>1.7000000000000001E-2</v>
      </c>
      <c r="H14" s="106"/>
      <c r="I14" s="106">
        <f>'Data 1'!K203/100</f>
        <v>0.215</v>
      </c>
      <c r="J14" s="106">
        <f>'Data 1'!K204/100</f>
        <v>0.14099999999999999</v>
      </c>
      <c r="K14" s="106">
        <f>'Data 1'!K206/100</f>
        <v>0.107</v>
      </c>
      <c r="L14" s="106">
        <f>'Data 1'!K211/100</f>
        <v>0.11899999999999991</v>
      </c>
      <c r="M14" s="106">
        <f>SUM('Data 1'!K202,'Data 1'!K212)/100</f>
        <v>1.7000000000000001E-2</v>
      </c>
      <c r="N14" s="75"/>
      <c r="O14" s="88">
        <f>(('Data 1'!L242/'Data 1'!K242)-1)</f>
        <v>4.5384937105383161E-2</v>
      </c>
      <c r="P14" s="78"/>
    </row>
    <row r="15" spans="3:16">
      <c r="C15" s="91"/>
      <c r="D15" s="85"/>
      <c r="E15" s="91"/>
      <c r="F15" s="91"/>
      <c r="G15" s="91"/>
      <c r="H15" s="91"/>
      <c r="I15" s="85"/>
      <c r="J15" s="85"/>
      <c r="K15" s="91"/>
      <c r="L15" s="85"/>
      <c r="M15" s="85"/>
      <c r="N15" s="75"/>
      <c r="O15" s="78"/>
      <c r="P15" s="78"/>
    </row>
    <row r="16" spans="3:16"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75"/>
      <c r="O16" s="78"/>
      <c r="P16" s="78"/>
    </row>
    <row r="17" spans="3:16"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spans="3:16"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</row>
    <row r="19" spans="3:16" ht="18" customHeight="1">
      <c r="C19" s="93" t="s">
        <v>63</v>
      </c>
      <c r="D19" s="85"/>
      <c r="F19" s="93" t="s">
        <v>71</v>
      </c>
      <c r="G19" s="85"/>
      <c r="I19" s="93" t="s">
        <v>67</v>
      </c>
      <c r="J19" s="85"/>
      <c r="L19" s="93" t="s">
        <v>82</v>
      </c>
      <c r="M19" s="85"/>
      <c r="N19" s="75"/>
      <c r="O19" s="118" t="s">
        <v>84</v>
      </c>
      <c r="P19" s="85"/>
    </row>
    <row r="20" spans="3:16" ht="18" customHeight="1">
      <c r="C20" s="93" t="s">
        <v>123</v>
      </c>
      <c r="D20" s="85"/>
      <c r="F20" s="93" t="s">
        <v>123</v>
      </c>
      <c r="G20" s="85"/>
      <c r="I20" s="132" t="s">
        <v>112</v>
      </c>
      <c r="J20" s="85"/>
      <c r="L20" s="111" t="s">
        <v>83</v>
      </c>
      <c r="M20" s="85"/>
      <c r="N20" s="75"/>
      <c r="O20" s="118" t="s">
        <v>113</v>
      </c>
      <c r="P20" s="85"/>
    </row>
    <row r="21" spans="3:16" ht="15">
      <c r="C21" s="85"/>
      <c r="D21" s="85"/>
      <c r="F21" s="85"/>
      <c r="G21" s="85"/>
      <c r="I21" s="111" t="s">
        <v>68</v>
      </c>
      <c r="J21" s="85"/>
      <c r="L21" s="85"/>
      <c r="M21" s="85"/>
      <c r="N21" s="75"/>
      <c r="O21" s="85"/>
      <c r="P21" s="85"/>
    </row>
    <row r="22" spans="3:16" ht="21">
      <c r="C22" s="107" t="str">
        <f>CONCATENATE(TEXT('Data 1'!L195/1000,"0,0")&amp;" TWh")</f>
        <v>94,5 TWh</v>
      </c>
      <c r="D22" s="78"/>
      <c r="F22" s="107"/>
      <c r="G22" s="78"/>
      <c r="I22" s="116" t="str">
        <f>CONCATENATE(TEXT('Data 1'!L349/1000,"0,0")&amp;" TWh")</f>
        <v>18,8 TWh</v>
      </c>
      <c r="J22" s="78"/>
      <c r="L22" s="107" t="str">
        <f>CONCATENATE(TEXT(-'Data 1'!L23/1000,"0,0")&amp;" TWh")</f>
        <v>1,7 TWh</v>
      </c>
      <c r="M22" s="78"/>
      <c r="O22" s="107" t="str">
        <f>CONCATENATE(TEXT('Data 1'!M369,"0.000")&amp;" km")</f>
        <v>44.457 km</v>
      </c>
      <c r="P22" s="78"/>
    </row>
    <row r="23" spans="3:16" ht="15">
      <c r="C23" s="78"/>
      <c r="D23" s="78"/>
      <c r="F23" s="78"/>
      <c r="G23" s="78"/>
      <c r="I23" s="111" t="s">
        <v>69</v>
      </c>
      <c r="J23" s="78"/>
      <c r="L23" s="78"/>
      <c r="M23" s="78"/>
      <c r="O23" s="123" t="s">
        <v>85</v>
      </c>
      <c r="P23" s="78"/>
    </row>
    <row r="24" spans="3:16" ht="21">
      <c r="C24" s="109" t="str">
        <f>CONCATENATE(TEXT('Data 1'!L214,"0,0")&amp;" %")</f>
        <v>38,3 %</v>
      </c>
      <c r="D24" s="78"/>
      <c r="F24" s="109" t="str">
        <f>CONCATENATE(TEXT('Data 1'!L222,"0,0")&amp;" %")</f>
        <v>61,3 %</v>
      </c>
      <c r="G24" s="78"/>
      <c r="I24" s="116" t="str">
        <f>CONCATENATE(TEXT('Data 1'!L354/1000,"0,0")&amp;" TWh")</f>
        <v>12,2 TWh</v>
      </c>
      <c r="J24" s="78"/>
      <c r="L24" s="109"/>
      <c r="M24" s="78"/>
      <c r="O24" s="117" t="str">
        <f>CONCATENATE(TEXT('Data 1'!L369,"0.0000")&amp;" km en 2018")</f>
        <v>44.255 km en 2018</v>
      </c>
      <c r="P24" s="78"/>
    </row>
    <row r="25" spans="3:16" ht="18.75">
      <c r="C25" s="108" t="s">
        <v>64</v>
      </c>
      <c r="D25" s="78"/>
      <c r="F25" s="108" t="s">
        <v>64</v>
      </c>
      <c r="G25" s="78"/>
      <c r="I25" s="108" t="s">
        <v>124</v>
      </c>
      <c r="J25" s="78"/>
      <c r="L25" s="108"/>
      <c r="M25" s="78"/>
      <c r="O25" s="108"/>
      <c r="P25" s="78"/>
    </row>
    <row r="26" spans="3:16" ht="21">
      <c r="C26" s="78"/>
      <c r="D26" s="78"/>
      <c r="F26" s="78"/>
      <c r="G26" s="78"/>
      <c r="I26" s="107" t="str">
        <f>CONCATENATE(TEXT('Data 1'!L359/1000,"0,0")&amp;" TWh")</f>
        <v>6,5 TWh</v>
      </c>
      <c r="J26" s="78"/>
      <c r="L26" s="93" t="s">
        <v>110</v>
      </c>
      <c r="M26" s="78"/>
      <c r="O26" s="107" t="s">
        <v>171</v>
      </c>
      <c r="P26" s="78"/>
    </row>
    <row r="27" spans="3:16" ht="45" customHeight="1">
      <c r="C27" s="107" t="str">
        <f>CONCATENATE(TEXT('Data 1'!K214,"0,0")&amp;" % en 2018")</f>
        <v>40,1 % en 2018</v>
      </c>
      <c r="D27" s="78"/>
      <c r="F27" s="107" t="str">
        <f>CONCATENATE(TEXT('Data 1'!K222,"0,0")&amp;" % en 2018")</f>
        <v>62,4 % en 2018</v>
      </c>
      <c r="G27" s="78"/>
      <c r="I27" s="117" t="str">
        <f>CONCATENATE(TEXT('Data 1'!K359/1000,"0,0")&amp;" TWh en 2018")</f>
        <v>11,1 TWh en 2018</v>
      </c>
      <c r="J27" s="78"/>
      <c r="L27" s="94">
        <f>'Data 1'!M23/100</f>
        <v>0.36631431730377129</v>
      </c>
      <c r="M27" s="78"/>
      <c r="O27" s="170" t="s">
        <v>172</v>
      </c>
      <c r="P27" s="170"/>
    </row>
    <row r="28" spans="3:16" ht="24" customHeight="1">
      <c r="C28" s="78"/>
      <c r="D28" s="78"/>
      <c r="F28" s="78"/>
      <c r="G28" s="78"/>
      <c r="I28" s="168"/>
      <c r="J28" s="168"/>
      <c r="L28" s="78"/>
      <c r="M28" s="78"/>
      <c r="O28" s="169"/>
      <c r="P28" s="169"/>
    </row>
  </sheetData>
  <mergeCells count="3">
    <mergeCell ref="I28:J28"/>
    <mergeCell ref="O28:P28"/>
    <mergeCell ref="O27:P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86C6A-3443-4DDD-84C1-11E0FD59E8B2}">
  <sheetPr>
    <pageSetUpPr fitToPage="1"/>
  </sheetPr>
  <dimension ref="C1:Q28"/>
  <sheetViews>
    <sheetView showGridLines="0" showRowColHeaders="0" zoomScaleNormal="100" workbookViewId="0">
      <selection activeCell="B1" sqref="B1"/>
    </sheetView>
  </sheetViews>
  <sheetFormatPr baseColWidth="10" defaultRowHeight="12.75"/>
  <cols>
    <col min="1" max="1" width="0.140625" customWidth="1"/>
    <col min="2" max="2" width="2.7109375" customWidth="1"/>
    <col min="3" max="17" width="12.7109375" customWidth="1"/>
  </cols>
  <sheetData>
    <row r="1" spans="3:17" ht="21" customHeight="1">
      <c r="Q1" s="20" t="s">
        <v>0</v>
      </c>
    </row>
    <row r="2" spans="3:17" ht="15" customHeight="1">
      <c r="Q2" s="21" t="s">
        <v>154</v>
      </c>
    </row>
    <row r="3" spans="3:17" ht="21" customHeight="1">
      <c r="Q3" s="92" t="s">
        <v>106</v>
      </c>
    </row>
    <row r="4" spans="3:17" ht="15" customHeight="1">
      <c r="N4" s="32"/>
    </row>
    <row r="5" spans="3:17" ht="15" customHeight="1">
      <c r="N5" s="32"/>
    </row>
    <row r="6" spans="3:17" ht="21">
      <c r="C6" s="93" t="s">
        <v>131</v>
      </c>
      <c r="D6" s="85"/>
      <c r="E6" s="86"/>
      <c r="F6" s="86"/>
      <c r="G6" s="78"/>
      <c r="H6" s="78"/>
      <c r="I6" s="84" t="str">
        <f>CONCATENATE(TEXT('Data 1'!L98/1000,"0,00")&amp;" TWh")</f>
        <v>261,02 TWh</v>
      </c>
      <c r="J6" s="86"/>
      <c r="K6" s="86"/>
      <c r="L6" s="86"/>
      <c r="M6" s="86"/>
      <c r="N6" s="86"/>
      <c r="O6" s="76"/>
      <c r="P6" s="93" t="s">
        <v>65</v>
      </c>
      <c r="Q6" s="85"/>
    </row>
    <row r="7" spans="3:17" ht="15" customHeight="1">
      <c r="C7" s="85"/>
      <c r="D7" s="85"/>
      <c r="E7" s="87"/>
      <c r="F7" s="87"/>
      <c r="G7" s="87"/>
      <c r="H7" s="87"/>
      <c r="I7" s="85"/>
      <c r="J7" s="85"/>
      <c r="K7" s="85"/>
      <c r="L7" s="85"/>
      <c r="M7" s="85"/>
      <c r="N7" s="85"/>
      <c r="O7" s="75"/>
      <c r="P7" s="93" t="s">
        <v>134</v>
      </c>
      <c r="Q7" s="85"/>
    </row>
    <row r="8" spans="3:17" ht="30" customHeight="1">
      <c r="C8" s="103" t="s">
        <v>6</v>
      </c>
      <c r="D8" s="103" t="s">
        <v>10</v>
      </c>
      <c r="E8" s="110" t="s">
        <v>11</v>
      </c>
      <c r="F8" s="110" t="s">
        <v>12</v>
      </c>
      <c r="G8" s="110" t="s">
        <v>29</v>
      </c>
      <c r="H8" s="103"/>
      <c r="I8" s="103" t="s">
        <v>7</v>
      </c>
      <c r="J8" s="103" t="s">
        <v>8</v>
      </c>
      <c r="K8" s="103" t="s">
        <v>132</v>
      </c>
      <c r="L8" s="110" t="s">
        <v>28</v>
      </c>
      <c r="M8" s="103" t="s">
        <v>13</v>
      </c>
      <c r="N8" s="110" t="s">
        <v>66</v>
      </c>
      <c r="O8" s="75"/>
      <c r="P8" s="85"/>
      <c r="Q8" s="85"/>
    </row>
    <row r="9" spans="3:17" ht="15" customHeight="1">
      <c r="C9" s="85"/>
      <c r="D9" s="85"/>
      <c r="E9" s="86"/>
      <c r="F9" s="86"/>
      <c r="G9" s="86"/>
      <c r="H9" s="86"/>
      <c r="I9" s="85"/>
      <c r="J9" s="85"/>
      <c r="K9" s="85"/>
      <c r="L9" s="85"/>
      <c r="M9" s="85"/>
      <c r="N9" s="85"/>
      <c r="O9" s="75"/>
      <c r="P9" s="107"/>
      <c r="Q9" s="78"/>
    </row>
    <row r="10" spans="3:17" ht="21">
      <c r="C10" s="88">
        <f>'Data 1'!L125/100</f>
        <v>0.09</v>
      </c>
      <c r="D10" s="88">
        <f>'Data 1'!L132/100</f>
        <v>0.20600000000000002</v>
      </c>
      <c r="E10" s="88">
        <f>'Data 1'!L133/100</f>
        <v>3.5000000000000003E-2</v>
      </c>
      <c r="F10" s="88">
        <f>'Data 1'!L134/100</f>
        <v>0.02</v>
      </c>
      <c r="G10" s="88">
        <f>SUM('Data 1'!L131,'Data 1'!L135,'Data 1'!L138)/100</f>
        <v>1.7000000000000001E-2</v>
      </c>
      <c r="H10" s="88"/>
      <c r="I10" s="88">
        <f>'Data 1'!L127/100</f>
        <v>0.21199999999999999</v>
      </c>
      <c r="J10" s="88">
        <f>'Data 1'!L128/100</f>
        <v>0.05</v>
      </c>
      <c r="K10" s="88">
        <f>'Data 1'!L129/100</f>
        <v>2.2000000000000002E-2</v>
      </c>
      <c r="L10" s="88">
        <f>'Data 1'!L130/100</f>
        <v>0.21899999999999997</v>
      </c>
      <c r="M10" s="88">
        <f>'Data 1'!L136/100</f>
        <v>0.11399999999999992</v>
      </c>
      <c r="N10" s="88">
        <f>SUM('Data 1'!L126,'Data 1'!L137)/100</f>
        <v>1.4999999999999999E-2</v>
      </c>
      <c r="O10" s="75"/>
      <c r="P10" s="79" t="str">
        <f>CONCATENATE(TEXT('Data 1'!L320/1000,"0,0")&amp;" GW")</f>
        <v>108,6 GW</v>
      </c>
      <c r="Q10" s="78"/>
    </row>
    <row r="11" spans="3:17" ht="21">
      <c r="C11" s="81"/>
      <c r="D11" s="81"/>
      <c r="E11" s="85"/>
      <c r="F11" s="85"/>
      <c r="G11" s="89"/>
      <c r="H11" s="89"/>
      <c r="I11" s="89"/>
      <c r="J11" s="85"/>
      <c r="K11" s="85"/>
      <c r="L11" s="81"/>
      <c r="M11" s="81"/>
      <c r="N11" s="81"/>
      <c r="O11" s="74"/>
      <c r="P11" s="109"/>
      <c r="Q11" s="78"/>
    </row>
    <row r="12" spans="3:17" ht="18.75">
      <c r="C12" s="81"/>
      <c r="D12" s="81"/>
      <c r="E12" s="85"/>
      <c r="F12" s="85"/>
      <c r="G12" s="89"/>
      <c r="H12" s="89"/>
      <c r="I12" s="89"/>
      <c r="J12" s="85"/>
      <c r="K12" s="85"/>
      <c r="L12" s="81"/>
      <c r="M12" s="89"/>
      <c r="N12" s="90"/>
      <c r="O12" s="77"/>
      <c r="P12" s="108"/>
      <c r="Q12" s="78"/>
    </row>
    <row r="13" spans="3:17" ht="21">
      <c r="C13" s="93" t="s">
        <v>133</v>
      </c>
      <c r="D13" s="93"/>
      <c r="E13" s="104"/>
      <c r="F13" s="104"/>
      <c r="G13" s="105"/>
      <c r="H13" s="105"/>
      <c r="I13" s="84" t="str">
        <f>CONCATENATE(TEXT('Data 1'!K98/1000,"0,00")&amp;" TWh")</f>
        <v>260,98 TWh</v>
      </c>
      <c r="J13" s="90"/>
      <c r="K13" s="90"/>
      <c r="L13" s="90"/>
      <c r="M13" s="85"/>
      <c r="N13" s="85"/>
      <c r="O13" s="75"/>
      <c r="P13" s="93" t="s">
        <v>110</v>
      </c>
      <c r="Q13" s="78"/>
    </row>
    <row r="14" spans="3:17" ht="15.75">
      <c r="C14" s="106">
        <f>'Data 1'!K125/100</f>
        <v>0.13100000000000001</v>
      </c>
      <c r="D14" s="106">
        <f>'Data 1'!K132/100</f>
        <v>0.19</v>
      </c>
      <c r="E14" s="106">
        <f>'Data 1'!K133/100</f>
        <v>0.03</v>
      </c>
      <c r="F14" s="106">
        <f>'Data 1'!K134/100</f>
        <v>1.7000000000000001E-2</v>
      </c>
      <c r="G14" s="106">
        <f>SUM('Data 1'!K131,'Data 1'!K135,'Data 1'!K138)/100</f>
        <v>1.7000000000000001E-2</v>
      </c>
      <c r="H14" s="106"/>
      <c r="I14" s="106">
        <f>'Data 1'!K127/100</f>
        <v>0.20399999999999999</v>
      </c>
      <c r="J14" s="106">
        <f>'Data 1'!K128/100</f>
        <v>0.14300000000000002</v>
      </c>
      <c r="K14" s="106">
        <f>'Data 1'!K129/100</f>
        <v>2.6000000000000002E-2</v>
      </c>
      <c r="L14" s="106">
        <f>'Data 1'!K130/100</f>
        <v>0.115</v>
      </c>
      <c r="M14" s="106">
        <f>'Data 1'!K136/100</f>
        <v>0.11</v>
      </c>
      <c r="N14" s="106">
        <f>SUM('Data 1'!K126,'Data 1'!K137)/100</f>
        <v>1.7000000000000001E-2</v>
      </c>
      <c r="O14" s="75"/>
      <c r="P14" s="88">
        <f>(('Data 1'!L320/'Data 1'!K320)-1)</f>
        <v>4.2752020249217315E-2</v>
      </c>
      <c r="Q14" s="78"/>
    </row>
    <row r="15" spans="3:17">
      <c r="C15" s="91"/>
      <c r="D15" s="85"/>
      <c r="E15" s="91"/>
      <c r="F15" s="91"/>
      <c r="G15" s="91"/>
      <c r="H15" s="91"/>
      <c r="I15" s="85"/>
      <c r="J15" s="85"/>
      <c r="K15" s="85"/>
      <c r="L15" s="91"/>
      <c r="M15" s="85"/>
      <c r="N15" s="85"/>
      <c r="O15" s="75"/>
      <c r="P15" s="78"/>
      <c r="Q15" s="78"/>
    </row>
    <row r="16" spans="3:17"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75"/>
      <c r="P16" s="78"/>
      <c r="Q16" s="78"/>
    </row>
    <row r="17" spans="3:17"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</row>
    <row r="18" spans="3:17"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</row>
    <row r="19" spans="3:17" ht="18" customHeight="1">
      <c r="C19" s="93" t="s">
        <v>63</v>
      </c>
      <c r="D19" s="85"/>
      <c r="F19" s="93" t="s">
        <v>71</v>
      </c>
      <c r="G19" s="85"/>
      <c r="I19" s="93" t="s">
        <v>67</v>
      </c>
      <c r="J19" s="85"/>
      <c r="K19" s="147"/>
      <c r="L19" s="93" t="s">
        <v>82</v>
      </c>
      <c r="M19" s="85"/>
      <c r="O19" s="75"/>
      <c r="P19" s="118" t="s">
        <v>84</v>
      </c>
      <c r="Q19" s="85"/>
    </row>
    <row r="20" spans="3:17" ht="18" customHeight="1">
      <c r="C20" s="93" t="s">
        <v>134</v>
      </c>
      <c r="D20" s="85"/>
      <c r="F20" s="93" t="s">
        <v>134</v>
      </c>
      <c r="G20" s="85"/>
      <c r="I20" s="132" t="s">
        <v>112</v>
      </c>
      <c r="J20" s="85"/>
      <c r="K20" s="147"/>
      <c r="L20" s="111" t="s">
        <v>83</v>
      </c>
      <c r="M20" s="85"/>
      <c r="O20" s="75"/>
      <c r="P20" s="118" t="s">
        <v>113</v>
      </c>
      <c r="Q20" s="85"/>
    </row>
    <row r="21" spans="3:17" ht="15">
      <c r="C21" s="85"/>
      <c r="D21" s="85"/>
      <c r="F21" s="85"/>
      <c r="G21" s="85"/>
      <c r="I21" s="111" t="s">
        <v>68</v>
      </c>
      <c r="J21" s="85"/>
      <c r="K21" s="147"/>
      <c r="L21" s="85"/>
      <c r="M21" s="85"/>
      <c r="O21" s="75"/>
      <c r="P21" s="85"/>
      <c r="Q21" s="85"/>
    </row>
    <row r="22" spans="3:17" ht="21">
      <c r="C22" s="107" t="str">
        <f>CONCATENATE(TEXT('Data 1'!L119/1000,"0,0")&amp;" TWh")</f>
        <v>96,3 TWh</v>
      </c>
      <c r="D22" s="78"/>
      <c r="F22" s="107"/>
      <c r="G22" s="78"/>
      <c r="I22" s="116" t="str">
        <f>CONCATENATE(TEXT('Data 1'!L349/1000,"0,0")&amp;" TWh")</f>
        <v>18,8 TWh</v>
      </c>
      <c r="J22" s="78"/>
      <c r="K22" s="148"/>
      <c r="L22" s="107" t="str">
        <f>CONCATENATE(TEXT(-'Data 1'!L23/1000,"0,0")&amp;" TWh")</f>
        <v>1,7 TWh</v>
      </c>
      <c r="M22" s="78"/>
      <c r="P22" s="107" t="str">
        <f>CONCATENATE(TEXT('Data 1'!M369,"0.000")&amp;" km")</f>
        <v>44.457 km</v>
      </c>
      <c r="Q22" s="78"/>
    </row>
    <row r="23" spans="3:17" ht="15">
      <c r="C23" s="78"/>
      <c r="D23" s="78"/>
      <c r="F23" s="78"/>
      <c r="G23" s="78"/>
      <c r="I23" s="111" t="s">
        <v>69</v>
      </c>
      <c r="J23" s="78"/>
      <c r="K23" s="148"/>
      <c r="L23" s="78"/>
      <c r="M23" s="78"/>
      <c r="P23" s="123" t="s">
        <v>85</v>
      </c>
      <c r="Q23" s="78"/>
    </row>
    <row r="24" spans="3:17" ht="21">
      <c r="C24" s="109" t="str">
        <f>CONCATENATE(TEXT('Data 1'!L139,"0,0")&amp;" %")</f>
        <v>36,8 %</v>
      </c>
      <c r="D24" s="78"/>
      <c r="F24" s="109" t="str">
        <f>CONCATENATE(TEXT('Data 1'!L147,"0,0")&amp;" %")</f>
        <v>58,6 %</v>
      </c>
      <c r="G24" s="78"/>
      <c r="I24" s="116" t="str">
        <f>CONCATENATE(TEXT('Data 1'!L354/1000,"0,0")&amp;" TWh")</f>
        <v>12,2 TWh</v>
      </c>
      <c r="J24" s="78"/>
      <c r="K24" s="148"/>
      <c r="L24" s="109"/>
      <c r="M24" s="78"/>
      <c r="P24" s="117" t="str">
        <f>CONCATENATE(TEXT('Data 1'!L369,"0.0000")&amp;" km en 2018")</f>
        <v>44.255 km en 2018</v>
      </c>
      <c r="Q24" s="78"/>
    </row>
    <row r="25" spans="3:17" ht="18.75">
      <c r="C25" s="108" t="s">
        <v>64</v>
      </c>
      <c r="D25" s="78"/>
      <c r="F25" s="108" t="s">
        <v>64</v>
      </c>
      <c r="G25" s="78"/>
      <c r="I25" s="108" t="s">
        <v>124</v>
      </c>
      <c r="J25" s="78"/>
      <c r="K25" s="148"/>
      <c r="L25" s="108"/>
      <c r="M25" s="78"/>
      <c r="P25" s="108"/>
      <c r="Q25" s="78"/>
    </row>
    <row r="26" spans="3:17" ht="21">
      <c r="C26" s="78"/>
      <c r="D26" s="78"/>
      <c r="F26" s="78"/>
      <c r="G26" s="78"/>
      <c r="I26" s="107" t="str">
        <f>CONCATENATE(TEXT('Data 1'!L359/1000,"0,0")&amp;" TWh")</f>
        <v>6,5 TWh</v>
      </c>
      <c r="J26" s="78"/>
      <c r="K26" s="148"/>
      <c r="L26" s="93" t="s">
        <v>110</v>
      </c>
      <c r="M26" s="78"/>
      <c r="P26" s="107" t="s">
        <v>171</v>
      </c>
      <c r="Q26" s="78"/>
    </row>
    <row r="27" spans="3:17" ht="45" customHeight="1">
      <c r="C27" s="107" t="str">
        <f>CONCATENATE(TEXT('Data 1'!K139,"0,0")&amp;" % en 2018")</f>
        <v>38,5 % en 2018</v>
      </c>
      <c r="D27" s="78"/>
      <c r="F27" s="107" t="str">
        <f>CONCATENATE(TEXT('Data 1'!K147,"0,0")&amp;" % en 2018")</f>
        <v>59,7 % en 2018</v>
      </c>
      <c r="G27" s="78"/>
      <c r="I27" s="117" t="str">
        <f>CONCATENATE(TEXT('Data 1'!K359/1000,"0,0")&amp;" TWh en 2018")</f>
        <v>11,1 TWh en 2018</v>
      </c>
      <c r="J27" s="78"/>
      <c r="K27" s="148"/>
      <c r="L27" s="94">
        <f>'Data 1'!M23/100</f>
        <v>0.36631431730377129</v>
      </c>
      <c r="M27" s="78"/>
      <c r="P27" s="170" t="s">
        <v>172</v>
      </c>
      <c r="Q27" s="170"/>
    </row>
    <row r="28" spans="3:17" ht="24" customHeight="1">
      <c r="C28" s="78"/>
      <c r="D28" s="78"/>
      <c r="F28" s="78"/>
      <c r="G28" s="78"/>
      <c r="I28" s="168"/>
      <c r="J28" s="168"/>
      <c r="K28" s="149"/>
      <c r="L28" s="78"/>
      <c r="M28" s="78"/>
      <c r="P28" s="169"/>
      <c r="Q28" s="169"/>
    </row>
  </sheetData>
  <mergeCells count="3">
    <mergeCell ref="I28:J28"/>
    <mergeCell ref="P28:Q28"/>
    <mergeCell ref="P27:Q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71"/>
  <sheetViews>
    <sheetView showGridLines="0" showRowColHeaders="0" zoomScaleNormal="100" workbookViewId="0">
      <selection activeCell="M11" sqref="M11"/>
    </sheetView>
  </sheetViews>
  <sheetFormatPr baseColWidth="10" defaultRowHeight="12.75"/>
  <cols>
    <col min="1" max="1" width="2.7109375" style="33" customWidth="1"/>
    <col min="2" max="2" width="29.85546875" style="33" customWidth="1"/>
    <col min="3" max="16384" width="11.42578125" style="33"/>
  </cols>
  <sheetData>
    <row r="1" spans="2:17" ht="21" customHeight="1">
      <c r="I1" s="20" t="s">
        <v>0</v>
      </c>
    </row>
    <row r="2" spans="2:17" ht="15" customHeight="1">
      <c r="I2" s="21" t="s">
        <v>154</v>
      </c>
    </row>
    <row r="3" spans="2:17" ht="21" customHeight="1">
      <c r="I3" s="92" t="s">
        <v>106</v>
      </c>
    </row>
    <row r="6" spans="2:17" s="35" customFormat="1" ht="11.25" customHeight="1">
      <c r="B6" s="34" t="s">
        <v>92</v>
      </c>
      <c r="C6" s="42"/>
      <c r="D6" s="42"/>
      <c r="E6" s="43"/>
      <c r="F6" s="42"/>
      <c r="G6" s="42"/>
      <c r="H6" s="43"/>
      <c r="I6" s="42"/>
      <c r="J6" s="42"/>
      <c r="K6" s="43"/>
      <c r="L6" s="42"/>
      <c r="M6" s="42"/>
      <c r="N6" s="43"/>
      <c r="O6" s="42"/>
      <c r="P6" s="42"/>
      <c r="Q6" s="43"/>
    </row>
    <row r="7" spans="2:17" s="35" customFormat="1" ht="11.25" customHeight="1">
      <c r="B7" s="82"/>
      <c r="C7" s="83">
        <v>2010</v>
      </c>
      <c r="D7" s="83">
        <v>2011</v>
      </c>
      <c r="E7" s="83">
        <v>2012</v>
      </c>
      <c r="F7" s="83">
        <v>2013</v>
      </c>
      <c r="G7" s="83">
        <v>2014</v>
      </c>
      <c r="H7" s="83">
        <v>2015</v>
      </c>
      <c r="I7" s="83">
        <v>2016</v>
      </c>
      <c r="J7" s="83">
        <v>2017</v>
      </c>
      <c r="K7" s="83">
        <v>2018</v>
      </c>
      <c r="L7" s="83">
        <v>2019</v>
      </c>
      <c r="M7" s="122" t="s">
        <v>107</v>
      </c>
      <c r="N7" s="43"/>
      <c r="Q7" s="43"/>
    </row>
    <row r="8" spans="2:17" s="35" customFormat="1" ht="11.25" customHeight="1">
      <c r="B8" s="22" t="s">
        <v>6</v>
      </c>
      <c r="C8" s="16">
        <v>41833.805999999997</v>
      </c>
      <c r="D8" s="16">
        <v>30435.66340021</v>
      </c>
      <c r="E8" s="16">
        <v>20651.797535297999</v>
      </c>
      <c r="F8" s="16">
        <v>37382.405530940006</v>
      </c>
      <c r="G8" s="16">
        <v>39178.524159203997</v>
      </c>
      <c r="H8" s="16">
        <v>28379.011570850002</v>
      </c>
      <c r="I8" s="16">
        <v>36111.434365772002</v>
      </c>
      <c r="J8" s="16">
        <v>18447.346771659999</v>
      </c>
      <c r="K8" s="16">
        <v>34113.964229872006</v>
      </c>
      <c r="L8" s="16">
        <v>23439.209797584157</v>
      </c>
      <c r="M8" s="15">
        <f>((L8/K8)-1)*100</f>
        <v>-31.291451091282042</v>
      </c>
      <c r="N8" s="43"/>
      <c r="Q8" s="43"/>
    </row>
    <row r="9" spans="2:17" s="35" customFormat="1" ht="11.25" customHeight="1">
      <c r="B9" s="22" t="s">
        <v>25</v>
      </c>
      <c r="C9" s="16">
        <v>3120.4580000000001</v>
      </c>
      <c r="D9" s="16">
        <v>2183.53623079</v>
      </c>
      <c r="E9" s="16">
        <v>3201.889743702</v>
      </c>
      <c r="F9" s="16">
        <v>3289.6771840599999</v>
      </c>
      <c r="G9" s="16">
        <v>3415.996026796</v>
      </c>
      <c r="H9" s="16">
        <v>2895.3657881499998</v>
      </c>
      <c r="I9" s="16">
        <v>3134.328910228</v>
      </c>
      <c r="J9" s="16">
        <v>2248.9644183400001</v>
      </c>
      <c r="K9" s="16">
        <v>1993.996008694</v>
      </c>
      <c r="L9" s="16">
        <v>1544.6993547299996</v>
      </c>
      <c r="M9" s="15">
        <f t="shared" ref="M9:M23" si="0">((L9/K9)-1)*100</f>
        <v>-22.532475090472946</v>
      </c>
      <c r="N9" s="43"/>
      <c r="Q9" s="43"/>
    </row>
    <row r="10" spans="2:17" s="35" customFormat="1" ht="11.25" customHeight="1">
      <c r="B10" s="22" t="s">
        <v>7</v>
      </c>
      <c r="C10" s="16">
        <v>59242.322</v>
      </c>
      <c r="D10" s="16">
        <v>55005.874866999999</v>
      </c>
      <c r="E10" s="16">
        <v>58595.438799000003</v>
      </c>
      <c r="F10" s="16">
        <v>54210.788119000004</v>
      </c>
      <c r="G10" s="16">
        <v>54781.281334999898</v>
      </c>
      <c r="H10" s="16">
        <v>54661.803304999899</v>
      </c>
      <c r="I10" s="16">
        <v>56021.682058999999</v>
      </c>
      <c r="J10" s="16">
        <v>55539.351045999996</v>
      </c>
      <c r="K10" s="16">
        <v>53197.617429999998</v>
      </c>
      <c r="L10" s="16">
        <v>55298.166615190436</v>
      </c>
      <c r="M10" s="15">
        <f t="shared" si="0"/>
        <v>3.948577561682054</v>
      </c>
      <c r="N10" s="43"/>
      <c r="Q10" s="43"/>
    </row>
    <row r="11" spans="2:17" s="35" customFormat="1" ht="11.25" customHeight="1">
      <c r="B11" s="22" t="s">
        <v>8</v>
      </c>
      <c r="C11" s="16">
        <v>20599.255000000001</v>
      </c>
      <c r="D11" s="16">
        <v>40412.479847999995</v>
      </c>
      <c r="E11" s="16">
        <v>51097.323935999993</v>
      </c>
      <c r="F11" s="16">
        <v>37090.897312000001</v>
      </c>
      <c r="G11" s="16">
        <v>41058.278770999998</v>
      </c>
      <c r="H11" s="16">
        <v>50754.794511</v>
      </c>
      <c r="I11" s="16">
        <v>35010.909780000002</v>
      </c>
      <c r="J11" s="16">
        <v>42421.888556000005</v>
      </c>
      <c r="K11" s="16">
        <v>34881.034784999996</v>
      </c>
      <c r="L11" s="16">
        <v>11084.369805201402</v>
      </c>
      <c r="M11" s="15">
        <f t="shared" si="0"/>
        <v>-68.222359590180375</v>
      </c>
      <c r="N11" s="43"/>
      <c r="Q11" s="43"/>
    </row>
    <row r="12" spans="2:17" s="35" customFormat="1" ht="11.25" customHeight="1">
      <c r="B12" s="22" t="s">
        <v>27</v>
      </c>
      <c r="C12" s="16">
        <v>1566.0229999999999</v>
      </c>
      <c r="D12" s="16">
        <v>-10.012343000000001</v>
      </c>
      <c r="E12" s="16">
        <v>-3.8126410000000002</v>
      </c>
      <c r="F12" s="16">
        <v>-2.012715</v>
      </c>
      <c r="G12" s="16">
        <v>-0.81973099999999899</v>
      </c>
      <c r="H12" s="16">
        <v>1.6617999999999997E-2</v>
      </c>
      <c r="I12" s="16">
        <v>2.3499999999999999E-4</v>
      </c>
      <c r="J12" s="16">
        <v>-9.9999999999999995E-7</v>
      </c>
      <c r="K12" s="16">
        <v>-9.9999999999999995E-7</v>
      </c>
      <c r="L12" s="16">
        <v>-9.9999999999999995E-7</v>
      </c>
      <c r="M12" s="15" t="s">
        <v>26</v>
      </c>
      <c r="N12" s="43"/>
      <c r="Q12" s="43"/>
    </row>
    <row r="13" spans="2:17" s="35" customFormat="1" ht="11.25" customHeight="1">
      <c r="B13" s="22" t="s">
        <v>28</v>
      </c>
      <c r="C13" s="16">
        <v>62954.938999999998</v>
      </c>
      <c r="D13" s="16">
        <v>49193.213946000003</v>
      </c>
      <c r="E13" s="16">
        <v>37316.789670999999</v>
      </c>
      <c r="F13" s="16">
        <v>24126.557304999998</v>
      </c>
      <c r="G13" s="16">
        <v>21120.508624999999</v>
      </c>
      <c r="H13" s="16">
        <v>25034.545559999999</v>
      </c>
      <c r="I13" s="16">
        <v>25463.066258000003</v>
      </c>
      <c r="J13" s="16">
        <v>33647.980778999998</v>
      </c>
      <c r="K13" s="16">
        <v>26402.923068999997</v>
      </c>
      <c r="L13" s="16">
        <v>53166.222737654687</v>
      </c>
      <c r="M13" s="15">
        <f t="shared" si="0"/>
        <v>101.364911751297</v>
      </c>
      <c r="N13" s="43"/>
      <c r="Q13" s="43"/>
    </row>
    <row r="14" spans="2:17" s="35" customFormat="1" ht="11.25" customHeight="1">
      <c r="B14" s="22" t="s">
        <v>10</v>
      </c>
      <c r="C14" s="16">
        <v>43208.415999999997</v>
      </c>
      <c r="D14" s="16">
        <v>42115.787093000101</v>
      </c>
      <c r="E14" s="16">
        <v>48156.257946999998</v>
      </c>
      <c r="F14" s="16">
        <v>54344.500781999996</v>
      </c>
      <c r="G14" s="16">
        <v>50636.662464000001</v>
      </c>
      <c r="H14" s="16">
        <v>47715.882145000003</v>
      </c>
      <c r="I14" s="16">
        <v>47298.163668000001</v>
      </c>
      <c r="J14" s="16">
        <v>47508.105951999998</v>
      </c>
      <c r="K14" s="16">
        <v>48955.703093000004</v>
      </c>
      <c r="L14" s="16">
        <v>52676.731291000004</v>
      </c>
      <c r="M14" s="15">
        <f t="shared" si="0"/>
        <v>7.6008063676079818</v>
      </c>
      <c r="N14" s="43"/>
      <c r="Q14" s="43"/>
    </row>
    <row r="15" spans="2:17" s="35" customFormat="1" ht="11.25" customHeight="1">
      <c r="B15" s="22" t="s">
        <v>11</v>
      </c>
      <c r="C15" s="16">
        <v>6139.8010000000004</v>
      </c>
      <c r="D15" s="16">
        <v>7105.8708020000004</v>
      </c>
      <c r="E15" s="16">
        <v>7830.0693760000004</v>
      </c>
      <c r="F15" s="16">
        <v>7918.3761039999999</v>
      </c>
      <c r="G15" s="16">
        <v>7802.7909200000104</v>
      </c>
      <c r="H15" s="16">
        <v>7845.3145369999993</v>
      </c>
      <c r="I15" s="16">
        <v>7579.2182120000007</v>
      </c>
      <c r="J15" s="16">
        <v>8000.7121639999896</v>
      </c>
      <c r="K15" s="16">
        <v>7380.5475820000102</v>
      </c>
      <c r="L15" s="16">
        <v>8818.8652830520004</v>
      </c>
      <c r="M15" s="15">
        <f t="shared" si="0"/>
        <v>19.487953774050858</v>
      </c>
      <c r="N15" s="43"/>
      <c r="Q15" s="43"/>
    </row>
    <row r="16" spans="2:17" s="35" customFormat="1" ht="11.25" customHeight="1">
      <c r="B16" s="22" t="s">
        <v>12</v>
      </c>
      <c r="C16" s="16">
        <v>691.62099999999998</v>
      </c>
      <c r="D16" s="16">
        <v>1861.6415490000002</v>
      </c>
      <c r="E16" s="16">
        <v>3447.4936120000002</v>
      </c>
      <c r="F16" s="16">
        <v>4441.5275350000102</v>
      </c>
      <c r="G16" s="16">
        <v>4958.9149260000004</v>
      </c>
      <c r="H16" s="16">
        <v>5085.2355140000009</v>
      </c>
      <c r="I16" s="16">
        <v>5071.2017019999994</v>
      </c>
      <c r="J16" s="16">
        <v>5347.9524650000003</v>
      </c>
      <c r="K16" s="16">
        <v>4424.3266739999999</v>
      </c>
      <c r="L16" s="16">
        <v>5227.8869299479984</v>
      </c>
      <c r="M16" s="15">
        <f t="shared" si="0"/>
        <v>18.162317458839581</v>
      </c>
      <c r="N16" s="43"/>
      <c r="Q16" s="43"/>
    </row>
    <row r="17" spans="2:17" s="35" customFormat="1" ht="11.25" customHeight="1">
      <c r="B17" s="22" t="s">
        <v>29</v>
      </c>
      <c r="C17" s="16">
        <v>2298.4870000000001</v>
      </c>
      <c r="D17" s="16">
        <v>3705.130529</v>
      </c>
      <c r="E17" s="16">
        <v>3782.4631420000001</v>
      </c>
      <c r="F17" s="16">
        <v>4325.2771579999999</v>
      </c>
      <c r="G17" s="16">
        <v>3805.563474</v>
      </c>
      <c r="H17" s="16">
        <v>3422.5667469999999</v>
      </c>
      <c r="I17" s="16">
        <v>3415.0193380000001</v>
      </c>
      <c r="J17" s="16">
        <v>3599.155882</v>
      </c>
      <c r="K17" s="16">
        <v>3547.1749180000002</v>
      </c>
      <c r="L17" s="16">
        <v>3638.2634600000006</v>
      </c>
      <c r="M17" s="15">
        <f t="shared" si="0"/>
        <v>2.567917965865596</v>
      </c>
      <c r="N17" s="43"/>
      <c r="Q17" s="43"/>
    </row>
    <row r="18" spans="2:17" s="35" customFormat="1" ht="11.25" customHeight="1">
      <c r="B18" s="22" t="s">
        <v>13</v>
      </c>
      <c r="C18" s="16">
        <v>28101.238000000001</v>
      </c>
      <c r="D18" s="16">
        <v>30555.110683999999</v>
      </c>
      <c r="E18" s="16">
        <v>32417.788432999998</v>
      </c>
      <c r="F18" s="16">
        <v>30809.943767000001</v>
      </c>
      <c r="G18" s="16">
        <v>24128.021298</v>
      </c>
      <c r="H18" s="16">
        <v>25169.328039</v>
      </c>
      <c r="I18" s="16">
        <v>25873.942241999997</v>
      </c>
      <c r="J18" s="16">
        <v>28175.562469</v>
      </c>
      <c r="K18" s="16">
        <v>28971.782793999999</v>
      </c>
      <c r="L18" s="16">
        <v>29522.742668999992</v>
      </c>
      <c r="M18" s="15">
        <f t="shared" si="0"/>
        <v>1.901712017232482</v>
      </c>
      <c r="N18" s="43"/>
      <c r="Q18" s="43"/>
    </row>
    <row r="19" spans="2:17" s="35" customFormat="1" ht="11.25" customHeight="1">
      <c r="B19" s="22" t="s">
        <v>14</v>
      </c>
      <c r="C19" s="16">
        <v>2883.3854999999999</v>
      </c>
      <c r="D19" s="16">
        <v>1160.5408359999999</v>
      </c>
      <c r="E19" s="16">
        <v>1465.4718789999999</v>
      </c>
      <c r="F19" s="16">
        <v>1500.150535</v>
      </c>
      <c r="G19" s="16">
        <v>1833.3435569999999</v>
      </c>
      <c r="H19" s="16">
        <v>2324.7147409999998</v>
      </c>
      <c r="I19" s="16">
        <v>2471.3086455000002</v>
      </c>
      <c r="J19" s="16">
        <v>2459.1288610000001</v>
      </c>
      <c r="K19" s="16">
        <v>2293.8582025000001</v>
      </c>
      <c r="L19" s="16">
        <v>2098.5154069999999</v>
      </c>
      <c r="M19" s="15">
        <f t="shared" si="0"/>
        <v>-8.5159054420671065</v>
      </c>
      <c r="N19" s="43"/>
      <c r="Q19" s="43"/>
    </row>
    <row r="20" spans="2:17" s="35" customFormat="1" ht="11.25" customHeight="1">
      <c r="B20" s="22" t="s">
        <v>15</v>
      </c>
      <c r="C20" s="16">
        <v>721.1585</v>
      </c>
      <c r="D20" s="16">
        <v>608.8261</v>
      </c>
      <c r="E20" s="16">
        <v>595.84598199999994</v>
      </c>
      <c r="F20" s="16">
        <v>438.65400900000003</v>
      </c>
      <c r="G20" s="16">
        <v>545.53808600000002</v>
      </c>
      <c r="H20" s="16">
        <v>662.65547500000002</v>
      </c>
      <c r="I20" s="16">
        <v>649.73991049999995</v>
      </c>
      <c r="J20" s="16">
        <v>728.15043299999991</v>
      </c>
      <c r="K20" s="16">
        <v>732.97066150000001</v>
      </c>
      <c r="L20" s="16">
        <v>743.58328500000005</v>
      </c>
      <c r="M20" s="15">
        <f t="shared" si="0"/>
        <v>1.4478919904217902</v>
      </c>
      <c r="N20" s="43"/>
      <c r="Q20" s="43"/>
    </row>
    <row r="21" spans="2:17" s="35" customFormat="1" ht="11.25" customHeight="1">
      <c r="B21" s="51" t="s">
        <v>16</v>
      </c>
      <c r="C21" s="52">
        <f t="shared" ref="C21:J21" si="1">SUM(C8:C20)</f>
        <v>273360.91000000003</v>
      </c>
      <c r="D21" s="52">
        <f t="shared" si="1"/>
        <v>264333.66354200011</v>
      </c>
      <c r="E21" s="52">
        <f t="shared" si="1"/>
        <v>268554.817415</v>
      </c>
      <c r="F21" s="52">
        <f t="shared" si="1"/>
        <v>259876.74262599996</v>
      </c>
      <c r="G21" s="52">
        <f t="shared" si="1"/>
        <v>253264.60391099987</v>
      </c>
      <c r="H21" s="52">
        <f t="shared" si="1"/>
        <v>253951.23455099994</v>
      </c>
      <c r="I21" s="52">
        <f t="shared" si="1"/>
        <v>248100.01532599999</v>
      </c>
      <c r="J21" s="52">
        <f t="shared" si="1"/>
        <v>248124.29979600001</v>
      </c>
      <c r="K21" s="52">
        <f>SUM(K8:K20)</f>
        <v>246895.89944656601</v>
      </c>
      <c r="L21" s="52">
        <f>SUM(L8:L20)</f>
        <v>247259.25663436067</v>
      </c>
      <c r="M21" s="53">
        <f t="shared" si="0"/>
        <v>0.14717019950885035</v>
      </c>
      <c r="N21" s="43"/>
      <c r="Q21" s="43"/>
    </row>
    <row r="22" spans="2:17" s="35" customFormat="1" ht="11.25" customHeight="1">
      <c r="B22" s="37" t="s">
        <v>17</v>
      </c>
      <c r="C22" s="16">
        <v>-4457.7809999999999</v>
      </c>
      <c r="D22" s="16">
        <v>-3241.4938166299999</v>
      </c>
      <c r="E22" s="16">
        <v>-5059.130999598</v>
      </c>
      <c r="F22" s="16">
        <v>-5955.7760918140102</v>
      </c>
      <c r="G22" s="16">
        <v>-5385.7688595580003</v>
      </c>
      <c r="H22" s="16">
        <v>-4512.2514306060002</v>
      </c>
      <c r="I22" s="16">
        <v>-4827.5850676680002</v>
      </c>
      <c r="J22" s="16">
        <v>-3607.5809876580001</v>
      </c>
      <c r="K22" s="16">
        <v>-3198.4323789730001</v>
      </c>
      <c r="L22" s="16">
        <v>-2714.6767992939999</v>
      </c>
      <c r="M22" s="15">
        <f t="shared" si="0"/>
        <v>-15.124771211649989</v>
      </c>
      <c r="N22" s="43"/>
      <c r="Q22" s="43"/>
    </row>
    <row r="23" spans="2:17" s="35" customFormat="1" ht="11.25" customHeight="1">
      <c r="B23" s="37" t="s">
        <v>30</v>
      </c>
      <c r="C23" s="16">
        <v>0</v>
      </c>
      <c r="D23" s="16">
        <v>-0.66324899999999998</v>
      </c>
      <c r="E23" s="16">
        <v>-575.56301800000006</v>
      </c>
      <c r="F23" s="16">
        <v>-1268.5086000000001</v>
      </c>
      <c r="G23" s="16">
        <v>-1298.258934</v>
      </c>
      <c r="H23" s="16">
        <v>-1335.7925439999999</v>
      </c>
      <c r="I23" s="16">
        <v>-1250.5839680000001</v>
      </c>
      <c r="J23" s="16">
        <v>-1179.306642</v>
      </c>
      <c r="K23" s="16">
        <v>-1233.358142</v>
      </c>
      <c r="L23" s="16">
        <v>-1685.1548877777777</v>
      </c>
      <c r="M23" s="15">
        <f t="shared" si="0"/>
        <v>36.63143173037713</v>
      </c>
      <c r="N23" s="43"/>
      <c r="Q23" s="43"/>
    </row>
    <row r="24" spans="2:17" s="35" customFormat="1" ht="11.25" customHeight="1">
      <c r="B24" s="37" t="s">
        <v>31</v>
      </c>
      <c r="C24" s="16">
        <v>-8332.6820000000007</v>
      </c>
      <c r="D24" s="16">
        <v>-6090.1263339999996</v>
      </c>
      <c r="E24" s="16">
        <v>-11199.953591</v>
      </c>
      <c r="F24" s="16">
        <v>-6732.1324500000001</v>
      </c>
      <c r="G24" s="16">
        <v>-3406.1240240000002</v>
      </c>
      <c r="H24" s="16">
        <v>-133.163163</v>
      </c>
      <c r="I24" s="16">
        <v>7658.0436909999999</v>
      </c>
      <c r="J24" s="16">
        <v>9168.9935229999901</v>
      </c>
      <c r="K24" s="16">
        <v>11102.311146</v>
      </c>
      <c r="L24" s="16">
        <v>6538.3629916396803</v>
      </c>
      <c r="M24" s="15">
        <f>((L24/K24)-1)*100</f>
        <v>-41.108090868131029</v>
      </c>
      <c r="N24" s="43"/>
      <c r="Q24" s="43"/>
    </row>
    <row r="25" spans="2:17" s="35" customFormat="1" ht="11.25" customHeight="1">
      <c r="B25" s="54" t="s">
        <v>18</v>
      </c>
      <c r="C25" s="55">
        <f t="shared" ref="C25:J25" si="2">SUM(C21:C24)</f>
        <v>260570.44700000001</v>
      </c>
      <c r="D25" s="55">
        <f t="shared" si="2"/>
        <v>255001.38014237009</v>
      </c>
      <c r="E25" s="55">
        <f t="shared" si="2"/>
        <v>251720.169806402</v>
      </c>
      <c r="F25" s="55">
        <f t="shared" si="2"/>
        <v>245920.32548418595</v>
      </c>
      <c r="G25" s="55">
        <f t="shared" si="2"/>
        <v>243174.45209344185</v>
      </c>
      <c r="H25" s="55">
        <f t="shared" si="2"/>
        <v>247970.02741339395</v>
      </c>
      <c r="I25" s="55">
        <f t="shared" si="2"/>
        <v>249679.889981332</v>
      </c>
      <c r="J25" s="55">
        <f t="shared" si="2"/>
        <v>252506.40568934198</v>
      </c>
      <c r="K25" s="55">
        <f>SUM(K21:K24)</f>
        <v>253566.42007159299</v>
      </c>
      <c r="L25" s="55">
        <f>SUM(L21:L24)</f>
        <v>249397.78793892858</v>
      </c>
      <c r="M25" s="56">
        <f>((L25/K25)-1)*100</f>
        <v>-1.6440000736246629</v>
      </c>
      <c r="N25" s="43"/>
      <c r="Q25" s="43"/>
    </row>
    <row r="26" spans="2:17" s="35" customFormat="1" ht="11.25" customHeight="1">
      <c r="B26" s="41"/>
      <c r="C26" s="42"/>
      <c r="D26" s="42"/>
      <c r="E26" s="43"/>
      <c r="F26" s="42"/>
      <c r="G26" s="42"/>
      <c r="H26" s="43"/>
      <c r="I26" s="42"/>
      <c r="J26" s="42"/>
      <c r="K26" s="43"/>
      <c r="L26" s="42"/>
      <c r="M26" s="42"/>
      <c r="N26" s="43"/>
      <c r="O26" s="42"/>
      <c r="P26" s="42"/>
      <c r="Q26" s="43"/>
    </row>
    <row r="27" spans="2:17" s="35" customFormat="1" ht="11.25" customHeight="1">
      <c r="B27" s="34" t="s">
        <v>93</v>
      </c>
      <c r="C27" s="42"/>
      <c r="D27" s="42"/>
      <c r="E27" s="43"/>
      <c r="F27" s="42"/>
      <c r="G27" s="42"/>
      <c r="H27" s="43"/>
      <c r="I27" s="42"/>
      <c r="J27" s="42"/>
      <c r="K27" s="43"/>
      <c r="L27" s="42"/>
      <c r="M27" s="42"/>
      <c r="N27" s="43"/>
      <c r="O27" s="42"/>
      <c r="P27" s="42"/>
      <c r="Q27" s="43"/>
    </row>
    <row r="28" spans="2:17" s="35" customFormat="1" ht="11.25" customHeight="1">
      <c r="B28" s="82"/>
      <c r="C28" s="83">
        <v>2010</v>
      </c>
      <c r="D28" s="83">
        <v>2011</v>
      </c>
      <c r="E28" s="83">
        <v>2012</v>
      </c>
      <c r="F28" s="83">
        <v>2013</v>
      </c>
      <c r="G28" s="83">
        <v>2014</v>
      </c>
      <c r="H28" s="83">
        <v>2015</v>
      </c>
      <c r="I28" s="83">
        <v>2016</v>
      </c>
      <c r="J28" s="83">
        <v>2017</v>
      </c>
      <c r="K28" s="83">
        <v>2018</v>
      </c>
      <c r="L28" s="83">
        <v>2019</v>
      </c>
      <c r="M28" s="122" t="s">
        <v>107</v>
      </c>
      <c r="N28" s="43"/>
      <c r="O28" s="127"/>
      <c r="P28" s="42"/>
      <c r="Q28" s="43"/>
    </row>
    <row r="29" spans="2:17" s="35" customFormat="1" ht="11.25" customHeight="1">
      <c r="B29" s="37" t="s">
        <v>8</v>
      </c>
      <c r="C29" s="39">
        <v>3101.3580000000002</v>
      </c>
      <c r="D29" s="39">
        <v>2764.9845290000003</v>
      </c>
      <c r="E29" s="39">
        <v>2682.5672370000002</v>
      </c>
      <c r="F29" s="39">
        <v>2350.6404040000002</v>
      </c>
      <c r="G29" s="39">
        <v>2187.7777259999998</v>
      </c>
      <c r="H29" s="39">
        <v>1861.6830870000001</v>
      </c>
      <c r="I29" s="39">
        <v>2302.8679710000001</v>
      </c>
      <c r="J29" s="39">
        <v>2597.531837</v>
      </c>
      <c r="K29" s="39">
        <v>2395.770931</v>
      </c>
      <c r="L29" s="39">
        <v>2032.2503862902588</v>
      </c>
      <c r="M29" s="38">
        <f t="shared" ref="M29:M34" si="3">((L29/K29)-1)*100</f>
        <v>-15.173426641336151</v>
      </c>
      <c r="N29" s="43"/>
      <c r="O29" s="42"/>
      <c r="P29" s="42"/>
      <c r="Q29" s="43"/>
    </row>
    <row r="30" spans="2:17" s="35" customFormat="1" ht="11.25" customHeight="1">
      <c r="B30" s="125" t="s">
        <v>33</v>
      </c>
      <c r="C30" s="126">
        <v>1027.626</v>
      </c>
      <c r="D30" s="126">
        <v>923.462364000001</v>
      </c>
      <c r="E30" s="126">
        <v>933.28890000000001</v>
      </c>
      <c r="F30" s="126">
        <v>738.66198199999997</v>
      </c>
      <c r="G30" s="126">
        <v>666.78356000000008</v>
      </c>
      <c r="H30" s="126">
        <v>724.983971</v>
      </c>
      <c r="I30" s="126">
        <v>961.26081999999997</v>
      </c>
      <c r="J30" s="126">
        <v>795.98756000000003</v>
      </c>
      <c r="K30" s="126">
        <v>634.8807240000001</v>
      </c>
      <c r="L30" s="126">
        <v>482.98366220795157</v>
      </c>
      <c r="M30" s="133">
        <f t="shared" si="3"/>
        <v>-23.925291168872931</v>
      </c>
      <c r="N30" s="43"/>
      <c r="O30" s="42"/>
      <c r="P30" s="42"/>
      <c r="Q30" s="43"/>
    </row>
    <row r="31" spans="2:17" s="35" customFormat="1" ht="11.25" customHeight="1">
      <c r="B31" s="125" t="s">
        <v>34</v>
      </c>
      <c r="C31" s="126">
        <v>299.41500000000002</v>
      </c>
      <c r="D31" s="126">
        <v>350.60437099999996</v>
      </c>
      <c r="E31" s="126">
        <v>340.44978000000003</v>
      </c>
      <c r="F31" s="126">
        <v>514.33898799999997</v>
      </c>
      <c r="G31" s="126">
        <v>585.38788199999999</v>
      </c>
      <c r="H31" s="126">
        <v>586.58929900000101</v>
      </c>
      <c r="I31" s="126">
        <v>339.75826499999999</v>
      </c>
      <c r="J31" s="126">
        <v>556.52457400000003</v>
      </c>
      <c r="K31" s="126">
        <v>764.99901499999896</v>
      </c>
      <c r="L31" s="126">
        <v>453.48460207923756</v>
      </c>
      <c r="M31" s="133">
        <f t="shared" si="3"/>
        <v>-40.720890721769344</v>
      </c>
      <c r="N31" s="43"/>
      <c r="O31" s="42"/>
      <c r="P31" s="42"/>
      <c r="Q31" s="43"/>
    </row>
    <row r="32" spans="2:17" s="35" customFormat="1" ht="11.25" customHeight="1">
      <c r="B32" s="37" t="s">
        <v>36</v>
      </c>
      <c r="C32" s="39">
        <v>1327.0409999999999</v>
      </c>
      <c r="D32" s="39">
        <v>1274.066735000001</v>
      </c>
      <c r="E32" s="39">
        <v>1273.7386799999999</v>
      </c>
      <c r="F32" s="39">
        <v>1253.0009700000001</v>
      </c>
      <c r="G32" s="39">
        <v>1252.1714420000001</v>
      </c>
      <c r="H32" s="39">
        <v>1311.573270000001</v>
      </c>
      <c r="I32" s="39">
        <v>1301.0190849999999</v>
      </c>
      <c r="J32" s="39">
        <v>1352.5121340000001</v>
      </c>
      <c r="K32" s="39">
        <v>1399.8797389999991</v>
      </c>
      <c r="L32" s="39">
        <f>SUM(L30:L31)</f>
        <v>936.46826428718919</v>
      </c>
      <c r="M32" s="38">
        <f t="shared" si="3"/>
        <v>-33.103663250662287</v>
      </c>
      <c r="N32" s="43"/>
      <c r="O32" s="42"/>
      <c r="P32" s="42"/>
      <c r="Q32" s="43"/>
    </row>
    <row r="33" spans="2:17" s="35" customFormat="1" ht="11.25" customHeight="1">
      <c r="B33" s="37" t="s">
        <v>28</v>
      </c>
      <c r="C33" s="39">
        <v>1135.633</v>
      </c>
      <c r="D33" s="39">
        <v>1323.108338</v>
      </c>
      <c r="E33" s="39">
        <v>885.97971200000006</v>
      </c>
      <c r="F33" s="39">
        <v>407.33072800000002</v>
      </c>
      <c r="G33" s="39">
        <v>419.63312000000002</v>
      </c>
      <c r="H33" s="39">
        <v>804.68698600000005</v>
      </c>
      <c r="I33" s="39">
        <v>535.08209499999998</v>
      </c>
      <c r="J33" s="39">
        <v>420.42935600000004</v>
      </c>
      <c r="K33" s="39">
        <v>590.52251799999999</v>
      </c>
      <c r="L33" s="39">
        <v>1036.1562331749433</v>
      </c>
      <c r="M33" s="38">
        <f t="shared" si="3"/>
        <v>75.464305185893579</v>
      </c>
      <c r="N33" s="43"/>
      <c r="O33" s="42"/>
      <c r="P33" s="42"/>
      <c r="Q33" s="43"/>
    </row>
    <row r="34" spans="2:17" s="35" customFormat="1" ht="11.25" customHeight="1">
      <c r="B34" s="37" t="s">
        <v>37</v>
      </c>
      <c r="C34" s="39">
        <v>6.6950000000000003</v>
      </c>
      <c r="D34" s="39">
        <v>8.721718000000001</v>
      </c>
      <c r="E34" s="39">
        <v>8.807936999999999</v>
      </c>
      <c r="F34" s="39">
        <v>6.7598549999999999</v>
      </c>
      <c r="G34" s="39">
        <v>7.6940939999999998</v>
      </c>
      <c r="H34" s="39">
        <v>10.57849</v>
      </c>
      <c r="I34" s="39">
        <v>10.092818999999999</v>
      </c>
      <c r="J34" s="39">
        <v>14.746465000000001</v>
      </c>
      <c r="K34" s="39">
        <v>12.813724000000001</v>
      </c>
      <c r="L34" s="39">
        <v>16.897099000000001</v>
      </c>
      <c r="M34" s="38">
        <f t="shared" si="3"/>
        <v>31.867199574456272</v>
      </c>
      <c r="N34" s="43"/>
      <c r="O34" s="42"/>
      <c r="P34" s="42"/>
      <c r="Q34" s="43"/>
    </row>
    <row r="35" spans="2:17" s="35" customFormat="1" ht="11.25" customHeight="1">
      <c r="B35" s="40" t="s">
        <v>10</v>
      </c>
      <c r="C35" s="39">
        <v>5.5709999999999997</v>
      </c>
      <c r="D35" s="39">
        <v>5.7859150000000001</v>
      </c>
      <c r="E35" s="39">
        <v>6.5046989999999996</v>
      </c>
      <c r="F35" s="39">
        <v>6.1594679999999995</v>
      </c>
      <c r="G35" s="39">
        <v>5.8395780000000004</v>
      </c>
      <c r="H35" s="39">
        <v>5.3182280000000004</v>
      </c>
      <c r="I35" s="39">
        <v>5.4160579999999996</v>
      </c>
      <c r="J35" s="39">
        <v>2.9242759999999999</v>
      </c>
      <c r="K35" s="39">
        <v>3.757171</v>
      </c>
      <c r="L35" s="39">
        <v>6.1852998275299864</v>
      </c>
      <c r="M35" s="38">
        <f t="shared" ref="M35:M43" si="4">((L35/K35)-1)*100</f>
        <v>64.626518929534654</v>
      </c>
      <c r="N35" s="43"/>
      <c r="O35" s="42"/>
      <c r="P35" s="42"/>
      <c r="Q35" s="43"/>
    </row>
    <row r="36" spans="2:17" s="35" customFormat="1" ht="11.25" customHeight="1">
      <c r="B36" s="40" t="s">
        <v>11</v>
      </c>
      <c r="C36" s="39">
        <v>87.757000000000005</v>
      </c>
      <c r="D36" s="39">
        <v>101.81091599999999</v>
      </c>
      <c r="E36" s="39">
        <v>115.59326900000001</v>
      </c>
      <c r="F36" s="39">
        <v>122.112852</v>
      </c>
      <c r="G36" s="39">
        <v>122.76568899999999</v>
      </c>
      <c r="H36" s="39">
        <v>122.619803</v>
      </c>
      <c r="I36" s="39">
        <v>120.50753</v>
      </c>
      <c r="J36" s="39">
        <v>123.336995</v>
      </c>
      <c r="K36" s="39">
        <v>113.48353999999999</v>
      </c>
      <c r="L36" s="39">
        <v>124.91221470964793</v>
      </c>
      <c r="M36" s="38">
        <f t="shared" si="4"/>
        <v>10.070777409347587</v>
      </c>
      <c r="N36" s="43"/>
      <c r="O36" s="42"/>
      <c r="P36" s="42"/>
      <c r="Q36" s="43"/>
    </row>
    <row r="37" spans="2:17" s="35" customFormat="1" ht="11.25" customHeight="1">
      <c r="B37" s="22" t="s">
        <v>29</v>
      </c>
      <c r="C37" s="39">
        <v>0</v>
      </c>
      <c r="D37" s="39">
        <v>8.779300000000001E-2</v>
      </c>
      <c r="E37" s="39">
        <v>0.56983000000000006</v>
      </c>
      <c r="F37" s="39">
        <v>0.50569299999999995</v>
      </c>
      <c r="G37" s="39">
        <v>1.945659</v>
      </c>
      <c r="H37" s="39">
        <v>1.971549</v>
      </c>
      <c r="I37" s="39">
        <v>1.309715</v>
      </c>
      <c r="J37" s="39">
        <v>1.626741</v>
      </c>
      <c r="K37" s="39">
        <v>1.332595</v>
      </c>
      <c r="L37" s="39">
        <v>1.1188174032815958</v>
      </c>
      <c r="M37" s="38">
        <f t="shared" si="4"/>
        <v>-16.042203123860144</v>
      </c>
      <c r="N37" s="43"/>
      <c r="O37" s="42"/>
      <c r="P37" s="42"/>
      <c r="Q37" s="43"/>
    </row>
    <row r="38" spans="2:17" s="35" customFormat="1" ht="11.25" customHeight="1">
      <c r="B38" s="22" t="s">
        <v>13</v>
      </c>
      <c r="C38" s="39">
        <v>9.5079999999999991</v>
      </c>
      <c r="D38" s="39">
        <v>13.333674</v>
      </c>
      <c r="E38" s="39">
        <v>26.496669999999998</v>
      </c>
      <c r="F38" s="39">
        <v>25.720822000000002</v>
      </c>
      <c r="G38" s="39">
        <v>25.222583999999998</v>
      </c>
      <c r="H38" s="39">
        <v>31.549726999999997</v>
      </c>
      <c r="I38" s="39">
        <v>34.701317000000003</v>
      </c>
      <c r="J38" s="39">
        <v>36.244233999999999</v>
      </c>
      <c r="K38" s="39">
        <v>34.974446</v>
      </c>
      <c r="L38" s="39">
        <v>33.276329703795049</v>
      </c>
      <c r="M38" s="38">
        <f t="shared" si="4"/>
        <v>-4.8553057744072703</v>
      </c>
      <c r="N38" s="43"/>
      <c r="O38" s="42"/>
      <c r="P38" s="42"/>
      <c r="Q38" s="43"/>
    </row>
    <row r="39" spans="2:17" s="35" customFormat="1" ht="11.25" customHeight="1">
      <c r="B39" s="22" t="s">
        <v>14</v>
      </c>
      <c r="C39" s="16">
        <v>83.370500000000007</v>
      </c>
      <c r="D39" s="16">
        <v>123.7120335</v>
      </c>
      <c r="E39" s="39">
        <v>122.789536</v>
      </c>
      <c r="F39" s="39">
        <v>113.06659500000001</v>
      </c>
      <c r="G39" s="39">
        <v>128.0843295</v>
      </c>
      <c r="H39" s="39">
        <v>151.09772949999999</v>
      </c>
      <c r="I39" s="39">
        <v>130.80506650000001</v>
      </c>
      <c r="J39" s="39">
        <v>143.878668</v>
      </c>
      <c r="K39" s="39">
        <v>135.7577445</v>
      </c>
      <c r="L39" s="39">
        <v>148.50591854962832</v>
      </c>
      <c r="M39" s="38">
        <f t="shared" si="4"/>
        <v>9.3903843913879292</v>
      </c>
      <c r="N39" s="43"/>
      <c r="O39" s="42"/>
      <c r="P39" s="42"/>
      <c r="Q39" s="43"/>
    </row>
    <row r="40" spans="2:17" s="35" customFormat="1" ht="11.25" customHeight="1">
      <c r="B40" s="22" t="s">
        <v>15</v>
      </c>
      <c r="C40" s="16">
        <v>83.370500000000007</v>
      </c>
      <c r="D40" s="16">
        <v>123.7120335</v>
      </c>
      <c r="E40" s="39">
        <v>122.789536</v>
      </c>
      <c r="F40" s="39">
        <v>113.06659500000001</v>
      </c>
      <c r="G40" s="39">
        <v>128.0843295</v>
      </c>
      <c r="H40" s="39">
        <v>151.09772949999999</v>
      </c>
      <c r="I40" s="39">
        <v>130.80506650000001</v>
      </c>
      <c r="J40" s="39">
        <v>143.878668</v>
      </c>
      <c r="K40" s="39">
        <v>135.7577445</v>
      </c>
      <c r="L40" s="39">
        <v>148.50591854962832</v>
      </c>
      <c r="M40" s="38">
        <f t="shared" si="4"/>
        <v>9.3903843913879292</v>
      </c>
      <c r="N40" s="43"/>
      <c r="O40" s="42"/>
      <c r="P40" s="42"/>
      <c r="Q40" s="43"/>
    </row>
    <row r="41" spans="2:17" s="35" customFormat="1" ht="11.25" customHeight="1">
      <c r="B41" s="51" t="s">
        <v>16</v>
      </c>
      <c r="C41" s="52">
        <f t="shared" ref="C41:J41" si="5">SUM(C29:C29,C32:C40)</f>
        <v>5840.3039999999992</v>
      </c>
      <c r="D41" s="52">
        <f t="shared" si="5"/>
        <v>5739.3236850000021</v>
      </c>
      <c r="E41" s="52">
        <f t="shared" si="5"/>
        <v>5245.8371060000009</v>
      </c>
      <c r="F41" s="52">
        <f t="shared" si="5"/>
        <v>4398.3639820000008</v>
      </c>
      <c r="G41" s="52">
        <f t="shared" si="5"/>
        <v>4279.2185510000008</v>
      </c>
      <c r="H41" s="52">
        <f t="shared" si="5"/>
        <v>4452.1765990000013</v>
      </c>
      <c r="I41" s="52">
        <f t="shared" si="5"/>
        <v>4572.6067230000008</v>
      </c>
      <c r="J41" s="52">
        <f t="shared" si="5"/>
        <v>4837.1093739999997</v>
      </c>
      <c r="K41" s="52">
        <f>SUM(K29:K29,K32:K40)</f>
        <v>4824.0501529999983</v>
      </c>
      <c r="L41" s="52">
        <f>SUM(L29:L29,L32:L40)</f>
        <v>4484.2764814959028</v>
      </c>
      <c r="M41" s="53">
        <f t="shared" si="4"/>
        <v>-7.043327924208997</v>
      </c>
      <c r="N41" s="43"/>
      <c r="O41" s="42"/>
      <c r="P41" s="42"/>
      <c r="Q41" s="43"/>
    </row>
    <row r="42" spans="2:17" s="35" customFormat="1" ht="11.25" customHeight="1">
      <c r="B42" s="72" t="s">
        <v>30</v>
      </c>
      <c r="C42" s="73">
        <v>0</v>
      </c>
      <c r="D42" s="73">
        <v>0.66324899999999998</v>
      </c>
      <c r="E42" s="73">
        <v>575.56301800000006</v>
      </c>
      <c r="F42" s="73">
        <v>1268.5086000000001</v>
      </c>
      <c r="G42" s="73">
        <v>1298.258934</v>
      </c>
      <c r="H42" s="73">
        <v>1335.7925439999999</v>
      </c>
      <c r="I42" s="73">
        <v>1250.5839680000001</v>
      </c>
      <c r="J42" s="73">
        <v>1179.306642</v>
      </c>
      <c r="K42" s="73">
        <v>1233.358142</v>
      </c>
      <c r="L42" s="73">
        <v>1685.1648877777779</v>
      </c>
      <c r="M42" s="134">
        <f t="shared" si="4"/>
        <v>36.632242524878713</v>
      </c>
      <c r="N42" s="43"/>
      <c r="O42" s="42"/>
      <c r="P42" s="42"/>
      <c r="Q42" s="43"/>
    </row>
    <row r="43" spans="2:17" s="35" customFormat="1" ht="11.25" customHeight="1">
      <c r="B43" s="54" t="s">
        <v>18</v>
      </c>
      <c r="C43" s="55">
        <f t="shared" ref="C43:J43" si="6">SUM(C41:C42)</f>
        <v>5840.3039999999992</v>
      </c>
      <c r="D43" s="55">
        <f t="shared" si="6"/>
        <v>5739.9869340000023</v>
      </c>
      <c r="E43" s="55">
        <f t="shared" si="6"/>
        <v>5821.4001240000007</v>
      </c>
      <c r="F43" s="55">
        <f t="shared" si="6"/>
        <v>5666.8725820000009</v>
      </c>
      <c r="G43" s="55">
        <f t="shared" si="6"/>
        <v>5577.4774850000013</v>
      </c>
      <c r="H43" s="55">
        <f t="shared" si="6"/>
        <v>5787.9691430000012</v>
      </c>
      <c r="I43" s="55">
        <f t="shared" si="6"/>
        <v>5823.1906910000007</v>
      </c>
      <c r="J43" s="55">
        <f t="shared" si="6"/>
        <v>6016.4160159999992</v>
      </c>
      <c r="K43" s="55">
        <f>SUM(K41:K42)</f>
        <v>6057.4082949999984</v>
      </c>
      <c r="L43" s="55">
        <f>SUM(L41:L42)</f>
        <v>6169.4413692736807</v>
      </c>
      <c r="M43" s="56">
        <f t="shared" si="4"/>
        <v>1.849521591043457</v>
      </c>
      <c r="N43" s="43"/>
      <c r="O43" s="42"/>
      <c r="P43" s="42"/>
      <c r="Q43" s="43"/>
    </row>
    <row r="44" spans="2:17" s="35" customFormat="1" ht="11.25" customHeight="1">
      <c r="B44" s="41"/>
      <c r="C44" s="42"/>
      <c r="D44" s="42"/>
      <c r="E44" s="43"/>
      <c r="F44" s="42"/>
      <c r="G44" s="42"/>
      <c r="H44" s="43"/>
      <c r="I44" s="42"/>
      <c r="J44" s="42"/>
      <c r="K44" s="43"/>
      <c r="L44" s="42"/>
      <c r="M44" s="42"/>
      <c r="N44" s="43"/>
      <c r="O44" s="42"/>
      <c r="P44" s="42"/>
      <c r="Q44" s="43"/>
    </row>
    <row r="45" spans="2:17" s="35" customFormat="1" ht="11.25" customHeight="1">
      <c r="B45" s="34" t="s">
        <v>94</v>
      </c>
      <c r="C45" s="42"/>
      <c r="D45" s="42"/>
      <c r="E45" s="43"/>
      <c r="F45" s="42"/>
      <c r="G45" s="42"/>
      <c r="H45" s="43"/>
      <c r="I45" s="42"/>
      <c r="J45" s="42"/>
      <c r="K45" s="43"/>
      <c r="L45" s="42"/>
      <c r="M45" s="42"/>
      <c r="N45" s="43"/>
      <c r="O45" s="42"/>
      <c r="P45" s="42"/>
      <c r="Q45" s="43"/>
    </row>
    <row r="46" spans="2:17" s="35" customFormat="1" ht="11.25" customHeight="1">
      <c r="B46" s="82"/>
      <c r="C46" s="83">
        <v>2010</v>
      </c>
      <c r="D46" s="83">
        <v>2011</v>
      </c>
      <c r="E46" s="83">
        <v>2012</v>
      </c>
      <c r="F46" s="83">
        <v>2013</v>
      </c>
      <c r="G46" s="83">
        <v>2014</v>
      </c>
      <c r="H46" s="83">
        <v>2015</v>
      </c>
      <c r="I46" s="83">
        <v>2016</v>
      </c>
      <c r="J46" s="83">
        <v>2017</v>
      </c>
      <c r="K46" s="83">
        <v>2018</v>
      </c>
      <c r="L46" s="83">
        <v>2019</v>
      </c>
      <c r="M46" s="122" t="s">
        <v>107</v>
      </c>
      <c r="N46" s="43"/>
      <c r="O46" s="127"/>
      <c r="P46" s="42"/>
      <c r="Q46" s="43"/>
    </row>
    <row r="47" spans="2:17" s="35" customFormat="1" ht="11.25" customHeight="1">
      <c r="B47" s="37" t="s">
        <v>6</v>
      </c>
      <c r="C47" s="39">
        <v>0</v>
      </c>
      <c r="D47" s="39">
        <v>1.654771</v>
      </c>
      <c r="E47" s="39">
        <v>1.769099</v>
      </c>
      <c r="F47" s="39">
        <v>3.0312829999999997</v>
      </c>
      <c r="G47" s="39">
        <v>3.4610560000000001</v>
      </c>
      <c r="H47" s="39">
        <v>3.5683929999999999</v>
      </c>
      <c r="I47" s="39">
        <v>3.4539609999999996</v>
      </c>
      <c r="J47" s="39">
        <v>3.271979</v>
      </c>
      <c r="K47" s="39">
        <v>3.2771120000000002</v>
      </c>
      <c r="L47" s="39">
        <v>3.4610194087035748</v>
      </c>
      <c r="M47" s="38">
        <f t="shared" ref="M47:M52" si="7">((L47/K47)-1)*100</f>
        <v>5.6118743791354841</v>
      </c>
      <c r="N47" s="43"/>
      <c r="O47" s="42"/>
      <c r="P47" s="42"/>
      <c r="Q47" s="43"/>
    </row>
    <row r="48" spans="2:17" s="35" customFormat="1" ht="11.25" customHeight="1">
      <c r="B48" s="125" t="s">
        <v>33</v>
      </c>
      <c r="C48" s="126">
        <v>2183.3820000000001</v>
      </c>
      <c r="D48" s="126">
        <v>2161.3083939999997</v>
      </c>
      <c r="E48" s="126">
        <v>2108.4429610000002</v>
      </c>
      <c r="F48" s="126">
        <v>2069.7460700000001</v>
      </c>
      <c r="G48" s="126">
        <v>2140.7023509999999</v>
      </c>
      <c r="H48" s="126">
        <v>2202.3375219999998</v>
      </c>
      <c r="I48" s="126">
        <v>2222.301543</v>
      </c>
      <c r="J48" s="126">
        <v>2242.3242279999999</v>
      </c>
      <c r="K48" s="126">
        <v>2121.1348889999999</v>
      </c>
      <c r="L48" s="126">
        <v>1941.5791707475735</v>
      </c>
      <c r="M48" s="133">
        <f t="shared" si="7"/>
        <v>-8.4650777837649507</v>
      </c>
      <c r="N48" s="43"/>
      <c r="O48" s="42"/>
      <c r="P48" s="42"/>
      <c r="Q48" s="43"/>
    </row>
    <row r="49" spans="2:17" s="35" customFormat="1" ht="11.25" customHeight="1">
      <c r="B49" s="125" t="s">
        <v>34</v>
      </c>
      <c r="C49" s="126">
        <v>343.26299999999998</v>
      </c>
      <c r="D49" s="126">
        <v>528.79792799999996</v>
      </c>
      <c r="E49" s="126">
        <v>598.67031000000009</v>
      </c>
      <c r="F49" s="126">
        <v>368.97421600000001</v>
      </c>
      <c r="G49" s="126">
        <v>360.74451199999999</v>
      </c>
      <c r="H49" s="126">
        <v>327.805271</v>
      </c>
      <c r="I49" s="126">
        <v>275.90062399999999</v>
      </c>
      <c r="J49" s="126">
        <v>314.34570600000001</v>
      </c>
      <c r="K49" s="126">
        <v>284.09280899999999</v>
      </c>
      <c r="L49" s="126">
        <v>231.38907116414831</v>
      </c>
      <c r="M49" s="133">
        <f t="shared" si="7"/>
        <v>-18.551591651111345</v>
      </c>
      <c r="N49" s="43"/>
      <c r="O49" s="42"/>
      <c r="P49" s="42"/>
      <c r="Q49" s="43"/>
    </row>
    <row r="50" spans="2:17" s="35" customFormat="1" ht="11.25" customHeight="1">
      <c r="B50" s="125" t="s">
        <v>35</v>
      </c>
      <c r="C50" s="126">
        <v>2972.5859999999998</v>
      </c>
      <c r="D50" s="126">
        <v>2634.2951170000001</v>
      </c>
      <c r="E50" s="126">
        <v>2681.6959270000002</v>
      </c>
      <c r="F50" s="126">
        <v>2463.7969989999997</v>
      </c>
      <c r="G50" s="126">
        <v>2070.771428</v>
      </c>
      <c r="H50" s="126">
        <v>2222.9505669999999</v>
      </c>
      <c r="I50" s="126">
        <v>2536.1430030000001</v>
      </c>
      <c r="J50" s="126">
        <v>2674.3938499999999</v>
      </c>
      <c r="K50" s="126">
        <v>2455.4322969999998</v>
      </c>
      <c r="L50" s="126">
        <v>2204.2111338635123</v>
      </c>
      <c r="M50" s="133">
        <f t="shared" si="7"/>
        <v>-10.231239665757631</v>
      </c>
      <c r="N50" s="43"/>
      <c r="O50" s="42"/>
      <c r="P50" s="42"/>
      <c r="Q50" s="43"/>
    </row>
    <row r="51" spans="2:17" s="35" customFormat="1" ht="11.25" customHeight="1">
      <c r="B51" s="37" t="s">
        <v>36</v>
      </c>
      <c r="C51" s="39">
        <v>5499.2309999999998</v>
      </c>
      <c r="D51" s="39">
        <v>5324.4014389999993</v>
      </c>
      <c r="E51" s="39">
        <v>5388.8091980000008</v>
      </c>
      <c r="F51" s="39">
        <v>4902.5172849999999</v>
      </c>
      <c r="G51" s="39">
        <v>4572.2182910000001</v>
      </c>
      <c r="H51" s="39">
        <v>4753.0933599999998</v>
      </c>
      <c r="I51" s="39">
        <v>5034.3451700000005</v>
      </c>
      <c r="J51" s="39">
        <v>5231.0637839999999</v>
      </c>
      <c r="K51" s="39">
        <v>4860.659995</v>
      </c>
      <c r="L51" s="39">
        <f>SUM(L48:L50)</f>
        <v>4377.1793757752339</v>
      </c>
      <c r="M51" s="38">
        <f t="shared" si="7"/>
        <v>-9.9468100982604497</v>
      </c>
      <c r="N51" s="43"/>
      <c r="O51" s="42"/>
      <c r="P51" s="42"/>
      <c r="Q51" s="43"/>
    </row>
    <row r="52" spans="2:17" s="35" customFormat="1" ht="11.25" customHeight="1">
      <c r="B52" s="37" t="s">
        <v>28</v>
      </c>
      <c r="C52" s="39">
        <v>2708.413</v>
      </c>
      <c r="D52" s="39">
        <v>2914.6264580000002</v>
      </c>
      <c r="E52" s="39">
        <v>2871.675338</v>
      </c>
      <c r="F52" s="39">
        <v>3036.0126060000002</v>
      </c>
      <c r="G52" s="39">
        <v>3288.6922519999998</v>
      </c>
      <c r="H52" s="39">
        <v>3188.0567889999998</v>
      </c>
      <c r="I52" s="39">
        <v>3008.3337409999999</v>
      </c>
      <c r="J52" s="39">
        <v>2997.3769480000001</v>
      </c>
      <c r="K52" s="39">
        <v>3051.021608</v>
      </c>
      <c r="L52" s="39">
        <v>3004.1118411038628</v>
      </c>
      <c r="M52" s="38">
        <f t="shared" si="7"/>
        <v>-1.5375101498179</v>
      </c>
      <c r="N52" s="43"/>
      <c r="O52" s="42"/>
      <c r="P52" s="42"/>
      <c r="Q52" s="43"/>
    </row>
    <row r="53" spans="2:17" s="35" customFormat="1" ht="11.25" customHeight="1">
      <c r="B53" s="37" t="s">
        <v>37</v>
      </c>
      <c r="C53" s="39"/>
      <c r="D53" s="39"/>
      <c r="E53" s="39"/>
      <c r="F53" s="39"/>
      <c r="G53" s="39"/>
      <c r="H53" s="39"/>
      <c r="I53" s="39"/>
      <c r="J53" s="39"/>
      <c r="K53" s="39"/>
      <c r="L53" s="39" t="s">
        <v>26</v>
      </c>
      <c r="M53" s="38" t="s">
        <v>26</v>
      </c>
      <c r="N53" s="43"/>
      <c r="O53" s="42"/>
      <c r="P53" s="42"/>
      <c r="Q53" s="43"/>
    </row>
    <row r="54" spans="2:17" s="35" customFormat="1" ht="11.25" customHeight="1">
      <c r="B54" s="37" t="s">
        <v>9</v>
      </c>
      <c r="C54" s="39">
        <v>0</v>
      </c>
      <c r="D54" s="39">
        <v>0</v>
      </c>
      <c r="E54" s="39">
        <v>0</v>
      </c>
      <c r="F54" s="39">
        <v>0</v>
      </c>
      <c r="G54" s="39">
        <v>0.88927699999999898</v>
      </c>
      <c r="H54" s="39">
        <v>8.2074240000000014</v>
      </c>
      <c r="I54" s="39">
        <v>17.891936000000001</v>
      </c>
      <c r="J54" s="39">
        <v>20.233057000000002</v>
      </c>
      <c r="K54" s="39">
        <v>23.655544000000003</v>
      </c>
      <c r="L54" s="39">
        <v>24.108849083928597</v>
      </c>
      <c r="M54" s="38">
        <f>((L54/K54)-1)*100</f>
        <v>1.916274188953726</v>
      </c>
      <c r="N54" s="43"/>
      <c r="O54" s="42"/>
      <c r="P54" s="42"/>
      <c r="Q54" s="43"/>
    </row>
    <row r="55" spans="2:17" s="35" customFormat="1" ht="11.25" customHeight="1">
      <c r="B55" s="40" t="s">
        <v>10</v>
      </c>
      <c r="C55" s="39">
        <v>331.36399999999998</v>
      </c>
      <c r="D55" s="39">
        <v>355.67776099999998</v>
      </c>
      <c r="E55" s="39">
        <v>361.76732500000003</v>
      </c>
      <c r="F55" s="39">
        <v>362.73348499999997</v>
      </c>
      <c r="G55" s="39">
        <v>389.52880599999997</v>
      </c>
      <c r="H55" s="39">
        <v>396.68714299999999</v>
      </c>
      <c r="I55" s="39">
        <v>393.08058299999999</v>
      </c>
      <c r="J55" s="39">
        <v>395.92533299999997</v>
      </c>
      <c r="K55" s="39">
        <v>622.02860199999998</v>
      </c>
      <c r="L55" s="39">
        <v>1163.092312090308</v>
      </c>
      <c r="M55" s="38">
        <f>((L55/K55)-1)*100</f>
        <v>86.983734887854581</v>
      </c>
      <c r="N55" s="43"/>
      <c r="O55" s="42"/>
      <c r="P55" s="42"/>
      <c r="Q55" s="43"/>
    </row>
    <row r="56" spans="2:17" s="35" customFormat="1" ht="11.25" customHeight="1">
      <c r="B56" s="40" t="s">
        <v>11</v>
      </c>
      <c r="C56" s="39">
        <v>195.16499999999999</v>
      </c>
      <c r="D56" s="39">
        <v>232.99919</v>
      </c>
      <c r="E56" s="39">
        <v>256.51338600000003</v>
      </c>
      <c r="F56" s="39">
        <v>286.70331699999997</v>
      </c>
      <c r="G56" s="39">
        <v>282.28568899999999</v>
      </c>
      <c r="H56" s="39">
        <v>275.54660500000097</v>
      </c>
      <c r="I56" s="39">
        <v>277.66134299999999</v>
      </c>
      <c r="J56" s="39">
        <v>273.626665</v>
      </c>
      <c r="K56" s="39">
        <v>272.07269199999996</v>
      </c>
      <c r="L56" s="39">
        <v>276.46846134320714</v>
      </c>
      <c r="M56" s="38">
        <f>((L56/K56)-1)*100</f>
        <v>1.6156598851924331</v>
      </c>
      <c r="N56" s="43"/>
      <c r="O56" s="42"/>
      <c r="P56" s="42"/>
      <c r="Q56" s="43"/>
    </row>
    <row r="57" spans="2:17" s="35" customFormat="1" ht="11.25" customHeight="1">
      <c r="B57" s="22" t="s">
        <v>29</v>
      </c>
      <c r="C57" s="39">
        <v>160.56100000000001</v>
      </c>
      <c r="D57" s="39">
        <v>8.8159460000000109</v>
      </c>
      <c r="E57" s="39">
        <v>8.0504469999999895</v>
      </c>
      <c r="F57" s="39">
        <v>8.5025879999999994</v>
      </c>
      <c r="G57" s="39">
        <v>8.8065839999999902</v>
      </c>
      <c r="H57" s="39">
        <v>8.0536250000000003</v>
      </c>
      <c r="I57" s="39">
        <v>9.3357749999999999</v>
      </c>
      <c r="J57" s="39">
        <v>9.5652589999999886</v>
      </c>
      <c r="K57" s="39">
        <v>8.9315970000000107</v>
      </c>
      <c r="L57" s="39">
        <v>9.5739180006200844</v>
      </c>
      <c r="M57" s="38">
        <f>((L57/K57)-1)*100</f>
        <v>7.1915582467510841</v>
      </c>
      <c r="N57" s="43"/>
      <c r="O57" s="42"/>
      <c r="P57" s="42"/>
      <c r="Q57" s="43"/>
    </row>
    <row r="58" spans="2:17" s="35" customFormat="1" ht="11.25" customHeight="1">
      <c r="B58" s="22" t="s">
        <v>13</v>
      </c>
      <c r="C58" s="39">
        <v>0</v>
      </c>
      <c r="D58" s="39">
        <v>24.807366000000002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/>
      <c r="M58" s="38" t="s">
        <v>26</v>
      </c>
      <c r="N58" s="43"/>
      <c r="O58" s="42"/>
      <c r="P58" s="42"/>
      <c r="Q58" s="43"/>
    </row>
    <row r="59" spans="2:17" s="35" customFormat="1" ht="11.25" customHeight="1">
      <c r="B59" s="51" t="s">
        <v>16</v>
      </c>
      <c r="C59" s="52">
        <f t="shared" ref="C59:J59" si="8">SUM(C47:C47,C51:C58)</f>
        <v>8894.7340000000004</v>
      </c>
      <c r="D59" s="52">
        <f t="shared" si="8"/>
        <v>8862.9829310000023</v>
      </c>
      <c r="E59" s="52">
        <f t="shared" si="8"/>
        <v>8888.5847930000018</v>
      </c>
      <c r="F59" s="52">
        <f t="shared" si="8"/>
        <v>8599.5005639999999</v>
      </c>
      <c r="G59" s="52">
        <f t="shared" si="8"/>
        <v>8545.8819550000007</v>
      </c>
      <c r="H59" s="52">
        <f t="shared" si="8"/>
        <v>8633.2133389999999</v>
      </c>
      <c r="I59" s="52">
        <f t="shared" si="8"/>
        <v>8744.1025090000003</v>
      </c>
      <c r="J59" s="52">
        <f t="shared" si="8"/>
        <v>8931.0630249999995</v>
      </c>
      <c r="K59" s="52">
        <f>SUM(K47:K47,K51:K58)</f>
        <v>8841.6471500000007</v>
      </c>
      <c r="L59" s="52">
        <f>SUM(L47:L47,L51:L58)</f>
        <v>8857.9957768058648</v>
      </c>
      <c r="M59" s="53">
        <f>((L59/K59)-1)*100</f>
        <v>0.18490476410681911</v>
      </c>
      <c r="N59" s="43"/>
      <c r="O59" s="42"/>
      <c r="P59" s="42"/>
      <c r="Q59" s="43"/>
    </row>
    <row r="60" spans="2:17" s="35" customFormat="1" ht="11.25" customHeight="1">
      <c r="B60" s="54" t="s">
        <v>18</v>
      </c>
      <c r="C60" s="55">
        <f>C59</f>
        <v>8894.7340000000004</v>
      </c>
      <c r="D60" s="55">
        <f t="shared" ref="D60:L60" si="9">D59</f>
        <v>8862.9829310000023</v>
      </c>
      <c r="E60" s="55">
        <f t="shared" si="9"/>
        <v>8888.5847930000018</v>
      </c>
      <c r="F60" s="55">
        <f t="shared" si="9"/>
        <v>8599.5005639999999</v>
      </c>
      <c r="G60" s="55">
        <f t="shared" si="9"/>
        <v>8545.8819550000007</v>
      </c>
      <c r="H60" s="55">
        <f t="shared" si="9"/>
        <v>8633.2133389999999</v>
      </c>
      <c r="I60" s="55">
        <f t="shared" si="9"/>
        <v>8744.1025090000003</v>
      </c>
      <c r="J60" s="55">
        <f t="shared" si="9"/>
        <v>8931.0630249999995</v>
      </c>
      <c r="K60" s="55">
        <f t="shared" si="9"/>
        <v>8841.6471500000007</v>
      </c>
      <c r="L60" s="55">
        <f t="shared" si="9"/>
        <v>8857.9957768058648</v>
      </c>
      <c r="M60" s="56">
        <f>((L60/K60)-1)*100</f>
        <v>0.18490476410681911</v>
      </c>
      <c r="N60" s="43"/>
      <c r="O60" s="42"/>
      <c r="P60" s="42"/>
      <c r="Q60" s="43"/>
    </row>
    <row r="61" spans="2:17" s="35" customFormat="1" ht="11.25" customHeight="1">
      <c r="B61" s="41"/>
      <c r="C61" s="42"/>
      <c r="D61" s="42"/>
      <c r="E61" s="43"/>
      <c r="F61" s="42"/>
      <c r="G61" s="42"/>
      <c r="H61" s="43"/>
      <c r="I61" s="42"/>
      <c r="J61" s="42"/>
      <c r="K61" s="43"/>
      <c r="L61" s="42"/>
      <c r="M61" s="42"/>
      <c r="N61" s="43"/>
      <c r="O61" s="42"/>
      <c r="P61" s="42"/>
      <c r="Q61" s="43"/>
    </row>
    <row r="62" spans="2:17" s="35" customFormat="1" ht="11.25" customHeight="1">
      <c r="B62" s="34" t="s">
        <v>95</v>
      </c>
      <c r="C62" s="42"/>
      <c r="D62" s="42"/>
      <c r="E62" s="43"/>
      <c r="F62" s="42"/>
      <c r="G62" s="42"/>
      <c r="H62" s="43"/>
      <c r="I62" s="42"/>
      <c r="J62" s="42"/>
      <c r="K62" s="43"/>
      <c r="L62" s="42"/>
      <c r="M62" s="42"/>
      <c r="N62" s="43"/>
      <c r="O62" s="42"/>
      <c r="P62" s="42"/>
      <c r="Q62" s="43"/>
    </row>
    <row r="63" spans="2:17" s="35" customFormat="1" ht="11.25" customHeight="1">
      <c r="B63" s="82"/>
      <c r="C63" s="83">
        <v>2010</v>
      </c>
      <c r="D63" s="83">
        <v>2011</v>
      </c>
      <c r="E63" s="83">
        <v>2012</v>
      </c>
      <c r="F63" s="83">
        <v>2013</v>
      </c>
      <c r="G63" s="83">
        <v>2014</v>
      </c>
      <c r="H63" s="83">
        <v>2015</v>
      </c>
      <c r="I63" s="83">
        <v>2016</v>
      </c>
      <c r="J63" s="83">
        <v>2017</v>
      </c>
      <c r="K63" s="83">
        <v>2018</v>
      </c>
      <c r="L63" s="83">
        <v>2019</v>
      </c>
      <c r="M63" s="122" t="s">
        <v>107</v>
      </c>
      <c r="N63" s="43"/>
      <c r="O63" s="127"/>
      <c r="P63" s="42"/>
      <c r="Q63" s="43"/>
    </row>
    <row r="64" spans="2:17" s="35" customFormat="1" ht="11.25" customHeight="1">
      <c r="B64" s="125" t="s">
        <v>33</v>
      </c>
      <c r="C64" s="126">
        <v>214.66499999999999</v>
      </c>
      <c r="D64" s="126">
        <v>202.666877</v>
      </c>
      <c r="E64" s="126">
        <v>211.51078899999999</v>
      </c>
      <c r="F64" s="126">
        <v>201.70539199999999</v>
      </c>
      <c r="G64" s="126">
        <v>212.152625</v>
      </c>
      <c r="H64" s="126">
        <v>203.25730900000002</v>
      </c>
      <c r="I64" s="126">
        <v>210.55799199999998</v>
      </c>
      <c r="J64" s="126">
        <v>202.648335</v>
      </c>
      <c r="K64" s="126">
        <v>207.23613800000001</v>
      </c>
      <c r="L64" s="126">
        <v>206.89990499999999</v>
      </c>
      <c r="M64" s="133">
        <f>((L64/K64)-1)*100</f>
        <v>-0.16224631632539843</v>
      </c>
      <c r="N64" s="43"/>
      <c r="O64" s="42"/>
      <c r="P64" s="42"/>
      <c r="Q64" s="43"/>
    </row>
    <row r="65" spans="2:17" s="35" customFormat="1" ht="11.25" customHeight="1">
      <c r="B65" s="125" t="s">
        <v>34</v>
      </c>
      <c r="C65" s="126">
        <v>2.8679999999999999</v>
      </c>
      <c r="D65" s="126">
        <v>0.30601600000000001</v>
      </c>
      <c r="E65" s="126">
        <v>0.56112200000000001</v>
      </c>
      <c r="F65" s="126">
        <v>0.25954300000000002</v>
      </c>
      <c r="G65" s="126">
        <v>9.2532000000000003E-2</v>
      </c>
      <c r="H65" s="126">
        <v>0.76578099999999993</v>
      </c>
      <c r="I65" s="126">
        <v>0.122944</v>
      </c>
      <c r="J65" s="126">
        <v>0.21249500000000002</v>
      </c>
      <c r="K65" s="126">
        <v>0.120086</v>
      </c>
      <c r="L65" s="126">
        <v>8.4385000000000002E-2</v>
      </c>
      <c r="M65" s="133">
        <f>((L65/K65)-1)*100</f>
        <v>-29.729527172193258</v>
      </c>
      <c r="N65" s="43"/>
      <c r="O65" s="42"/>
      <c r="P65" s="42"/>
      <c r="Q65" s="43"/>
    </row>
    <row r="66" spans="2:17" s="35" customFormat="1" ht="11.25" customHeight="1">
      <c r="B66" s="37" t="s">
        <v>36</v>
      </c>
      <c r="C66" s="39">
        <v>217.53299999999999</v>
      </c>
      <c r="D66" s="39">
        <v>202.972893</v>
      </c>
      <c r="E66" s="39">
        <v>212.071911</v>
      </c>
      <c r="F66" s="39">
        <v>201.964935</v>
      </c>
      <c r="G66" s="39">
        <v>212.24515700000001</v>
      </c>
      <c r="H66" s="39">
        <v>204.02309000000002</v>
      </c>
      <c r="I66" s="39">
        <v>210.68093599999997</v>
      </c>
      <c r="J66" s="39">
        <v>202.86082999999999</v>
      </c>
      <c r="K66" s="39">
        <v>207.356224</v>
      </c>
      <c r="L66" s="39">
        <f>SUM(L64:L65)</f>
        <v>206.98428999999999</v>
      </c>
      <c r="M66" s="38">
        <f>((L66/K66)-1)*100</f>
        <v>-0.17936958574246153</v>
      </c>
      <c r="N66" s="43"/>
      <c r="O66" s="42"/>
      <c r="P66" s="42"/>
      <c r="Q66" s="43"/>
    </row>
    <row r="67" spans="2:17" s="35" customFormat="1" ht="11.25" customHeight="1">
      <c r="B67" s="51" t="s">
        <v>16</v>
      </c>
      <c r="C67" s="52">
        <v>217.535111</v>
      </c>
      <c r="D67" s="52">
        <v>202.972893</v>
      </c>
      <c r="E67" s="52">
        <v>212.071911</v>
      </c>
      <c r="F67" s="52">
        <v>201.96493500000003</v>
      </c>
      <c r="G67" s="52">
        <v>212.24515699999998</v>
      </c>
      <c r="H67" s="52">
        <v>204.02309000000002</v>
      </c>
      <c r="I67" s="52">
        <v>210.68093600000003</v>
      </c>
      <c r="J67" s="52">
        <v>202.86082999999996</v>
      </c>
      <c r="K67" s="52">
        <f>K66</f>
        <v>207.356224</v>
      </c>
      <c r="L67" s="52">
        <f t="shared" ref="L67:L68" si="10">L66</f>
        <v>206.98428999999999</v>
      </c>
      <c r="M67" s="53">
        <f>M66</f>
        <v>-0.17936958574246153</v>
      </c>
      <c r="N67" s="43"/>
      <c r="O67" s="42"/>
      <c r="P67" s="42"/>
      <c r="Q67" s="43"/>
    </row>
    <row r="68" spans="2:17" s="35" customFormat="1" ht="11.25" customHeight="1">
      <c r="B68" s="54" t="s">
        <v>18</v>
      </c>
      <c r="C68" s="55">
        <f>C67</f>
        <v>217.535111</v>
      </c>
      <c r="D68" s="55">
        <f t="shared" ref="D68:J68" si="11">D67</f>
        <v>202.972893</v>
      </c>
      <c r="E68" s="55">
        <f t="shared" si="11"/>
        <v>212.071911</v>
      </c>
      <c r="F68" s="55">
        <f t="shared" si="11"/>
        <v>201.96493500000003</v>
      </c>
      <c r="G68" s="55">
        <f t="shared" si="11"/>
        <v>212.24515699999998</v>
      </c>
      <c r="H68" s="55">
        <f t="shared" si="11"/>
        <v>204.02309000000002</v>
      </c>
      <c r="I68" s="55">
        <f t="shared" si="11"/>
        <v>210.68093600000003</v>
      </c>
      <c r="J68" s="55">
        <f t="shared" si="11"/>
        <v>202.86082999999996</v>
      </c>
      <c r="K68" s="55">
        <f t="shared" ref="K68" si="12">K67</f>
        <v>207.356224</v>
      </c>
      <c r="L68" s="55">
        <f t="shared" si="10"/>
        <v>206.98428999999999</v>
      </c>
      <c r="M68" s="56">
        <f>((L68/K68)-1)*100</f>
        <v>-0.17936958574246153</v>
      </c>
      <c r="N68" s="43"/>
      <c r="O68" s="42"/>
      <c r="P68" s="42"/>
      <c r="Q68" s="43"/>
    </row>
    <row r="69" spans="2:17" s="35" customFormat="1" ht="11.25" customHeight="1">
      <c r="B69" s="41"/>
      <c r="C69" s="42"/>
      <c r="D69" s="42"/>
      <c r="E69" s="43"/>
      <c r="F69" s="42"/>
      <c r="G69" s="42"/>
      <c r="H69" s="43"/>
      <c r="I69" s="42"/>
      <c r="J69" s="42"/>
      <c r="K69" s="43"/>
      <c r="L69" s="42"/>
      <c r="M69" s="42"/>
      <c r="N69" s="43"/>
      <c r="O69" s="42"/>
      <c r="P69" s="42"/>
      <c r="Q69" s="43"/>
    </row>
    <row r="70" spans="2:17" s="35" customFormat="1" ht="11.25" customHeight="1">
      <c r="B70" s="34" t="s">
        <v>96</v>
      </c>
      <c r="C70" s="42"/>
      <c r="D70" s="42"/>
      <c r="E70" s="43"/>
      <c r="F70" s="42"/>
      <c r="G70" s="42"/>
      <c r="H70" s="43"/>
      <c r="I70" s="42"/>
      <c r="J70" s="42"/>
      <c r="K70" s="43"/>
      <c r="L70" s="42"/>
      <c r="M70" s="42"/>
      <c r="N70" s="43"/>
      <c r="O70" s="42"/>
      <c r="P70" s="42"/>
      <c r="Q70" s="43"/>
    </row>
    <row r="71" spans="2:17" s="35" customFormat="1" ht="11.25" customHeight="1">
      <c r="B71" s="82"/>
      <c r="C71" s="83">
        <v>2010</v>
      </c>
      <c r="D71" s="83">
        <v>2011</v>
      </c>
      <c r="E71" s="83">
        <v>2012</v>
      </c>
      <c r="F71" s="83">
        <v>2013</v>
      </c>
      <c r="G71" s="83">
        <v>2014</v>
      </c>
      <c r="H71" s="83">
        <v>2015</v>
      </c>
      <c r="I71" s="83">
        <v>2016</v>
      </c>
      <c r="J71" s="83">
        <v>2017</v>
      </c>
      <c r="K71" s="83">
        <v>2018</v>
      </c>
      <c r="L71" s="83">
        <v>2019</v>
      </c>
      <c r="M71" s="122" t="s">
        <v>107</v>
      </c>
      <c r="N71" s="43"/>
      <c r="O71" s="42"/>
      <c r="P71" s="42"/>
      <c r="Q71" s="43"/>
    </row>
    <row r="72" spans="2:17" s="35" customFormat="1" ht="11.25" customHeight="1">
      <c r="B72" s="125" t="s">
        <v>33</v>
      </c>
      <c r="C72" s="126">
        <v>204.72200000000001</v>
      </c>
      <c r="D72" s="126">
        <v>207.23852499999998</v>
      </c>
      <c r="E72" s="126">
        <v>214.80020499999998</v>
      </c>
      <c r="F72" s="126">
        <v>201.45699900000002</v>
      </c>
      <c r="G72" s="126">
        <v>200.05045800000002</v>
      </c>
      <c r="H72" s="126">
        <v>203.917102</v>
      </c>
      <c r="I72" s="126">
        <v>198.250316</v>
      </c>
      <c r="J72" s="126">
        <v>200.31696400000001</v>
      </c>
      <c r="K72" s="126">
        <v>202.11366599999999</v>
      </c>
      <c r="L72" s="126">
        <v>200.16932700000001</v>
      </c>
      <c r="M72" s="133">
        <f t="shared" ref="M72:M77" si="13">((L72/K72)-1)*100</f>
        <v>-0.96200273760804755</v>
      </c>
      <c r="N72" s="43"/>
      <c r="O72" s="127"/>
      <c r="P72" s="42"/>
      <c r="Q72" s="43"/>
    </row>
    <row r="73" spans="2:17" s="35" customFormat="1" ht="11.25" customHeight="1">
      <c r="B73" s="125" t="s">
        <v>34</v>
      </c>
      <c r="C73" s="126">
        <v>0.499</v>
      </c>
      <c r="D73" s="126">
        <v>0.53390800000000005</v>
      </c>
      <c r="E73" s="126">
        <v>0.14022000000000001</v>
      </c>
      <c r="F73" s="126">
        <v>9.3681E-2</v>
      </c>
      <c r="G73" s="126">
        <v>0.76630999999999994</v>
      </c>
      <c r="H73" s="126">
        <v>0.6114980000000001</v>
      </c>
      <c r="I73" s="126">
        <v>0.255469</v>
      </c>
      <c r="J73" s="126">
        <v>7.7272999999999994E-2</v>
      </c>
      <c r="K73" s="126">
        <v>6.7100999999999994E-2</v>
      </c>
      <c r="L73" s="126">
        <v>2.0067999999999999E-2</v>
      </c>
      <c r="M73" s="133">
        <f t="shared" si="13"/>
        <v>-70.092845114081754</v>
      </c>
      <c r="N73" s="43"/>
      <c r="O73" s="42"/>
      <c r="P73" s="42"/>
      <c r="Q73" s="43"/>
    </row>
    <row r="74" spans="2:17" s="35" customFormat="1" ht="11.25" customHeight="1">
      <c r="B74" s="37" t="s">
        <v>36</v>
      </c>
      <c r="C74" s="39">
        <v>205.221</v>
      </c>
      <c r="D74" s="39">
        <v>207.77243299999998</v>
      </c>
      <c r="E74" s="39">
        <v>214.94042499999998</v>
      </c>
      <c r="F74" s="39">
        <v>201.55068000000003</v>
      </c>
      <c r="G74" s="39">
        <v>200.81676800000002</v>
      </c>
      <c r="H74" s="39">
        <v>204.52860000000001</v>
      </c>
      <c r="I74" s="39">
        <v>198.505785</v>
      </c>
      <c r="J74" s="39">
        <v>200.394237</v>
      </c>
      <c r="K74" s="39">
        <v>202.180767</v>
      </c>
      <c r="L74" s="39">
        <f>SUM(L72:L73)</f>
        <v>200.18939500000002</v>
      </c>
      <c r="M74" s="38">
        <f t="shared" si="13"/>
        <v>-0.98494630797398841</v>
      </c>
      <c r="N74" s="43"/>
      <c r="O74" s="42"/>
      <c r="P74" s="42"/>
      <c r="Q74" s="43"/>
    </row>
    <row r="75" spans="2:17" s="35" customFormat="1" ht="11.25" customHeight="1">
      <c r="B75" s="40" t="s">
        <v>11</v>
      </c>
      <c r="C75" s="39">
        <v>6.7000000000000004E-2</v>
      </c>
      <c r="D75" s="39">
        <v>7.1471999999999994E-2</v>
      </c>
      <c r="E75" s="39">
        <v>8.3114000000000007E-2</v>
      </c>
      <c r="F75" s="39">
        <v>8.2322999999999993E-2</v>
      </c>
      <c r="G75" s="39">
        <v>8.3833000000000005E-2</v>
      </c>
      <c r="H75" s="39">
        <v>7.9959999999999989E-2</v>
      </c>
      <c r="I75" s="39">
        <v>8.0100000000000088E-2</v>
      </c>
      <c r="J75" s="39">
        <v>7.6868999999999993E-2</v>
      </c>
      <c r="K75" s="39">
        <v>7.4611000000000011E-2</v>
      </c>
      <c r="L75" s="39">
        <v>7.1875999999999995E-2</v>
      </c>
      <c r="M75" s="38">
        <f t="shared" si="13"/>
        <v>-3.6656793234241758</v>
      </c>
      <c r="N75" s="43"/>
      <c r="O75" s="42"/>
      <c r="P75" s="42"/>
      <c r="Q75" s="43"/>
    </row>
    <row r="76" spans="2:17" s="35" customFormat="1" ht="11.25" customHeight="1">
      <c r="B76" s="22" t="s">
        <v>14</v>
      </c>
      <c r="C76" s="39">
        <v>4.0140000000000002</v>
      </c>
      <c r="D76" s="39">
        <v>3.5176105</v>
      </c>
      <c r="E76" s="39">
        <v>1.154479</v>
      </c>
      <c r="F76" s="39">
        <v>4.0188984999999997</v>
      </c>
      <c r="G76" s="39">
        <v>4.4491570000000005</v>
      </c>
      <c r="H76" s="39">
        <v>4.2964979999999997</v>
      </c>
      <c r="I76" s="39">
        <v>4.8500524999999897</v>
      </c>
      <c r="J76" s="39">
        <v>4.9769860000000001</v>
      </c>
      <c r="K76" s="39">
        <v>5.3468390000000001</v>
      </c>
      <c r="L76" s="39">
        <v>5.5136315000000007</v>
      </c>
      <c r="M76" s="38">
        <f t="shared" si="13"/>
        <v>3.119459927632029</v>
      </c>
      <c r="N76" s="43"/>
      <c r="O76" s="42"/>
      <c r="P76" s="42"/>
      <c r="Q76" s="43"/>
    </row>
    <row r="77" spans="2:17" s="35" customFormat="1" ht="11.25" customHeight="1">
      <c r="B77" s="22" t="s">
        <v>15</v>
      </c>
      <c r="C77" s="39">
        <v>4.0140000000000002</v>
      </c>
      <c r="D77" s="39">
        <v>3.5176105</v>
      </c>
      <c r="E77" s="39">
        <v>1.154479</v>
      </c>
      <c r="F77" s="39">
        <v>4.0188984999999997</v>
      </c>
      <c r="G77" s="39">
        <v>4.4491570000000005</v>
      </c>
      <c r="H77" s="39">
        <v>4.2964979999999997</v>
      </c>
      <c r="I77" s="39">
        <v>4.8500524999999897</v>
      </c>
      <c r="J77" s="39">
        <v>4.9769860000000001</v>
      </c>
      <c r="K77" s="39">
        <v>5.3468390000000001</v>
      </c>
      <c r="L77" s="39">
        <v>5.5136315000000007</v>
      </c>
      <c r="M77" s="38">
        <f t="shared" si="13"/>
        <v>3.119459927632029</v>
      </c>
      <c r="N77" s="43"/>
      <c r="O77" s="42"/>
      <c r="P77" s="42"/>
      <c r="Q77" s="43"/>
    </row>
    <row r="78" spans="2:17" s="35" customFormat="1" ht="11.25" customHeight="1">
      <c r="B78" s="22" t="s">
        <v>13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3"/>
      <c r="O78" s="42"/>
      <c r="P78" s="42"/>
      <c r="Q78" s="43"/>
    </row>
    <row r="79" spans="2:17" s="35" customFormat="1" ht="11.25" customHeight="1">
      <c r="B79" s="51" t="s">
        <v>16</v>
      </c>
      <c r="C79" s="52">
        <f>SUM(C74:C78)</f>
        <v>213.31600000000003</v>
      </c>
      <c r="D79" s="52">
        <f t="shared" ref="D79:L79" si="14">SUM(D74:D78)</f>
        <v>214.87912599999996</v>
      </c>
      <c r="E79" s="52">
        <f t="shared" si="14"/>
        <v>217.33249699999999</v>
      </c>
      <c r="F79" s="52">
        <f t="shared" si="14"/>
        <v>209.67080000000004</v>
      </c>
      <c r="G79" s="52">
        <f t="shared" si="14"/>
        <v>209.79891500000005</v>
      </c>
      <c r="H79" s="52">
        <f t="shared" si="14"/>
        <v>213.20155599999998</v>
      </c>
      <c r="I79" s="52">
        <f t="shared" si="14"/>
        <v>208.28598999999997</v>
      </c>
      <c r="J79" s="52">
        <f t="shared" si="14"/>
        <v>210.42507800000001</v>
      </c>
      <c r="K79" s="52">
        <f t="shared" si="14"/>
        <v>212.94905599999998</v>
      </c>
      <c r="L79" s="52">
        <f t="shared" si="14"/>
        <v>211.28853400000003</v>
      </c>
      <c r="M79" s="53">
        <f>((L79/K79)-1)*100</f>
        <v>-0.77977429493745198</v>
      </c>
      <c r="N79" s="43"/>
      <c r="O79" s="42"/>
      <c r="P79" s="42"/>
      <c r="Q79" s="43"/>
    </row>
    <row r="80" spans="2:17" s="35" customFormat="1" ht="11.25" customHeight="1">
      <c r="B80" s="54" t="s">
        <v>18</v>
      </c>
      <c r="C80" s="55">
        <f t="shared" ref="C80:J80" si="15">C79</f>
        <v>213.31600000000003</v>
      </c>
      <c r="D80" s="55">
        <f t="shared" si="15"/>
        <v>214.87912599999996</v>
      </c>
      <c r="E80" s="55">
        <f t="shared" si="15"/>
        <v>217.33249699999999</v>
      </c>
      <c r="F80" s="55">
        <f t="shared" si="15"/>
        <v>209.67080000000004</v>
      </c>
      <c r="G80" s="55">
        <f t="shared" si="15"/>
        <v>209.79891500000005</v>
      </c>
      <c r="H80" s="55">
        <f t="shared" si="15"/>
        <v>213.20155599999998</v>
      </c>
      <c r="I80" s="55">
        <f t="shared" si="15"/>
        <v>208.28598999999997</v>
      </c>
      <c r="J80" s="55">
        <f t="shared" si="15"/>
        <v>210.42507800000001</v>
      </c>
      <c r="K80" s="55">
        <f>K79</f>
        <v>212.94905599999998</v>
      </c>
      <c r="L80" s="55">
        <f>L79</f>
        <v>211.28853400000003</v>
      </c>
      <c r="M80" s="56">
        <f>((L80/K80)-1)*100</f>
        <v>-0.77977429493745198</v>
      </c>
      <c r="N80" s="43"/>
      <c r="O80" s="42"/>
      <c r="P80" s="42"/>
      <c r="Q80" s="43"/>
    </row>
    <row r="81" spans="2:17" s="35" customFormat="1" ht="11.25" customHeight="1">
      <c r="B81" s="41"/>
      <c r="C81" s="42"/>
      <c r="D81" s="42"/>
      <c r="E81" s="43"/>
      <c r="F81" s="42"/>
      <c r="G81" s="42"/>
      <c r="H81" s="43"/>
      <c r="I81" s="42"/>
      <c r="J81" s="42"/>
      <c r="K81" s="43"/>
      <c r="L81" s="42"/>
      <c r="M81" s="42"/>
      <c r="N81" s="43"/>
      <c r="O81" s="42"/>
      <c r="P81" s="42"/>
      <c r="Q81" s="43"/>
    </row>
    <row r="82" spans="2:17" s="35" customFormat="1" ht="11.25" customHeight="1">
      <c r="B82" s="34" t="s">
        <v>24</v>
      </c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3"/>
      <c r="O82" s="42"/>
      <c r="P82" s="42"/>
      <c r="Q82" s="43"/>
    </row>
    <row r="83" spans="2:17" s="35" customFormat="1" ht="11.25" customHeight="1">
      <c r="B83" s="82"/>
      <c r="C83" s="83">
        <v>2010</v>
      </c>
      <c r="D83" s="83">
        <v>2011</v>
      </c>
      <c r="E83" s="83">
        <v>2012</v>
      </c>
      <c r="F83" s="83">
        <v>2013</v>
      </c>
      <c r="G83" s="83">
        <v>2014</v>
      </c>
      <c r="H83" s="83">
        <v>2015</v>
      </c>
      <c r="I83" s="83">
        <v>2016</v>
      </c>
      <c r="J83" s="83">
        <v>2017</v>
      </c>
      <c r="K83" s="83">
        <v>2018</v>
      </c>
      <c r="L83" s="83">
        <v>2019</v>
      </c>
      <c r="M83" s="122" t="s">
        <v>107</v>
      </c>
      <c r="N83" s="43"/>
      <c r="O83" s="42"/>
      <c r="P83" s="42"/>
      <c r="Q83" s="43"/>
    </row>
    <row r="84" spans="2:17" s="35" customFormat="1" ht="11.25" customHeight="1">
      <c r="B84" s="22" t="s">
        <v>6</v>
      </c>
      <c r="C84" s="16">
        <f>SUM(C8,C47)</f>
        <v>41833.805999999997</v>
      </c>
      <c r="D84" s="16">
        <f t="shared" ref="D84:L84" si="16">SUM(D8,D47)</f>
        <v>30437.318171210001</v>
      </c>
      <c r="E84" s="16">
        <f t="shared" si="16"/>
        <v>20653.566634298</v>
      </c>
      <c r="F84" s="16">
        <f t="shared" si="16"/>
        <v>37385.436813940003</v>
      </c>
      <c r="G84" s="16">
        <f t="shared" si="16"/>
        <v>39181.985215203997</v>
      </c>
      <c r="H84" s="16">
        <f t="shared" si="16"/>
        <v>28382.579963850003</v>
      </c>
      <c r="I84" s="16">
        <f t="shared" si="16"/>
        <v>36114.888326772001</v>
      </c>
      <c r="J84" s="16">
        <f t="shared" si="16"/>
        <v>18450.61875066</v>
      </c>
      <c r="K84" s="16">
        <f t="shared" si="16"/>
        <v>34117.24134187201</v>
      </c>
      <c r="L84" s="16">
        <f t="shared" si="16"/>
        <v>23442.670816992861</v>
      </c>
      <c r="M84" s="15">
        <f t="shared" ref="M84:M101" si="17">((L84/K84)-1)*100</f>
        <v>-31.287906363573047</v>
      </c>
      <c r="N84" s="43"/>
      <c r="O84" s="42"/>
      <c r="P84" s="42"/>
      <c r="Q84" s="43"/>
    </row>
    <row r="85" spans="2:17" s="35" customFormat="1" ht="11.25" customHeight="1">
      <c r="B85" s="22" t="s">
        <v>25</v>
      </c>
      <c r="C85" s="16">
        <f>C9</f>
        <v>3120.4580000000001</v>
      </c>
      <c r="D85" s="16">
        <f t="shared" ref="D85:L85" si="18">D9</f>
        <v>2183.53623079</v>
      </c>
      <c r="E85" s="16">
        <f t="shared" si="18"/>
        <v>3201.889743702</v>
      </c>
      <c r="F85" s="16">
        <f t="shared" si="18"/>
        <v>3289.6771840599999</v>
      </c>
      <c r="G85" s="16">
        <f t="shared" si="18"/>
        <v>3415.996026796</v>
      </c>
      <c r="H85" s="16">
        <f t="shared" si="18"/>
        <v>2895.3657881499998</v>
      </c>
      <c r="I85" s="16">
        <f t="shared" si="18"/>
        <v>3134.328910228</v>
      </c>
      <c r="J85" s="16">
        <f t="shared" si="18"/>
        <v>2248.9644183400001</v>
      </c>
      <c r="K85" s="16">
        <f t="shared" si="18"/>
        <v>1993.996008694</v>
      </c>
      <c r="L85" s="16">
        <f t="shared" si="18"/>
        <v>1544.6993547299996</v>
      </c>
      <c r="M85" s="15">
        <f t="shared" si="17"/>
        <v>-22.532475090472946</v>
      </c>
      <c r="N85" s="43"/>
      <c r="O85" s="42"/>
      <c r="P85" s="42"/>
      <c r="Q85" s="43"/>
    </row>
    <row r="86" spans="2:17" s="35" customFormat="1" ht="11.25" customHeight="1">
      <c r="B86" s="22" t="s">
        <v>7</v>
      </c>
      <c r="C86" s="16">
        <f>C10</f>
        <v>59242.322</v>
      </c>
      <c r="D86" s="16">
        <f t="shared" ref="D86:L86" si="19">D10</f>
        <v>55005.874866999999</v>
      </c>
      <c r="E86" s="16">
        <f t="shared" si="19"/>
        <v>58595.438799000003</v>
      </c>
      <c r="F86" s="16">
        <f t="shared" si="19"/>
        <v>54210.788119000004</v>
      </c>
      <c r="G86" s="16">
        <f t="shared" si="19"/>
        <v>54781.281334999898</v>
      </c>
      <c r="H86" s="16">
        <f t="shared" si="19"/>
        <v>54661.803304999899</v>
      </c>
      <c r="I86" s="16">
        <f t="shared" si="19"/>
        <v>56021.682058999999</v>
      </c>
      <c r="J86" s="16">
        <f t="shared" si="19"/>
        <v>55539.351045999996</v>
      </c>
      <c r="K86" s="16">
        <f t="shared" si="19"/>
        <v>53197.617429999998</v>
      </c>
      <c r="L86" s="16">
        <f t="shared" si="19"/>
        <v>55298.166615190436</v>
      </c>
      <c r="M86" s="15">
        <f t="shared" si="17"/>
        <v>3.948577561682054</v>
      </c>
      <c r="N86" s="43"/>
      <c r="O86" s="42"/>
      <c r="P86" s="42"/>
      <c r="Q86" s="43"/>
    </row>
    <row r="87" spans="2:17" s="35" customFormat="1" ht="11.25" customHeight="1">
      <c r="B87" s="22" t="s">
        <v>8</v>
      </c>
      <c r="C87" s="16">
        <f>SUM(C11,C29)</f>
        <v>23700.613000000001</v>
      </c>
      <c r="D87" s="16">
        <f t="shared" ref="D87:L87" si="20">SUM(D11,D29)</f>
        <v>43177.464376999997</v>
      </c>
      <c r="E87" s="16">
        <f t="shared" si="20"/>
        <v>53779.891172999996</v>
      </c>
      <c r="F87" s="16">
        <f t="shared" si="20"/>
        <v>39441.537715999999</v>
      </c>
      <c r="G87" s="16">
        <f t="shared" si="20"/>
        <v>43246.056496999998</v>
      </c>
      <c r="H87" s="16">
        <f t="shared" si="20"/>
        <v>52616.477597999998</v>
      </c>
      <c r="I87" s="16">
        <f t="shared" si="20"/>
        <v>37313.777751000001</v>
      </c>
      <c r="J87" s="16">
        <f t="shared" si="20"/>
        <v>45019.420393000008</v>
      </c>
      <c r="K87" s="16">
        <f t="shared" si="20"/>
        <v>37276.805715999995</v>
      </c>
      <c r="L87" s="16">
        <f t="shared" si="20"/>
        <v>13116.620191491662</v>
      </c>
      <c r="M87" s="15">
        <f t="shared" si="17"/>
        <v>-64.812918007452197</v>
      </c>
      <c r="N87" s="43"/>
      <c r="O87" s="42"/>
      <c r="P87" s="42"/>
      <c r="Q87" s="43"/>
    </row>
    <row r="88" spans="2:17" s="35" customFormat="1" ht="11.25" customHeight="1">
      <c r="B88" s="22" t="s">
        <v>27</v>
      </c>
      <c r="C88" s="16">
        <f t="shared" ref="C88:L88" si="21">SUM(C12,C32,C34,C51,C53,C1099,C66,C74)</f>
        <v>8821.7439999999988</v>
      </c>
      <c r="D88" s="16">
        <f t="shared" si="21"/>
        <v>7007.9228750000002</v>
      </c>
      <c r="E88" s="16">
        <f t="shared" si="21"/>
        <v>7094.5555100000001</v>
      </c>
      <c r="F88" s="16">
        <f t="shared" si="21"/>
        <v>6563.7810100000006</v>
      </c>
      <c r="G88" s="16">
        <f t="shared" si="21"/>
        <v>6244.3260209999999</v>
      </c>
      <c r="H88" s="16">
        <f t="shared" si="21"/>
        <v>6483.8134280000004</v>
      </c>
      <c r="I88" s="16">
        <f t="shared" si="21"/>
        <v>6754.6440300000004</v>
      </c>
      <c r="J88" s="16">
        <f t="shared" si="21"/>
        <v>7001.5774490000003</v>
      </c>
      <c r="K88" s="16">
        <f t="shared" si="21"/>
        <v>6682.8904479999992</v>
      </c>
      <c r="L88" s="16">
        <f t="shared" si="21"/>
        <v>5737.7184230624234</v>
      </c>
      <c r="M88" s="15">
        <f t="shared" si="17"/>
        <v>-14.143162038821677</v>
      </c>
      <c r="N88" s="43"/>
      <c r="O88" s="42"/>
      <c r="P88" s="42"/>
      <c r="Q88" s="43"/>
    </row>
    <row r="89" spans="2:17" s="35" customFormat="1" ht="11.25" customHeight="1">
      <c r="B89" s="22" t="s">
        <v>28</v>
      </c>
      <c r="C89" s="16">
        <f>SUM(C13,C33,C52)</f>
        <v>66798.985000000001</v>
      </c>
      <c r="D89" s="16">
        <f t="shared" ref="D89:L89" si="22">SUM(D13,D33,D52)</f>
        <v>53430.948742</v>
      </c>
      <c r="E89" s="16">
        <f t="shared" si="22"/>
        <v>41074.444721</v>
      </c>
      <c r="F89" s="16">
        <f t="shared" si="22"/>
        <v>27569.900639</v>
      </c>
      <c r="G89" s="16">
        <f t="shared" si="22"/>
        <v>24828.833996999998</v>
      </c>
      <c r="H89" s="16">
        <f t="shared" si="22"/>
        <v>29027.289334999998</v>
      </c>
      <c r="I89" s="16">
        <f t="shared" si="22"/>
        <v>29006.482094000003</v>
      </c>
      <c r="J89" s="16">
        <f t="shared" si="22"/>
        <v>37065.787082999996</v>
      </c>
      <c r="K89" s="16">
        <f t="shared" si="22"/>
        <v>30044.467194999997</v>
      </c>
      <c r="L89" s="16">
        <f t="shared" si="22"/>
        <v>57206.490811933494</v>
      </c>
      <c r="M89" s="15">
        <f t="shared" si="17"/>
        <v>90.406075237219724</v>
      </c>
      <c r="N89" s="43"/>
      <c r="O89" s="42"/>
      <c r="P89" s="42"/>
      <c r="Q89" s="43"/>
    </row>
    <row r="90" spans="2:17" s="35" customFormat="1" ht="11.25" customHeight="1">
      <c r="B90" s="22" t="s">
        <v>9</v>
      </c>
      <c r="C90" s="16">
        <f>C54</f>
        <v>0</v>
      </c>
      <c r="D90" s="16">
        <f t="shared" ref="D90:L90" si="23">D54</f>
        <v>0</v>
      </c>
      <c r="E90" s="16">
        <f t="shared" si="23"/>
        <v>0</v>
      </c>
      <c r="F90" s="16">
        <f t="shared" si="23"/>
        <v>0</v>
      </c>
      <c r="G90" s="16">
        <f t="shared" si="23"/>
        <v>0.88927699999999898</v>
      </c>
      <c r="H90" s="16">
        <f t="shared" si="23"/>
        <v>8.2074240000000014</v>
      </c>
      <c r="I90" s="16">
        <f t="shared" si="23"/>
        <v>17.891936000000001</v>
      </c>
      <c r="J90" s="16">
        <f t="shared" si="23"/>
        <v>20.233057000000002</v>
      </c>
      <c r="K90" s="16">
        <f t="shared" si="23"/>
        <v>23.655544000000003</v>
      </c>
      <c r="L90" s="16">
        <f t="shared" si="23"/>
        <v>24.108849083928597</v>
      </c>
      <c r="M90" s="15">
        <f t="shared" si="17"/>
        <v>1.916274188953726</v>
      </c>
      <c r="N90" s="43"/>
      <c r="O90" s="42"/>
      <c r="P90" s="42"/>
      <c r="Q90" s="43"/>
    </row>
    <row r="91" spans="2:17" s="35" customFormat="1" ht="11.25" customHeight="1">
      <c r="B91" s="22" t="s">
        <v>10</v>
      </c>
      <c r="C91" s="16">
        <f>SUM(C14,C35,C55)</f>
        <v>43545.351000000002</v>
      </c>
      <c r="D91" s="16">
        <f t="shared" ref="D91:L91" si="24">SUM(D14,D35,D55)</f>
        <v>42477.2507690001</v>
      </c>
      <c r="E91" s="16">
        <f t="shared" si="24"/>
        <v>48524.529970999996</v>
      </c>
      <c r="F91" s="16">
        <f t="shared" si="24"/>
        <v>54713.393734999991</v>
      </c>
      <c r="G91" s="16">
        <f t="shared" si="24"/>
        <v>51032.030848000002</v>
      </c>
      <c r="H91" s="16">
        <f t="shared" si="24"/>
        <v>48117.887516000003</v>
      </c>
      <c r="I91" s="16">
        <f t="shared" si="24"/>
        <v>47696.660309000006</v>
      </c>
      <c r="J91" s="16">
        <f t="shared" si="24"/>
        <v>47906.955560999995</v>
      </c>
      <c r="K91" s="16">
        <f t="shared" si="24"/>
        <v>49581.488866</v>
      </c>
      <c r="L91" s="16">
        <f t="shared" si="24"/>
        <v>53846.008902917842</v>
      </c>
      <c r="M91" s="15">
        <f t="shared" si="17"/>
        <v>8.6010326322455199</v>
      </c>
      <c r="N91" s="43"/>
      <c r="O91" s="42"/>
      <c r="P91" s="42"/>
      <c r="Q91" s="43"/>
    </row>
    <row r="92" spans="2:17" s="35" customFormat="1" ht="11.25" customHeight="1">
      <c r="B92" s="22" t="s">
        <v>11</v>
      </c>
      <c r="C92" s="16">
        <f>SUM(C15,C36,C56,C75)</f>
        <v>6422.79</v>
      </c>
      <c r="D92" s="16">
        <f t="shared" ref="D92:L92" si="25">SUM(D15,D36,D56,D75)</f>
        <v>7440.7523799999999</v>
      </c>
      <c r="E92" s="16">
        <f t="shared" si="25"/>
        <v>8202.259145</v>
      </c>
      <c r="F92" s="16">
        <f t="shared" si="25"/>
        <v>8327.2745960000011</v>
      </c>
      <c r="G92" s="16">
        <f t="shared" si="25"/>
        <v>8207.9261310000111</v>
      </c>
      <c r="H92" s="16">
        <f t="shared" si="25"/>
        <v>8243.5609049999985</v>
      </c>
      <c r="I92" s="16">
        <f t="shared" si="25"/>
        <v>7977.4671850000004</v>
      </c>
      <c r="J92" s="16">
        <f t="shared" si="25"/>
        <v>8397.7526929999894</v>
      </c>
      <c r="K92" s="16">
        <f t="shared" si="25"/>
        <v>7766.1784250000101</v>
      </c>
      <c r="L92" s="16">
        <f t="shared" si="25"/>
        <v>9220.3178351048555</v>
      </c>
      <c r="M92" s="15">
        <f t="shared" si="17"/>
        <v>18.724002083493762</v>
      </c>
      <c r="N92" s="43"/>
      <c r="O92" s="42"/>
      <c r="P92" s="42"/>
      <c r="Q92" s="43"/>
    </row>
    <row r="93" spans="2:17" s="35" customFormat="1" ht="11.25" customHeight="1">
      <c r="B93" s="22" t="s">
        <v>12</v>
      </c>
      <c r="C93" s="16">
        <f>C16</f>
        <v>691.62099999999998</v>
      </c>
      <c r="D93" s="16">
        <f t="shared" ref="D93:L93" si="26">D16</f>
        <v>1861.6415490000002</v>
      </c>
      <c r="E93" s="16">
        <f t="shared" si="26"/>
        <v>3447.4936120000002</v>
      </c>
      <c r="F93" s="16">
        <f t="shared" si="26"/>
        <v>4441.5275350000102</v>
      </c>
      <c r="G93" s="16">
        <f t="shared" si="26"/>
        <v>4958.9149260000004</v>
      </c>
      <c r="H93" s="16">
        <f t="shared" si="26"/>
        <v>5085.2355140000009</v>
      </c>
      <c r="I93" s="16">
        <f t="shared" si="26"/>
        <v>5071.2017019999994</v>
      </c>
      <c r="J93" s="16">
        <f t="shared" si="26"/>
        <v>5347.9524650000003</v>
      </c>
      <c r="K93" s="16">
        <f t="shared" si="26"/>
        <v>4424.3266739999999</v>
      </c>
      <c r="L93" s="16">
        <f t="shared" si="26"/>
        <v>5227.8869299479984</v>
      </c>
      <c r="M93" s="15">
        <f t="shared" si="17"/>
        <v>18.162317458839581</v>
      </c>
      <c r="N93" s="43"/>
      <c r="O93" s="42"/>
      <c r="P93" s="42"/>
      <c r="Q93" s="43"/>
    </row>
    <row r="94" spans="2:17" s="35" customFormat="1" ht="11.25" customHeight="1">
      <c r="B94" s="22" t="s">
        <v>29</v>
      </c>
      <c r="C94" s="16">
        <f>SUM(C17,C37,C57)</f>
        <v>2459.0480000000002</v>
      </c>
      <c r="D94" s="16">
        <f t="shared" ref="D94:L94" si="27">SUM(D17,D37,D57)</f>
        <v>3714.0342680000003</v>
      </c>
      <c r="E94" s="16">
        <f t="shared" si="27"/>
        <v>3791.083419</v>
      </c>
      <c r="F94" s="16">
        <f t="shared" si="27"/>
        <v>4334.2854390000002</v>
      </c>
      <c r="G94" s="16">
        <f t="shared" si="27"/>
        <v>3816.3157169999999</v>
      </c>
      <c r="H94" s="16">
        <f t="shared" si="27"/>
        <v>3432.5919209999997</v>
      </c>
      <c r="I94" s="16">
        <f t="shared" si="27"/>
        <v>3425.6648279999999</v>
      </c>
      <c r="J94" s="16">
        <f t="shared" si="27"/>
        <v>3610.347882</v>
      </c>
      <c r="K94" s="16">
        <f t="shared" si="27"/>
        <v>3557.4391100000003</v>
      </c>
      <c r="L94" s="16">
        <f t="shared" si="27"/>
        <v>3648.9561954039023</v>
      </c>
      <c r="M94" s="15">
        <f t="shared" si="17"/>
        <v>2.572555216662642</v>
      </c>
      <c r="N94" s="43"/>
      <c r="O94" s="42"/>
      <c r="P94" s="42"/>
      <c r="Q94" s="43"/>
    </row>
    <row r="95" spans="2:17" s="35" customFormat="1" ht="11.25" customHeight="1">
      <c r="B95" s="22" t="s">
        <v>13</v>
      </c>
      <c r="C95" s="16">
        <f>SUM(C18,C38,C58,C78)</f>
        <v>28110.746000000003</v>
      </c>
      <c r="D95" s="16">
        <f t="shared" ref="D95:L95" si="28">SUM(D18,D38,D58,D78)</f>
        <v>30593.251724000002</v>
      </c>
      <c r="E95" s="16">
        <f t="shared" si="28"/>
        <v>32444.285102999998</v>
      </c>
      <c r="F95" s="16">
        <f t="shared" si="28"/>
        <v>30835.664589</v>
      </c>
      <c r="G95" s="16">
        <f t="shared" si="28"/>
        <v>24153.243881999999</v>
      </c>
      <c r="H95" s="16">
        <f t="shared" si="28"/>
        <v>25200.877766000001</v>
      </c>
      <c r="I95" s="16">
        <f t="shared" si="28"/>
        <v>25908.643558999996</v>
      </c>
      <c r="J95" s="16">
        <f t="shared" si="28"/>
        <v>28211.806703000002</v>
      </c>
      <c r="K95" s="16">
        <f t="shared" si="28"/>
        <v>29006.757239999999</v>
      </c>
      <c r="L95" s="16">
        <f t="shared" si="28"/>
        <v>29556.018998703788</v>
      </c>
      <c r="M95" s="15">
        <f t="shared" si="17"/>
        <v>1.8935648482153011</v>
      </c>
      <c r="N95" s="43"/>
      <c r="O95" s="42"/>
      <c r="P95" s="42"/>
      <c r="Q95" s="43"/>
    </row>
    <row r="96" spans="2:17" s="35" customFormat="1" ht="11.25" customHeight="1">
      <c r="B96" s="22" t="s">
        <v>14</v>
      </c>
      <c r="C96" s="16">
        <f>SUM(C19,C39,C76)</f>
        <v>2970.77</v>
      </c>
      <c r="D96" s="16">
        <f t="shared" ref="D96:L96" si="29">SUM(D19,D39,D76)</f>
        <v>1287.7704799999999</v>
      </c>
      <c r="E96" s="16">
        <f t="shared" si="29"/>
        <v>1589.415894</v>
      </c>
      <c r="F96" s="16">
        <f t="shared" si="29"/>
        <v>1617.2360285</v>
      </c>
      <c r="G96" s="16">
        <f t="shared" si="29"/>
        <v>1965.8770434999999</v>
      </c>
      <c r="H96" s="16">
        <f t="shared" si="29"/>
        <v>2480.1089684999997</v>
      </c>
      <c r="I96" s="16">
        <f t="shared" si="29"/>
        <v>2606.9637645000003</v>
      </c>
      <c r="J96" s="16">
        <f t="shared" si="29"/>
        <v>2607.9845150000001</v>
      </c>
      <c r="K96" s="16">
        <f t="shared" si="29"/>
        <v>2434.9627860000001</v>
      </c>
      <c r="L96" s="16">
        <f t="shared" si="29"/>
        <v>2252.5349570496282</v>
      </c>
      <c r="M96" s="15">
        <f t="shared" si="17"/>
        <v>-7.492017126473316</v>
      </c>
      <c r="N96" s="43"/>
      <c r="O96" s="42"/>
      <c r="P96" s="42"/>
      <c r="Q96" s="43"/>
    </row>
    <row r="97" spans="2:17" s="35" customFormat="1" ht="11.25" customHeight="1">
      <c r="B97" s="22" t="s">
        <v>15</v>
      </c>
      <c r="C97" s="16">
        <f>SUM(C20,C40,C77)</f>
        <v>808.54300000000001</v>
      </c>
      <c r="D97" s="16">
        <f t="shared" ref="D97:L97" si="30">SUM(D20,D40,D77)</f>
        <v>736.055744</v>
      </c>
      <c r="E97" s="16">
        <f t="shared" si="30"/>
        <v>719.78999699999997</v>
      </c>
      <c r="F97" s="16">
        <f t="shared" si="30"/>
        <v>555.73950250000007</v>
      </c>
      <c r="G97" s="16">
        <f t="shared" si="30"/>
        <v>678.0715725</v>
      </c>
      <c r="H97" s="16">
        <f t="shared" si="30"/>
        <v>818.04970250000008</v>
      </c>
      <c r="I97" s="16">
        <f t="shared" si="30"/>
        <v>785.39502949999996</v>
      </c>
      <c r="J97" s="16">
        <f t="shared" si="30"/>
        <v>877.00608699999987</v>
      </c>
      <c r="K97" s="16">
        <f t="shared" si="30"/>
        <v>874.075245</v>
      </c>
      <c r="L97" s="16">
        <f t="shared" si="30"/>
        <v>897.60283504962831</v>
      </c>
      <c r="M97" s="15">
        <f t="shared" si="17"/>
        <v>2.6917122048947029</v>
      </c>
      <c r="N97" s="43"/>
      <c r="O97" s="42"/>
      <c r="P97" s="42"/>
      <c r="Q97" s="43"/>
    </row>
    <row r="98" spans="2:17" s="35" customFormat="1" ht="11.25" customHeight="1">
      <c r="B98" s="51" t="s">
        <v>16</v>
      </c>
      <c r="C98" s="52">
        <f>SUM(C84:C97)</f>
        <v>288526.79700000008</v>
      </c>
      <c r="D98" s="52">
        <f t="shared" ref="D98:L98" si="31">SUM(D84:D97)</f>
        <v>279353.82217700005</v>
      </c>
      <c r="E98" s="52">
        <f t="shared" si="31"/>
        <v>283118.64372199995</v>
      </c>
      <c r="F98" s="52">
        <f t="shared" si="31"/>
        <v>273286.24290700001</v>
      </c>
      <c r="G98" s="52">
        <f t="shared" si="31"/>
        <v>266511.7484889999</v>
      </c>
      <c r="H98" s="52">
        <f t="shared" si="31"/>
        <v>267453.84913499985</v>
      </c>
      <c r="I98" s="52">
        <f t="shared" si="31"/>
        <v>261835.69148399998</v>
      </c>
      <c r="J98" s="52">
        <f t="shared" si="31"/>
        <v>262305.758103</v>
      </c>
      <c r="K98" s="52">
        <f t="shared" si="31"/>
        <v>260981.90202956606</v>
      </c>
      <c r="L98" s="52">
        <f t="shared" si="31"/>
        <v>261019.80171666245</v>
      </c>
      <c r="M98" s="53">
        <f t="shared" si="17"/>
        <v>1.452195987601268E-2</v>
      </c>
      <c r="N98" s="43"/>
      <c r="O98" s="42"/>
      <c r="P98" s="42"/>
      <c r="Q98" s="43"/>
    </row>
    <row r="99" spans="2:17" s="35" customFormat="1" ht="11.25" customHeight="1">
      <c r="B99" s="37" t="s">
        <v>17</v>
      </c>
      <c r="C99" s="16">
        <f>C22</f>
        <v>-4457.7809999999999</v>
      </c>
      <c r="D99" s="16">
        <f t="shared" ref="D99:L99" si="32">D22</f>
        <v>-3241.4938166299999</v>
      </c>
      <c r="E99" s="16">
        <f t="shared" si="32"/>
        <v>-5059.130999598</v>
      </c>
      <c r="F99" s="16">
        <f t="shared" si="32"/>
        <v>-5955.7760918140102</v>
      </c>
      <c r="G99" s="16">
        <f t="shared" si="32"/>
        <v>-5385.7688595580003</v>
      </c>
      <c r="H99" s="16">
        <f t="shared" si="32"/>
        <v>-4512.2514306060002</v>
      </c>
      <c r="I99" s="16">
        <f t="shared" si="32"/>
        <v>-4827.5850676680002</v>
      </c>
      <c r="J99" s="16">
        <f t="shared" si="32"/>
        <v>-3607.5809876580001</v>
      </c>
      <c r="K99" s="16">
        <f t="shared" si="32"/>
        <v>-3198.4323789730001</v>
      </c>
      <c r="L99" s="16">
        <f t="shared" si="32"/>
        <v>-2714.6767992939999</v>
      </c>
      <c r="M99" s="15">
        <f t="shared" si="17"/>
        <v>-15.124771211649989</v>
      </c>
      <c r="N99" s="43"/>
      <c r="O99" s="42"/>
      <c r="P99" s="42"/>
      <c r="Q99" s="43"/>
    </row>
    <row r="100" spans="2:17" s="35" customFormat="1" ht="11.25" customHeight="1">
      <c r="B100" s="37" t="s">
        <v>31</v>
      </c>
      <c r="C100" s="16">
        <f>C24</f>
        <v>-8332.6820000000007</v>
      </c>
      <c r="D100" s="16">
        <f t="shared" ref="D100:L100" si="33">D24</f>
        <v>-6090.1263339999996</v>
      </c>
      <c r="E100" s="16">
        <f t="shared" si="33"/>
        <v>-11199.953591</v>
      </c>
      <c r="F100" s="16">
        <f t="shared" si="33"/>
        <v>-6732.1324500000001</v>
      </c>
      <c r="G100" s="16">
        <f t="shared" si="33"/>
        <v>-3406.1240240000002</v>
      </c>
      <c r="H100" s="16">
        <f t="shared" si="33"/>
        <v>-133.163163</v>
      </c>
      <c r="I100" s="16">
        <f t="shared" si="33"/>
        <v>7658.0436909999999</v>
      </c>
      <c r="J100" s="16">
        <f t="shared" si="33"/>
        <v>9168.9935229999901</v>
      </c>
      <c r="K100" s="16">
        <f t="shared" si="33"/>
        <v>11102.311146</v>
      </c>
      <c r="L100" s="16">
        <f t="shared" si="33"/>
        <v>6538.3629916396803</v>
      </c>
      <c r="M100" s="15">
        <f t="shared" si="17"/>
        <v>-41.108090868131029</v>
      </c>
      <c r="N100" s="43"/>
      <c r="O100" s="42"/>
      <c r="P100" s="42"/>
      <c r="Q100" s="43"/>
    </row>
    <row r="101" spans="2:17" s="35" customFormat="1" ht="11.25" customHeight="1">
      <c r="B101" s="54" t="s">
        <v>18</v>
      </c>
      <c r="C101" s="55">
        <f>SUM(C98:C100)</f>
        <v>275736.33400000003</v>
      </c>
      <c r="D101" s="55">
        <f t="shared" ref="D101:L101" si="34">SUM(D98:D100)</f>
        <v>270022.2020263701</v>
      </c>
      <c r="E101" s="55">
        <f t="shared" si="34"/>
        <v>266859.55913140194</v>
      </c>
      <c r="F101" s="55">
        <f t="shared" si="34"/>
        <v>260598.33436518602</v>
      </c>
      <c r="G101" s="55">
        <f t="shared" si="34"/>
        <v>257719.8556054419</v>
      </c>
      <c r="H101" s="55">
        <f t="shared" si="34"/>
        <v>262808.43454139383</v>
      </c>
      <c r="I101" s="55">
        <f t="shared" si="34"/>
        <v>264666.15010733198</v>
      </c>
      <c r="J101" s="55">
        <f t="shared" si="34"/>
        <v>267867.17063834198</v>
      </c>
      <c r="K101" s="55">
        <f t="shared" si="34"/>
        <v>268885.78079659306</v>
      </c>
      <c r="L101" s="55">
        <f t="shared" si="34"/>
        <v>264843.48790900817</v>
      </c>
      <c r="M101" s="56">
        <f t="shared" si="17"/>
        <v>-1.5033494428784211</v>
      </c>
      <c r="N101" s="43"/>
      <c r="O101" s="42"/>
      <c r="P101" s="42"/>
      <c r="Q101" s="43"/>
    </row>
    <row r="102" spans="2:17" s="35" customFormat="1" ht="11.25" customHeight="1">
      <c r="B102" s="41"/>
      <c r="C102" s="42"/>
      <c r="D102" s="42"/>
      <c r="E102" s="43"/>
      <c r="F102" s="42"/>
      <c r="G102" s="42"/>
      <c r="H102" s="43"/>
      <c r="I102" s="42"/>
      <c r="J102" s="42"/>
      <c r="K102" s="43"/>
      <c r="L102" s="42"/>
      <c r="M102" s="42"/>
      <c r="N102" s="43"/>
      <c r="O102" s="42"/>
      <c r="P102" s="42"/>
      <c r="Q102" s="43"/>
    </row>
    <row r="103" spans="2:17" s="35" customFormat="1" ht="11.25" customHeight="1">
      <c r="B103" s="34" t="s">
        <v>125</v>
      </c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3"/>
      <c r="O103" s="42"/>
      <c r="P103" s="42"/>
      <c r="Q103" s="43"/>
    </row>
    <row r="104" spans="2:17" s="35" customFormat="1" ht="11.25" customHeight="1">
      <c r="B104" s="82"/>
      <c r="C104" s="83">
        <v>2010</v>
      </c>
      <c r="D104" s="83">
        <v>2011</v>
      </c>
      <c r="E104" s="83">
        <v>2012</v>
      </c>
      <c r="F104" s="83">
        <v>2013</v>
      </c>
      <c r="G104" s="83">
        <v>2014</v>
      </c>
      <c r="H104" s="83">
        <v>2015</v>
      </c>
      <c r="I104" s="83">
        <v>2016</v>
      </c>
      <c r="J104" s="83">
        <v>2017</v>
      </c>
      <c r="K104" s="83">
        <v>2018</v>
      </c>
      <c r="L104" s="83">
        <v>2019</v>
      </c>
      <c r="M104" s="122" t="s">
        <v>107</v>
      </c>
      <c r="N104" s="43"/>
      <c r="O104" s="42"/>
      <c r="P104" s="42"/>
      <c r="Q104" s="43"/>
    </row>
    <row r="105" spans="2:17" s="35" customFormat="1" ht="11.25" customHeight="1">
      <c r="B105" s="22" t="s">
        <v>6</v>
      </c>
      <c r="C105" s="16">
        <f>C84</f>
        <v>41833.805999999997</v>
      </c>
      <c r="D105" s="16">
        <f t="shared" ref="D105:L105" si="35">D84</f>
        <v>30437.318171210001</v>
      </c>
      <c r="E105" s="16">
        <f t="shared" si="35"/>
        <v>20653.566634298</v>
      </c>
      <c r="F105" s="16">
        <f t="shared" si="35"/>
        <v>37385.436813940003</v>
      </c>
      <c r="G105" s="16">
        <f t="shared" si="35"/>
        <v>39181.985215203997</v>
      </c>
      <c r="H105" s="16">
        <f t="shared" si="35"/>
        <v>28382.579963850003</v>
      </c>
      <c r="I105" s="16">
        <f t="shared" si="35"/>
        <v>36114.888326772001</v>
      </c>
      <c r="J105" s="16">
        <f t="shared" si="35"/>
        <v>18450.61875066</v>
      </c>
      <c r="K105" s="16">
        <f t="shared" si="35"/>
        <v>34117.24134187201</v>
      </c>
      <c r="L105" s="16">
        <f t="shared" si="35"/>
        <v>23442.670816992861</v>
      </c>
      <c r="M105" s="15">
        <f t="shared" ref="M105:M118" si="36">((L105/K105)-1)*100</f>
        <v>-31.287906363573047</v>
      </c>
      <c r="N105" s="43"/>
      <c r="O105" s="42"/>
      <c r="P105" s="42"/>
      <c r="Q105" s="43"/>
    </row>
    <row r="106" spans="2:17" s="35" customFormat="1" ht="11.25" customHeight="1">
      <c r="B106" s="22" t="s">
        <v>25</v>
      </c>
      <c r="C106" s="16">
        <f t="shared" ref="C106:L118" si="37">C85</f>
        <v>3120.4580000000001</v>
      </c>
      <c r="D106" s="16">
        <f t="shared" si="37"/>
        <v>2183.53623079</v>
      </c>
      <c r="E106" s="16">
        <f t="shared" si="37"/>
        <v>3201.889743702</v>
      </c>
      <c r="F106" s="16">
        <f t="shared" si="37"/>
        <v>3289.6771840599999</v>
      </c>
      <c r="G106" s="16">
        <f t="shared" si="37"/>
        <v>3415.996026796</v>
      </c>
      <c r="H106" s="16">
        <f t="shared" si="37"/>
        <v>2895.3657881499998</v>
      </c>
      <c r="I106" s="16">
        <f t="shared" si="37"/>
        <v>3134.328910228</v>
      </c>
      <c r="J106" s="16">
        <f t="shared" si="37"/>
        <v>2248.9644183400001</v>
      </c>
      <c r="K106" s="16">
        <f t="shared" si="37"/>
        <v>1993.996008694</v>
      </c>
      <c r="L106" s="16">
        <f t="shared" si="37"/>
        <v>1544.6993547299996</v>
      </c>
      <c r="M106" s="15">
        <f t="shared" si="36"/>
        <v>-22.532475090472946</v>
      </c>
      <c r="N106" s="43"/>
      <c r="O106" s="42"/>
      <c r="P106" s="42"/>
      <c r="Q106" s="43"/>
    </row>
    <row r="107" spans="2:17" s="35" customFormat="1" ht="11.25" customHeight="1">
      <c r="B107" s="22" t="s">
        <v>7</v>
      </c>
      <c r="C107" s="16">
        <f t="shared" si="37"/>
        <v>59242.322</v>
      </c>
      <c r="D107" s="16">
        <f t="shared" si="37"/>
        <v>55005.874866999999</v>
      </c>
      <c r="E107" s="16">
        <f t="shared" si="37"/>
        <v>58595.438799000003</v>
      </c>
      <c r="F107" s="16">
        <f t="shared" si="37"/>
        <v>54210.788119000004</v>
      </c>
      <c r="G107" s="16">
        <f t="shared" si="37"/>
        <v>54781.281334999898</v>
      </c>
      <c r="H107" s="16">
        <f t="shared" si="37"/>
        <v>54661.803304999899</v>
      </c>
      <c r="I107" s="16">
        <f t="shared" si="37"/>
        <v>56021.682058999999</v>
      </c>
      <c r="J107" s="16">
        <f t="shared" si="37"/>
        <v>55539.351045999996</v>
      </c>
      <c r="K107" s="16">
        <f t="shared" si="37"/>
        <v>53197.617429999998</v>
      </c>
      <c r="L107" s="16">
        <f t="shared" si="37"/>
        <v>55298.166615190436</v>
      </c>
      <c r="M107" s="15">
        <f t="shared" si="36"/>
        <v>3.948577561682054</v>
      </c>
      <c r="N107" s="43"/>
      <c r="O107" s="42"/>
      <c r="P107" s="42"/>
      <c r="Q107" s="43"/>
    </row>
    <row r="108" spans="2:17" s="35" customFormat="1" ht="11.25" customHeight="1">
      <c r="B108" s="22" t="s">
        <v>8</v>
      </c>
      <c r="C108" s="16">
        <f t="shared" si="37"/>
        <v>23700.613000000001</v>
      </c>
      <c r="D108" s="16">
        <f t="shared" si="37"/>
        <v>43177.464376999997</v>
      </c>
      <c r="E108" s="16">
        <f t="shared" si="37"/>
        <v>53779.891172999996</v>
      </c>
      <c r="F108" s="16">
        <f t="shared" si="37"/>
        <v>39441.537715999999</v>
      </c>
      <c r="G108" s="16">
        <f t="shared" si="37"/>
        <v>43246.056496999998</v>
      </c>
      <c r="H108" s="16">
        <f t="shared" si="37"/>
        <v>52616.477597999998</v>
      </c>
      <c r="I108" s="16">
        <f t="shared" si="37"/>
        <v>37313.777751000001</v>
      </c>
      <c r="J108" s="16">
        <f t="shared" si="37"/>
        <v>45019.420393000008</v>
      </c>
      <c r="K108" s="16">
        <f t="shared" si="37"/>
        <v>37276.805715999995</v>
      </c>
      <c r="L108" s="16">
        <f t="shared" si="37"/>
        <v>13116.620191491662</v>
      </c>
      <c r="M108" s="15">
        <f t="shared" si="36"/>
        <v>-64.812918007452197</v>
      </c>
      <c r="N108" s="43"/>
      <c r="O108" s="42"/>
      <c r="P108" s="42"/>
      <c r="Q108" s="43"/>
    </row>
    <row r="109" spans="2:17" s="35" customFormat="1" ht="11.25" customHeight="1">
      <c r="B109" s="22" t="s">
        <v>27</v>
      </c>
      <c r="C109" s="16">
        <f t="shared" si="37"/>
        <v>8821.7439999999988</v>
      </c>
      <c r="D109" s="16">
        <f t="shared" si="37"/>
        <v>7007.9228750000002</v>
      </c>
      <c r="E109" s="16">
        <f t="shared" si="37"/>
        <v>7094.5555100000001</v>
      </c>
      <c r="F109" s="16">
        <f t="shared" si="37"/>
        <v>6563.7810100000006</v>
      </c>
      <c r="G109" s="16">
        <f t="shared" si="37"/>
        <v>6244.3260209999999</v>
      </c>
      <c r="H109" s="16">
        <f t="shared" si="37"/>
        <v>6483.8134280000004</v>
      </c>
      <c r="I109" s="16">
        <f t="shared" si="37"/>
        <v>6754.6440300000004</v>
      </c>
      <c r="J109" s="16">
        <f t="shared" si="37"/>
        <v>7001.5774490000003</v>
      </c>
      <c r="K109" s="16">
        <f t="shared" si="37"/>
        <v>6682.8904479999992</v>
      </c>
      <c r="L109" s="16">
        <f t="shared" si="37"/>
        <v>5737.7184230624234</v>
      </c>
      <c r="M109" s="15">
        <f t="shared" si="36"/>
        <v>-14.143162038821677</v>
      </c>
      <c r="N109" s="43"/>
      <c r="O109" s="42"/>
      <c r="P109" s="42"/>
      <c r="Q109" s="43"/>
    </row>
    <row r="110" spans="2:17" s="35" customFormat="1" ht="11.25" customHeight="1">
      <c r="B110" s="22" t="s">
        <v>28</v>
      </c>
      <c r="C110" s="16">
        <f t="shared" si="37"/>
        <v>66798.985000000001</v>
      </c>
      <c r="D110" s="16">
        <f t="shared" si="37"/>
        <v>53430.948742</v>
      </c>
      <c r="E110" s="16">
        <f t="shared" si="37"/>
        <v>41074.444721</v>
      </c>
      <c r="F110" s="16">
        <f t="shared" si="37"/>
        <v>27569.900639</v>
      </c>
      <c r="G110" s="16">
        <f t="shared" si="37"/>
        <v>24828.833996999998</v>
      </c>
      <c r="H110" s="16">
        <f t="shared" si="37"/>
        <v>29027.289334999998</v>
      </c>
      <c r="I110" s="16">
        <f t="shared" si="37"/>
        <v>29006.482094000003</v>
      </c>
      <c r="J110" s="16">
        <f t="shared" si="37"/>
        <v>37065.787082999996</v>
      </c>
      <c r="K110" s="16">
        <f t="shared" si="37"/>
        <v>30044.467194999997</v>
      </c>
      <c r="L110" s="16">
        <f t="shared" si="37"/>
        <v>57206.490811933494</v>
      </c>
      <c r="M110" s="15">
        <f t="shared" si="36"/>
        <v>90.406075237219724</v>
      </c>
      <c r="N110" s="43"/>
      <c r="O110" s="42"/>
      <c r="P110" s="42"/>
      <c r="Q110" s="43"/>
    </row>
    <row r="111" spans="2:17" s="35" customFormat="1" ht="11.25" customHeight="1">
      <c r="B111" s="22" t="s">
        <v>9</v>
      </c>
      <c r="C111" s="16">
        <f t="shared" si="37"/>
        <v>0</v>
      </c>
      <c r="D111" s="16">
        <f t="shared" si="37"/>
        <v>0</v>
      </c>
      <c r="E111" s="16">
        <f t="shared" si="37"/>
        <v>0</v>
      </c>
      <c r="F111" s="16">
        <f t="shared" si="37"/>
        <v>0</v>
      </c>
      <c r="G111" s="16">
        <f t="shared" si="37"/>
        <v>0.88927699999999898</v>
      </c>
      <c r="H111" s="16">
        <f t="shared" si="37"/>
        <v>8.2074240000000014</v>
      </c>
      <c r="I111" s="16">
        <f t="shared" si="37"/>
        <v>17.891936000000001</v>
      </c>
      <c r="J111" s="16">
        <f t="shared" si="37"/>
        <v>20.233057000000002</v>
      </c>
      <c r="K111" s="16">
        <f t="shared" si="37"/>
        <v>23.655544000000003</v>
      </c>
      <c r="L111" s="16">
        <f t="shared" si="37"/>
        <v>24.108849083928597</v>
      </c>
      <c r="M111" s="15">
        <f t="shared" si="36"/>
        <v>1.916274188953726</v>
      </c>
      <c r="N111" s="43"/>
      <c r="O111" s="42"/>
      <c r="P111" s="42"/>
      <c r="Q111" s="43"/>
    </row>
    <row r="112" spans="2:17" s="35" customFormat="1" ht="11.25" customHeight="1">
      <c r="B112" s="22" t="s">
        <v>10</v>
      </c>
      <c r="C112" s="16">
        <f t="shared" si="37"/>
        <v>43545.351000000002</v>
      </c>
      <c r="D112" s="16">
        <f t="shared" si="37"/>
        <v>42477.2507690001</v>
      </c>
      <c r="E112" s="16">
        <f t="shared" si="37"/>
        <v>48524.529970999996</v>
      </c>
      <c r="F112" s="16">
        <f t="shared" si="37"/>
        <v>54713.393734999991</v>
      </c>
      <c r="G112" s="16">
        <f t="shared" si="37"/>
        <v>51032.030848000002</v>
      </c>
      <c r="H112" s="16">
        <f t="shared" si="37"/>
        <v>48117.887516000003</v>
      </c>
      <c r="I112" s="16">
        <f t="shared" si="37"/>
        <v>47696.660309000006</v>
      </c>
      <c r="J112" s="16">
        <f t="shared" si="37"/>
        <v>47906.955560999995</v>
      </c>
      <c r="K112" s="16">
        <f t="shared" si="37"/>
        <v>49581.488866</v>
      </c>
      <c r="L112" s="16">
        <f t="shared" si="37"/>
        <v>53846.008902917842</v>
      </c>
      <c r="M112" s="15">
        <f t="shared" si="36"/>
        <v>8.6010326322455199</v>
      </c>
      <c r="N112" s="43"/>
      <c r="O112" s="42"/>
      <c r="P112" s="42"/>
      <c r="Q112" s="43"/>
    </row>
    <row r="113" spans="2:17" s="35" customFormat="1" ht="11.25" customHeight="1">
      <c r="B113" s="22" t="s">
        <v>11</v>
      </c>
      <c r="C113" s="16">
        <f t="shared" si="37"/>
        <v>6422.79</v>
      </c>
      <c r="D113" s="16">
        <f t="shared" si="37"/>
        <v>7440.7523799999999</v>
      </c>
      <c r="E113" s="16">
        <f t="shared" si="37"/>
        <v>8202.259145</v>
      </c>
      <c r="F113" s="16">
        <f t="shared" si="37"/>
        <v>8327.2745960000011</v>
      </c>
      <c r="G113" s="16">
        <f t="shared" si="37"/>
        <v>8207.9261310000111</v>
      </c>
      <c r="H113" s="16">
        <f t="shared" si="37"/>
        <v>8243.5609049999985</v>
      </c>
      <c r="I113" s="16">
        <f t="shared" si="37"/>
        <v>7977.4671850000004</v>
      </c>
      <c r="J113" s="16">
        <f t="shared" si="37"/>
        <v>8397.7526929999894</v>
      </c>
      <c r="K113" s="16">
        <f t="shared" si="37"/>
        <v>7766.1784250000101</v>
      </c>
      <c r="L113" s="16">
        <f t="shared" si="37"/>
        <v>9220.3178351048555</v>
      </c>
      <c r="M113" s="15">
        <f t="shared" si="36"/>
        <v>18.724002083493762</v>
      </c>
      <c r="N113" s="43"/>
      <c r="O113" s="42"/>
      <c r="P113" s="42"/>
      <c r="Q113" s="43"/>
    </row>
    <row r="114" spans="2:17" s="35" customFormat="1" ht="11.25" customHeight="1">
      <c r="B114" s="22" t="s">
        <v>12</v>
      </c>
      <c r="C114" s="16">
        <f t="shared" si="37"/>
        <v>691.62099999999998</v>
      </c>
      <c r="D114" s="16">
        <f t="shared" si="37"/>
        <v>1861.6415490000002</v>
      </c>
      <c r="E114" s="16">
        <f t="shared" si="37"/>
        <v>3447.4936120000002</v>
      </c>
      <c r="F114" s="16">
        <f t="shared" si="37"/>
        <v>4441.5275350000102</v>
      </c>
      <c r="G114" s="16">
        <f t="shared" si="37"/>
        <v>4958.9149260000004</v>
      </c>
      <c r="H114" s="16">
        <f t="shared" si="37"/>
        <v>5085.2355140000009</v>
      </c>
      <c r="I114" s="16">
        <f t="shared" si="37"/>
        <v>5071.2017019999994</v>
      </c>
      <c r="J114" s="16">
        <f t="shared" si="37"/>
        <v>5347.9524650000003</v>
      </c>
      <c r="K114" s="16">
        <f t="shared" si="37"/>
        <v>4424.3266739999999</v>
      </c>
      <c r="L114" s="16">
        <f t="shared" si="37"/>
        <v>5227.8869299479984</v>
      </c>
      <c r="M114" s="15">
        <f t="shared" si="36"/>
        <v>18.162317458839581</v>
      </c>
      <c r="N114" s="43"/>
      <c r="O114" s="42"/>
      <c r="P114" s="42"/>
      <c r="Q114" s="43"/>
    </row>
    <row r="115" spans="2:17" s="35" customFormat="1" ht="11.25" customHeight="1">
      <c r="B115" s="22" t="s">
        <v>29</v>
      </c>
      <c r="C115" s="16">
        <f t="shared" si="37"/>
        <v>2459.0480000000002</v>
      </c>
      <c r="D115" s="16">
        <f t="shared" si="37"/>
        <v>3714.0342680000003</v>
      </c>
      <c r="E115" s="16">
        <f t="shared" si="37"/>
        <v>3791.083419</v>
      </c>
      <c r="F115" s="16">
        <f t="shared" si="37"/>
        <v>4334.2854390000002</v>
      </c>
      <c r="G115" s="16">
        <f t="shared" si="37"/>
        <v>3816.3157169999999</v>
      </c>
      <c r="H115" s="16">
        <f t="shared" si="37"/>
        <v>3432.5919209999997</v>
      </c>
      <c r="I115" s="16">
        <f t="shared" si="37"/>
        <v>3425.6648279999999</v>
      </c>
      <c r="J115" s="16">
        <f t="shared" si="37"/>
        <v>3610.347882</v>
      </c>
      <c r="K115" s="16">
        <f t="shared" si="37"/>
        <v>3557.4391100000003</v>
      </c>
      <c r="L115" s="16">
        <f t="shared" si="37"/>
        <v>3648.9561954039023</v>
      </c>
      <c r="M115" s="15">
        <f t="shared" si="36"/>
        <v>2.572555216662642</v>
      </c>
      <c r="N115" s="43"/>
      <c r="O115" s="42"/>
      <c r="P115" s="42"/>
      <c r="Q115" s="43"/>
    </row>
    <row r="116" spans="2:17" s="35" customFormat="1" ht="11.25" customHeight="1">
      <c r="B116" s="22" t="s">
        <v>13</v>
      </c>
      <c r="C116" s="16">
        <f t="shared" si="37"/>
        <v>28110.746000000003</v>
      </c>
      <c r="D116" s="16">
        <f t="shared" si="37"/>
        <v>30593.251724000002</v>
      </c>
      <c r="E116" s="16">
        <f t="shared" si="37"/>
        <v>32444.285102999998</v>
      </c>
      <c r="F116" s="16">
        <f t="shared" si="37"/>
        <v>30835.664589</v>
      </c>
      <c r="G116" s="16">
        <f t="shared" si="37"/>
        <v>24153.243881999999</v>
      </c>
      <c r="H116" s="16">
        <f t="shared" si="37"/>
        <v>25200.877766000001</v>
      </c>
      <c r="I116" s="16">
        <f t="shared" si="37"/>
        <v>25908.643558999996</v>
      </c>
      <c r="J116" s="16">
        <f t="shared" si="37"/>
        <v>28211.806703000002</v>
      </c>
      <c r="K116" s="16">
        <f t="shared" si="37"/>
        <v>29006.757239999999</v>
      </c>
      <c r="L116" s="16">
        <f t="shared" si="37"/>
        <v>29556.018998703788</v>
      </c>
      <c r="M116" s="15">
        <f t="shared" si="36"/>
        <v>1.8935648482153011</v>
      </c>
      <c r="N116" s="43"/>
      <c r="O116" s="42"/>
      <c r="P116" s="42"/>
      <c r="Q116" s="43"/>
    </row>
    <row r="117" spans="2:17" s="35" customFormat="1" ht="11.25" customHeight="1">
      <c r="B117" s="22" t="s">
        <v>14</v>
      </c>
      <c r="C117" s="16">
        <f t="shared" si="37"/>
        <v>2970.77</v>
      </c>
      <c r="D117" s="16">
        <f t="shared" si="37"/>
        <v>1287.7704799999999</v>
      </c>
      <c r="E117" s="16">
        <f t="shared" si="37"/>
        <v>1589.415894</v>
      </c>
      <c r="F117" s="16">
        <f t="shared" si="37"/>
        <v>1617.2360285</v>
      </c>
      <c r="G117" s="16">
        <f t="shared" si="37"/>
        <v>1965.8770434999999</v>
      </c>
      <c r="H117" s="16">
        <f t="shared" si="37"/>
        <v>2480.1089684999997</v>
      </c>
      <c r="I117" s="16">
        <f t="shared" si="37"/>
        <v>2606.9637645000003</v>
      </c>
      <c r="J117" s="16">
        <f t="shared" si="37"/>
        <v>2607.9845150000001</v>
      </c>
      <c r="K117" s="16">
        <f t="shared" si="37"/>
        <v>2434.9627860000001</v>
      </c>
      <c r="L117" s="16">
        <f t="shared" si="37"/>
        <v>2252.5349570496282</v>
      </c>
      <c r="M117" s="15">
        <f t="shared" si="36"/>
        <v>-7.492017126473316</v>
      </c>
      <c r="N117" s="43"/>
      <c r="O117" s="42"/>
      <c r="P117" s="42"/>
      <c r="Q117" s="43"/>
    </row>
    <row r="118" spans="2:17" s="35" customFormat="1" ht="11.25" customHeight="1">
      <c r="B118" s="22" t="s">
        <v>15</v>
      </c>
      <c r="C118" s="16">
        <f t="shared" si="37"/>
        <v>808.54300000000001</v>
      </c>
      <c r="D118" s="16">
        <f t="shared" si="37"/>
        <v>736.055744</v>
      </c>
      <c r="E118" s="16">
        <f t="shared" si="37"/>
        <v>719.78999699999997</v>
      </c>
      <c r="F118" s="16">
        <f t="shared" si="37"/>
        <v>555.73950250000007</v>
      </c>
      <c r="G118" s="16">
        <f t="shared" si="37"/>
        <v>678.0715725</v>
      </c>
      <c r="H118" s="16">
        <f t="shared" si="37"/>
        <v>818.04970250000008</v>
      </c>
      <c r="I118" s="16">
        <f t="shared" si="37"/>
        <v>785.39502949999996</v>
      </c>
      <c r="J118" s="16">
        <f t="shared" si="37"/>
        <v>877.00608699999987</v>
      </c>
      <c r="K118" s="16">
        <f t="shared" si="37"/>
        <v>874.075245</v>
      </c>
      <c r="L118" s="16">
        <f t="shared" si="37"/>
        <v>897.60283504962831</v>
      </c>
      <c r="M118" s="15">
        <f t="shared" si="36"/>
        <v>2.6917122048947029</v>
      </c>
      <c r="N118" s="43"/>
      <c r="O118" s="42"/>
      <c r="P118" s="42"/>
      <c r="Q118" s="43"/>
    </row>
    <row r="119" spans="2:17" s="35" customFormat="1" ht="11.25" customHeight="1">
      <c r="B119" s="65" t="s">
        <v>52</v>
      </c>
      <c r="C119" s="66">
        <f>SUM(C105,C111:C115,C118)</f>
        <v>95761.159</v>
      </c>
      <c r="D119" s="66">
        <f t="shared" ref="D119:L119" si="38">SUM(D105,D111:D115,D118)</f>
        <v>86667.052881210111</v>
      </c>
      <c r="E119" s="66">
        <f t="shared" si="38"/>
        <v>85338.722778298004</v>
      </c>
      <c r="F119" s="66">
        <f t="shared" si="38"/>
        <v>109757.65762144001</v>
      </c>
      <c r="G119" s="66">
        <f t="shared" si="38"/>
        <v>107876.13368670402</v>
      </c>
      <c r="H119" s="66">
        <f t="shared" si="38"/>
        <v>94088.112946349996</v>
      </c>
      <c r="I119" s="66">
        <f t="shared" si="38"/>
        <v>101089.169316272</v>
      </c>
      <c r="J119" s="66">
        <f t="shared" si="38"/>
        <v>84610.866495659982</v>
      </c>
      <c r="K119" s="66">
        <f t="shared" si="38"/>
        <v>100344.40520587201</v>
      </c>
      <c r="L119" s="66">
        <f t="shared" si="38"/>
        <v>96307.552364501025</v>
      </c>
      <c r="M119" s="67">
        <f>((L119/K119)-1)*100</f>
        <v>-4.0229974287941168</v>
      </c>
      <c r="N119" s="43"/>
      <c r="O119" s="42"/>
      <c r="P119" s="42"/>
      <c r="Q119" s="43"/>
    </row>
    <row r="120" spans="2:17" s="35" customFormat="1" ht="11.25" customHeight="1">
      <c r="B120" s="65" t="s">
        <v>53</v>
      </c>
      <c r="C120" s="66">
        <f>SUM(C106:C110,C116:C117)</f>
        <v>192765.63799999998</v>
      </c>
      <c r="D120" s="66">
        <f t="shared" ref="D120:L120" si="39">SUM(D106:D110,D116:D117)</f>
        <v>192686.76929579</v>
      </c>
      <c r="E120" s="66">
        <f t="shared" si="39"/>
        <v>197779.92094370202</v>
      </c>
      <c r="F120" s="66">
        <f t="shared" si="39"/>
        <v>163528.58528556</v>
      </c>
      <c r="G120" s="66">
        <f t="shared" si="39"/>
        <v>158635.6148022959</v>
      </c>
      <c r="H120" s="66">
        <f t="shared" si="39"/>
        <v>173365.73618864987</v>
      </c>
      <c r="I120" s="66">
        <f t="shared" si="39"/>
        <v>160746.52216772799</v>
      </c>
      <c r="J120" s="66">
        <f t="shared" si="39"/>
        <v>177694.89160734002</v>
      </c>
      <c r="K120" s="66">
        <f t="shared" si="39"/>
        <v>160637.49682369397</v>
      </c>
      <c r="L120" s="66">
        <f t="shared" si="39"/>
        <v>164712.24935216145</v>
      </c>
      <c r="M120" s="67">
        <f t="shared" ref="M120:M121" si="40">((L120/K120)-1)*100</f>
        <v>2.5366135609917295</v>
      </c>
      <c r="N120" s="43"/>
      <c r="O120" s="42"/>
      <c r="P120" s="42"/>
      <c r="Q120" s="43"/>
    </row>
    <row r="121" spans="2:17" s="35" customFormat="1" ht="11.25" customHeight="1">
      <c r="B121" s="65" t="s">
        <v>54</v>
      </c>
      <c r="C121" s="66">
        <f t="shared" ref="C121" si="41">SUM(C119:C120)</f>
        <v>288526.79699999996</v>
      </c>
      <c r="D121" s="66">
        <f t="shared" ref="D121:L121" si="42">SUM(D119:D120)</f>
        <v>279353.82217700011</v>
      </c>
      <c r="E121" s="66">
        <f t="shared" si="42"/>
        <v>283118.64372200001</v>
      </c>
      <c r="F121" s="66">
        <f t="shared" si="42"/>
        <v>273286.24290700001</v>
      </c>
      <c r="G121" s="66">
        <f t="shared" si="42"/>
        <v>266511.7484889999</v>
      </c>
      <c r="H121" s="66">
        <f t="shared" si="42"/>
        <v>267453.84913499985</v>
      </c>
      <c r="I121" s="66">
        <f t="shared" si="42"/>
        <v>261835.69148400001</v>
      </c>
      <c r="J121" s="66">
        <f t="shared" si="42"/>
        <v>262305.758103</v>
      </c>
      <c r="K121" s="66">
        <f t="shared" si="42"/>
        <v>260981.902029566</v>
      </c>
      <c r="L121" s="66">
        <f t="shared" si="42"/>
        <v>261019.80171666248</v>
      </c>
      <c r="M121" s="67">
        <f t="shared" si="40"/>
        <v>1.4521959876057089E-2</v>
      </c>
      <c r="N121" s="43"/>
      <c r="O121" s="42"/>
      <c r="P121" s="42"/>
      <c r="Q121" s="43"/>
    </row>
    <row r="122" spans="2:17" s="35" customFormat="1" ht="11.25" customHeight="1">
      <c r="B122" s="41"/>
      <c r="C122" s="42"/>
      <c r="D122" s="42"/>
      <c r="E122" s="43"/>
      <c r="F122" s="42"/>
      <c r="G122" s="42"/>
      <c r="H122" s="43"/>
      <c r="I122" s="42"/>
      <c r="J122" s="42"/>
      <c r="K122" s="43"/>
      <c r="L122" s="42"/>
      <c r="M122" s="42"/>
      <c r="N122" s="43"/>
      <c r="O122" s="42"/>
      <c r="P122" s="42"/>
      <c r="Q122" s="43"/>
    </row>
    <row r="123" spans="2:17" s="35" customFormat="1" ht="11.25" customHeight="1">
      <c r="B123" s="34" t="s">
        <v>126</v>
      </c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3"/>
      <c r="O123" s="42"/>
      <c r="P123" s="42"/>
      <c r="Q123" s="43"/>
    </row>
    <row r="124" spans="2:17" s="35" customFormat="1" ht="11.25" customHeight="1">
      <c r="B124" s="82"/>
      <c r="C124" s="83">
        <v>2010</v>
      </c>
      <c r="D124" s="83">
        <v>2011</v>
      </c>
      <c r="E124" s="83">
        <v>2012</v>
      </c>
      <c r="F124" s="83">
        <v>2013</v>
      </c>
      <c r="G124" s="83">
        <v>2014</v>
      </c>
      <c r="H124" s="83">
        <v>2015</v>
      </c>
      <c r="I124" s="83">
        <v>2016</v>
      </c>
      <c r="J124" s="83">
        <v>2017</v>
      </c>
      <c r="K124" s="83">
        <v>2018</v>
      </c>
      <c r="L124" s="83">
        <v>2019</v>
      </c>
      <c r="M124" s="43"/>
      <c r="N124" s="43"/>
      <c r="O124" s="42"/>
      <c r="P124" s="42"/>
      <c r="Q124" s="43"/>
    </row>
    <row r="125" spans="2:17" s="35" customFormat="1" ht="11.25" customHeight="1">
      <c r="B125" s="22" t="s">
        <v>6</v>
      </c>
      <c r="C125" s="15">
        <f>ROUND((C105/C$121*100),1)</f>
        <v>14.5</v>
      </c>
      <c r="D125" s="15">
        <f t="shared" ref="D125:L125" si="43">ROUND((D105/D$121*100),1)</f>
        <v>10.9</v>
      </c>
      <c r="E125" s="15">
        <f t="shared" si="43"/>
        <v>7.3</v>
      </c>
      <c r="F125" s="15">
        <f t="shared" si="43"/>
        <v>13.7</v>
      </c>
      <c r="G125" s="15">
        <f t="shared" si="43"/>
        <v>14.7</v>
      </c>
      <c r="H125" s="15">
        <f t="shared" si="43"/>
        <v>10.6</v>
      </c>
      <c r="I125" s="15">
        <f t="shared" si="43"/>
        <v>13.8</v>
      </c>
      <c r="J125" s="15">
        <f t="shared" si="43"/>
        <v>7</v>
      </c>
      <c r="K125" s="15">
        <f t="shared" si="43"/>
        <v>13.1</v>
      </c>
      <c r="L125" s="15">
        <f t="shared" si="43"/>
        <v>9</v>
      </c>
      <c r="M125" s="43"/>
      <c r="N125" s="43"/>
      <c r="O125" s="42"/>
      <c r="P125" s="42"/>
      <c r="Q125" s="43"/>
    </row>
    <row r="126" spans="2:17" s="35" customFormat="1" ht="11.25" customHeight="1">
      <c r="B126" s="22" t="s">
        <v>25</v>
      </c>
      <c r="C126" s="15">
        <f t="shared" ref="C126:C138" si="44">ROUND((C106/C$121*100),1)</f>
        <v>1.1000000000000001</v>
      </c>
      <c r="D126" s="15">
        <f t="shared" ref="D126:L126" si="45">ROUND((D106/D$121*100),1)</f>
        <v>0.8</v>
      </c>
      <c r="E126" s="15">
        <f t="shared" si="45"/>
        <v>1.1000000000000001</v>
      </c>
      <c r="F126" s="15">
        <f t="shared" si="45"/>
        <v>1.2</v>
      </c>
      <c r="G126" s="15">
        <f t="shared" si="45"/>
        <v>1.3</v>
      </c>
      <c r="H126" s="15">
        <f t="shared" si="45"/>
        <v>1.1000000000000001</v>
      </c>
      <c r="I126" s="15">
        <f t="shared" si="45"/>
        <v>1.2</v>
      </c>
      <c r="J126" s="15">
        <f t="shared" si="45"/>
        <v>0.9</v>
      </c>
      <c r="K126" s="15">
        <f t="shared" si="45"/>
        <v>0.8</v>
      </c>
      <c r="L126" s="15">
        <f t="shared" si="45"/>
        <v>0.6</v>
      </c>
      <c r="M126" s="43"/>
      <c r="N126" s="43"/>
      <c r="O126" s="42"/>
      <c r="P126" s="42"/>
      <c r="Q126" s="43"/>
    </row>
    <row r="127" spans="2:17" s="35" customFormat="1" ht="11.25" customHeight="1">
      <c r="B127" s="22" t="s">
        <v>7</v>
      </c>
      <c r="C127" s="15">
        <f t="shared" si="44"/>
        <v>20.5</v>
      </c>
      <c r="D127" s="15">
        <f t="shared" ref="D127:L127" si="46">ROUND((D107/D$121*100),1)</f>
        <v>19.7</v>
      </c>
      <c r="E127" s="15">
        <f t="shared" si="46"/>
        <v>20.7</v>
      </c>
      <c r="F127" s="15">
        <f t="shared" si="46"/>
        <v>19.8</v>
      </c>
      <c r="G127" s="15">
        <f t="shared" si="46"/>
        <v>20.6</v>
      </c>
      <c r="H127" s="15">
        <f t="shared" si="46"/>
        <v>20.399999999999999</v>
      </c>
      <c r="I127" s="15">
        <f t="shared" si="46"/>
        <v>21.4</v>
      </c>
      <c r="J127" s="15">
        <f t="shared" si="46"/>
        <v>21.2</v>
      </c>
      <c r="K127" s="15">
        <f t="shared" si="46"/>
        <v>20.399999999999999</v>
      </c>
      <c r="L127" s="15">
        <f t="shared" si="46"/>
        <v>21.2</v>
      </c>
      <c r="M127" s="43"/>
      <c r="N127" s="43"/>
      <c r="O127" s="42"/>
      <c r="P127" s="42"/>
      <c r="Q127" s="43"/>
    </row>
    <row r="128" spans="2:17" s="35" customFormat="1" ht="11.25" customHeight="1">
      <c r="B128" s="22" t="s">
        <v>8</v>
      </c>
      <c r="C128" s="15">
        <f t="shared" si="44"/>
        <v>8.1999999999999993</v>
      </c>
      <c r="D128" s="15">
        <f t="shared" ref="D128:L128" si="47">ROUND((D108/D$121*100),1)</f>
        <v>15.5</v>
      </c>
      <c r="E128" s="15">
        <f t="shared" si="47"/>
        <v>19</v>
      </c>
      <c r="F128" s="15">
        <f t="shared" si="47"/>
        <v>14.4</v>
      </c>
      <c r="G128" s="15">
        <f t="shared" si="47"/>
        <v>16.2</v>
      </c>
      <c r="H128" s="15">
        <f t="shared" si="47"/>
        <v>19.7</v>
      </c>
      <c r="I128" s="15">
        <f t="shared" si="47"/>
        <v>14.3</v>
      </c>
      <c r="J128" s="15">
        <f t="shared" si="47"/>
        <v>17.2</v>
      </c>
      <c r="K128" s="15">
        <f t="shared" si="47"/>
        <v>14.3</v>
      </c>
      <c r="L128" s="15">
        <f t="shared" si="47"/>
        <v>5</v>
      </c>
      <c r="M128" s="43"/>
      <c r="N128" s="43"/>
      <c r="O128" s="42"/>
      <c r="P128" s="42"/>
      <c r="Q128" s="43"/>
    </row>
    <row r="129" spans="2:17" s="35" customFormat="1" ht="11.25" customHeight="1">
      <c r="B129" s="22" t="s">
        <v>27</v>
      </c>
      <c r="C129" s="15">
        <f t="shared" si="44"/>
        <v>3.1</v>
      </c>
      <c r="D129" s="15">
        <f t="shared" ref="D129:L129" si="48">ROUND((D109/D$121*100),1)</f>
        <v>2.5</v>
      </c>
      <c r="E129" s="15">
        <f t="shared" si="48"/>
        <v>2.5</v>
      </c>
      <c r="F129" s="15">
        <f t="shared" si="48"/>
        <v>2.4</v>
      </c>
      <c r="G129" s="15">
        <f t="shared" si="48"/>
        <v>2.2999999999999998</v>
      </c>
      <c r="H129" s="15">
        <f t="shared" si="48"/>
        <v>2.4</v>
      </c>
      <c r="I129" s="15">
        <f t="shared" si="48"/>
        <v>2.6</v>
      </c>
      <c r="J129" s="15">
        <f t="shared" si="48"/>
        <v>2.7</v>
      </c>
      <c r="K129" s="15">
        <f t="shared" si="48"/>
        <v>2.6</v>
      </c>
      <c r="L129" s="15">
        <f t="shared" si="48"/>
        <v>2.2000000000000002</v>
      </c>
      <c r="M129" s="43"/>
      <c r="N129" s="43"/>
      <c r="O129" s="42"/>
      <c r="P129" s="42"/>
      <c r="Q129" s="43"/>
    </row>
    <row r="130" spans="2:17" s="35" customFormat="1" ht="11.25" customHeight="1">
      <c r="B130" s="22" t="s">
        <v>28</v>
      </c>
      <c r="C130" s="15">
        <f t="shared" si="44"/>
        <v>23.2</v>
      </c>
      <c r="D130" s="15">
        <f t="shared" ref="D130:L130" si="49">ROUND((D110/D$121*100),1)</f>
        <v>19.100000000000001</v>
      </c>
      <c r="E130" s="15">
        <f t="shared" si="49"/>
        <v>14.5</v>
      </c>
      <c r="F130" s="15">
        <f t="shared" si="49"/>
        <v>10.1</v>
      </c>
      <c r="G130" s="15">
        <f t="shared" si="49"/>
        <v>9.3000000000000007</v>
      </c>
      <c r="H130" s="15">
        <f t="shared" si="49"/>
        <v>10.9</v>
      </c>
      <c r="I130" s="15">
        <f t="shared" si="49"/>
        <v>11.1</v>
      </c>
      <c r="J130" s="15">
        <f t="shared" si="49"/>
        <v>14.1</v>
      </c>
      <c r="K130" s="15">
        <f t="shared" si="49"/>
        <v>11.5</v>
      </c>
      <c r="L130" s="15">
        <f t="shared" si="49"/>
        <v>21.9</v>
      </c>
      <c r="M130" s="43"/>
      <c r="N130" s="43"/>
      <c r="O130" s="42"/>
      <c r="P130" s="42"/>
      <c r="Q130" s="43"/>
    </row>
    <row r="131" spans="2:17" s="35" customFormat="1" ht="11.25" customHeight="1">
      <c r="B131" s="22" t="s">
        <v>9</v>
      </c>
      <c r="C131" s="15">
        <f t="shared" si="44"/>
        <v>0</v>
      </c>
      <c r="D131" s="15">
        <f t="shared" ref="D131:L131" si="50">ROUND((D111/D$121*100),1)</f>
        <v>0</v>
      </c>
      <c r="E131" s="15">
        <f t="shared" si="50"/>
        <v>0</v>
      </c>
      <c r="F131" s="15">
        <f t="shared" si="50"/>
        <v>0</v>
      </c>
      <c r="G131" s="15">
        <f t="shared" si="50"/>
        <v>0</v>
      </c>
      <c r="H131" s="15">
        <f t="shared" si="50"/>
        <v>0</v>
      </c>
      <c r="I131" s="15">
        <f t="shared" si="50"/>
        <v>0</v>
      </c>
      <c r="J131" s="15">
        <f t="shared" si="50"/>
        <v>0</v>
      </c>
      <c r="K131" s="15">
        <f t="shared" si="50"/>
        <v>0</v>
      </c>
      <c r="L131" s="15">
        <f t="shared" si="50"/>
        <v>0</v>
      </c>
      <c r="M131" s="43"/>
      <c r="N131" s="43"/>
      <c r="O131" s="42"/>
      <c r="P131" s="42"/>
      <c r="Q131" s="43"/>
    </row>
    <row r="132" spans="2:17" s="35" customFormat="1" ht="11.25" customHeight="1">
      <c r="B132" s="22" t="s">
        <v>10</v>
      </c>
      <c r="C132" s="15">
        <f t="shared" si="44"/>
        <v>15.1</v>
      </c>
      <c r="D132" s="15">
        <f t="shared" ref="D132:L132" si="51">ROUND((D112/D$121*100),1)</f>
        <v>15.2</v>
      </c>
      <c r="E132" s="15">
        <f t="shared" si="51"/>
        <v>17.100000000000001</v>
      </c>
      <c r="F132" s="15">
        <f t="shared" si="51"/>
        <v>20</v>
      </c>
      <c r="G132" s="15">
        <f t="shared" si="51"/>
        <v>19.100000000000001</v>
      </c>
      <c r="H132" s="15">
        <f t="shared" si="51"/>
        <v>18</v>
      </c>
      <c r="I132" s="15">
        <f t="shared" si="51"/>
        <v>18.2</v>
      </c>
      <c r="J132" s="15">
        <f t="shared" si="51"/>
        <v>18.3</v>
      </c>
      <c r="K132" s="15">
        <f t="shared" si="51"/>
        <v>19</v>
      </c>
      <c r="L132" s="15">
        <f t="shared" si="51"/>
        <v>20.6</v>
      </c>
      <c r="M132" s="43"/>
      <c r="N132" s="43"/>
      <c r="O132" s="42"/>
      <c r="P132" s="42"/>
      <c r="Q132" s="43"/>
    </row>
    <row r="133" spans="2:17" s="35" customFormat="1" ht="11.25" customHeight="1">
      <c r="B133" s="22" t="s">
        <v>11</v>
      </c>
      <c r="C133" s="15">
        <f t="shared" si="44"/>
        <v>2.2000000000000002</v>
      </c>
      <c r="D133" s="15">
        <f t="shared" ref="D133:L133" si="52">ROUND((D113/D$121*100),1)</f>
        <v>2.7</v>
      </c>
      <c r="E133" s="15">
        <f t="shared" si="52"/>
        <v>2.9</v>
      </c>
      <c r="F133" s="15">
        <f t="shared" si="52"/>
        <v>3</v>
      </c>
      <c r="G133" s="15">
        <f t="shared" si="52"/>
        <v>3.1</v>
      </c>
      <c r="H133" s="15">
        <f t="shared" si="52"/>
        <v>3.1</v>
      </c>
      <c r="I133" s="15">
        <f t="shared" si="52"/>
        <v>3</v>
      </c>
      <c r="J133" s="15">
        <f t="shared" si="52"/>
        <v>3.2</v>
      </c>
      <c r="K133" s="15">
        <f t="shared" si="52"/>
        <v>3</v>
      </c>
      <c r="L133" s="15">
        <f t="shared" si="52"/>
        <v>3.5</v>
      </c>
      <c r="M133" s="43"/>
      <c r="N133" s="43"/>
      <c r="O133" s="42"/>
      <c r="P133" s="42"/>
      <c r="Q133" s="43"/>
    </row>
    <row r="134" spans="2:17" s="35" customFormat="1" ht="11.25" customHeight="1">
      <c r="B134" s="22" t="s">
        <v>12</v>
      </c>
      <c r="C134" s="15">
        <f t="shared" si="44"/>
        <v>0.2</v>
      </c>
      <c r="D134" s="15">
        <f t="shared" ref="D134:L134" si="53">ROUND((D114/D$121*100),1)</f>
        <v>0.7</v>
      </c>
      <c r="E134" s="15">
        <f t="shared" si="53"/>
        <v>1.2</v>
      </c>
      <c r="F134" s="15">
        <f t="shared" si="53"/>
        <v>1.6</v>
      </c>
      <c r="G134" s="15">
        <f t="shared" si="53"/>
        <v>1.9</v>
      </c>
      <c r="H134" s="15">
        <f t="shared" si="53"/>
        <v>1.9</v>
      </c>
      <c r="I134" s="15">
        <f t="shared" si="53"/>
        <v>1.9</v>
      </c>
      <c r="J134" s="15">
        <f t="shared" si="53"/>
        <v>2</v>
      </c>
      <c r="K134" s="15">
        <f t="shared" si="53"/>
        <v>1.7</v>
      </c>
      <c r="L134" s="15">
        <f t="shared" si="53"/>
        <v>2</v>
      </c>
      <c r="M134" s="43"/>
      <c r="N134" s="43"/>
      <c r="O134" s="42"/>
      <c r="P134" s="42"/>
      <c r="Q134" s="43"/>
    </row>
    <row r="135" spans="2:17" s="35" customFormat="1" ht="11.25" customHeight="1">
      <c r="B135" s="22" t="s">
        <v>29</v>
      </c>
      <c r="C135" s="15">
        <f t="shared" si="44"/>
        <v>0.9</v>
      </c>
      <c r="D135" s="15">
        <f t="shared" ref="D135:L135" si="54">ROUND((D115/D$121*100),1)</f>
        <v>1.3</v>
      </c>
      <c r="E135" s="15">
        <f t="shared" si="54"/>
        <v>1.3</v>
      </c>
      <c r="F135" s="15">
        <f t="shared" si="54"/>
        <v>1.6</v>
      </c>
      <c r="G135" s="15">
        <f t="shared" si="54"/>
        <v>1.4</v>
      </c>
      <c r="H135" s="15">
        <f t="shared" si="54"/>
        <v>1.3</v>
      </c>
      <c r="I135" s="15">
        <f t="shared" si="54"/>
        <v>1.3</v>
      </c>
      <c r="J135" s="15">
        <f t="shared" si="54"/>
        <v>1.4</v>
      </c>
      <c r="K135" s="15">
        <f t="shared" si="54"/>
        <v>1.4</v>
      </c>
      <c r="L135" s="15">
        <f t="shared" si="54"/>
        <v>1.4</v>
      </c>
      <c r="M135" s="43"/>
      <c r="N135" s="43"/>
      <c r="O135" s="42"/>
      <c r="P135" s="42"/>
      <c r="Q135" s="43"/>
    </row>
    <row r="136" spans="2:17" s="35" customFormat="1" ht="11.25" customHeight="1">
      <c r="B136" s="22" t="s">
        <v>13</v>
      </c>
      <c r="C136" s="15">
        <f>100-SUM(C125:C135,C137:C138)</f>
        <v>9.7000000000000028</v>
      </c>
      <c r="D136" s="15">
        <f t="shared" ref="D136:L136" si="55">100-SUM(D125:D135,D137:D138)</f>
        <v>10.799999999999997</v>
      </c>
      <c r="E136" s="15">
        <f t="shared" si="55"/>
        <v>11.500000000000014</v>
      </c>
      <c r="F136" s="15">
        <f t="shared" si="55"/>
        <v>11.40000000000002</v>
      </c>
      <c r="G136" s="15">
        <f t="shared" si="55"/>
        <v>9.0999999999999943</v>
      </c>
      <c r="H136" s="15">
        <f t="shared" si="55"/>
        <v>9.4000000000000057</v>
      </c>
      <c r="I136" s="15">
        <f t="shared" si="55"/>
        <v>9.8999999999999915</v>
      </c>
      <c r="J136" s="15">
        <f t="shared" si="55"/>
        <v>10.699999999999989</v>
      </c>
      <c r="K136" s="15">
        <f t="shared" si="55"/>
        <v>11</v>
      </c>
      <c r="L136" s="15">
        <f t="shared" si="55"/>
        <v>11.399999999999991</v>
      </c>
      <c r="M136" s="43"/>
      <c r="N136" s="43"/>
      <c r="O136" s="42"/>
      <c r="P136" s="42"/>
      <c r="Q136" s="43"/>
    </row>
    <row r="137" spans="2:17" s="35" customFormat="1" ht="11.25" customHeight="1">
      <c r="B137" s="22" t="s">
        <v>14</v>
      </c>
      <c r="C137" s="15">
        <f t="shared" si="44"/>
        <v>1</v>
      </c>
      <c r="D137" s="15">
        <f t="shared" ref="D137:L137" si="56">ROUND((D117/D$121*100),1)</f>
        <v>0.5</v>
      </c>
      <c r="E137" s="15">
        <f t="shared" si="56"/>
        <v>0.6</v>
      </c>
      <c r="F137" s="15">
        <f t="shared" si="56"/>
        <v>0.6</v>
      </c>
      <c r="G137" s="15">
        <f t="shared" si="56"/>
        <v>0.7</v>
      </c>
      <c r="H137" s="15">
        <f t="shared" si="56"/>
        <v>0.9</v>
      </c>
      <c r="I137" s="15">
        <f t="shared" si="56"/>
        <v>1</v>
      </c>
      <c r="J137" s="15">
        <f t="shared" si="56"/>
        <v>1</v>
      </c>
      <c r="K137" s="15">
        <f t="shared" si="56"/>
        <v>0.9</v>
      </c>
      <c r="L137" s="15">
        <f t="shared" si="56"/>
        <v>0.9</v>
      </c>
      <c r="M137" s="43"/>
      <c r="N137" s="43"/>
      <c r="O137" s="42"/>
      <c r="P137" s="42"/>
      <c r="Q137" s="43"/>
    </row>
    <row r="138" spans="2:17" s="35" customFormat="1" ht="11.25" customHeight="1">
      <c r="B138" s="22" t="s">
        <v>15</v>
      </c>
      <c r="C138" s="15">
        <f t="shared" si="44"/>
        <v>0.3</v>
      </c>
      <c r="D138" s="15">
        <f t="shared" ref="D138:L138" si="57">ROUND((D118/D$121*100),1)</f>
        <v>0.3</v>
      </c>
      <c r="E138" s="15">
        <f t="shared" si="57"/>
        <v>0.3</v>
      </c>
      <c r="F138" s="15">
        <f t="shared" si="57"/>
        <v>0.2</v>
      </c>
      <c r="G138" s="15">
        <f t="shared" si="57"/>
        <v>0.3</v>
      </c>
      <c r="H138" s="15">
        <f t="shared" si="57"/>
        <v>0.3</v>
      </c>
      <c r="I138" s="15">
        <f t="shared" si="57"/>
        <v>0.3</v>
      </c>
      <c r="J138" s="15">
        <f t="shared" si="57"/>
        <v>0.3</v>
      </c>
      <c r="K138" s="15">
        <f t="shared" si="57"/>
        <v>0.3</v>
      </c>
      <c r="L138" s="15">
        <f t="shared" si="57"/>
        <v>0.3</v>
      </c>
      <c r="M138" s="43"/>
      <c r="N138" s="43"/>
      <c r="O138" s="42"/>
      <c r="P138" s="42"/>
      <c r="Q138" s="43"/>
    </row>
    <row r="139" spans="2:17" s="35" customFormat="1" ht="11.25" customHeight="1">
      <c r="B139" s="65" t="s">
        <v>52</v>
      </c>
      <c r="C139" s="67">
        <f>SUM(C125,C131:C135,C138)</f>
        <v>33.199999999999996</v>
      </c>
      <c r="D139" s="67">
        <f t="shared" ref="D139:L139" si="58">SUM(D125,D131:D135,D138)</f>
        <v>31.1</v>
      </c>
      <c r="E139" s="67">
        <f t="shared" si="58"/>
        <v>30.1</v>
      </c>
      <c r="F139" s="67">
        <f t="shared" si="58"/>
        <v>40.100000000000009</v>
      </c>
      <c r="G139" s="67">
        <f t="shared" si="58"/>
        <v>40.499999999999993</v>
      </c>
      <c r="H139" s="67">
        <f t="shared" si="58"/>
        <v>35.199999999999996</v>
      </c>
      <c r="I139" s="67">
        <f t="shared" si="58"/>
        <v>38.499999999999993</v>
      </c>
      <c r="J139" s="67">
        <f t="shared" si="58"/>
        <v>32.199999999999996</v>
      </c>
      <c r="K139" s="67">
        <f t="shared" si="58"/>
        <v>38.5</v>
      </c>
      <c r="L139" s="67">
        <f t="shared" si="58"/>
        <v>36.799999999999997</v>
      </c>
      <c r="M139" s="43"/>
      <c r="N139" s="43"/>
      <c r="O139" s="42"/>
      <c r="P139" s="42"/>
      <c r="Q139" s="43"/>
    </row>
    <row r="140" spans="2:17" s="35" customFormat="1" ht="11.25" customHeight="1">
      <c r="B140" s="65" t="s">
        <v>53</v>
      </c>
      <c r="C140" s="67">
        <f>SUM(C126:C130,C136:C137)</f>
        <v>66.8</v>
      </c>
      <c r="D140" s="67">
        <f t="shared" ref="D140:L140" si="59">SUM(D126:D130,D136:D137)</f>
        <v>68.900000000000006</v>
      </c>
      <c r="E140" s="67">
        <f t="shared" si="59"/>
        <v>69.900000000000006</v>
      </c>
      <c r="F140" s="67">
        <f t="shared" si="59"/>
        <v>59.90000000000002</v>
      </c>
      <c r="G140" s="67">
        <f t="shared" si="59"/>
        <v>59.5</v>
      </c>
      <c r="H140" s="67">
        <f t="shared" si="59"/>
        <v>64.800000000000011</v>
      </c>
      <c r="I140" s="67">
        <f t="shared" si="59"/>
        <v>61.499999999999993</v>
      </c>
      <c r="J140" s="67">
        <f t="shared" si="59"/>
        <v>67.799999999999983</v>
      </c>
      <c r="K140" s="67">
        <f t="shared" si="59"/>
        <v>61.5</v>
      </c>
      <c r="L140" s="67">
        <f t="shared" si="59"/>
        <v>63.199999999999989</v>
      </c>
      <c r="M140" s="43"/>
      <c r="N140" s="43"/>
      <c r="O140" s="42"/>
      <c r="P140" s="42"/>
      <c r="Q140" s="43"/>
    </row>
    <row r="141" spans="2:17" s="35" customFormat="1" ht="11.25" customHeight="1">
      <c r="B141" s="65" t="s">
        <v>54</v>
      </c>
      <c r="C141" s="67">
        <f t="shared" ref="C141" si="60">SUM(C139:C140)</f>
        <v>100</v>
      </c>
      <c r="D141" s="67">
        <f t="shared" ref="D141:L141" si="61">SUM(D139:D140)</f>
        <v>100</v>
      </c>
      <c r="E141" s="67">
        <f t="shared" si="61"/>
        <v>100</v>
      </c>
      <c r="F141" s="67">
        <f t="shared" si="61"/>
        <v>100.00000000000003</v>
      </c>
      <c r="G141" s="67">
        <f t="shared" si="61"/>
        <v>100</v>
      </c>
      <c r="H141" s="67">
        <f t="shared" si="61"/>
        <v>100</v>
      </c>
      <c r="I141" s="67">
        <f t="shared" si="61"/>
        <v>99.999999999999986</v>
      </c>
      <c r="J141" s="67">
        <f t="shared" si="61"/>
        <v>99.999999999999972</v>
      </c>
      <c r="K141" s="67">
        <f t="shared" si="61"/>
        <v>100</v>
      </c>
      <c r="L141" s="67">
        <f t="shared" si="61"/>
        <v>99.999999999999986</v>
      </c>
      <c r="M141" s="43"/>
      <c r="N141" s="43"/>
      <c r="O141" s="42"/>
      <c r="P141" s="42"/>
      <c r="Q141" s="43"/>
    </row>
    <row r="142" spans="2:17">
      <c r="B142" s="68" t="s">
        <v>127</v>
      </c>
    </row>
    <row r="143" spans="2:17">
      <c r="B143" s="68" t="s">
        <v>57</v>
      </c>
    </row>
    <row r="144" spans="2:17" s="35" customFormat="1" ht="11.25" customHeight="1">
      <c r="B144" s="41"/>
      <c r="C144" s="42"/>
      <c r="D144" s="42"/>
      <c r="E144" s="43"/>
      <c r="F144" s="42"/>
      <c r="G144" s="42"/>
      <c r="H144" s="43"/>
      <c r="I144" s="42"/>
      <c r="J144" s="42"/>
      <c r="K144" s="43"/>
      <c r="L144" s="42"/>
      <c r="M144" s="42"/>
      <c r="N144" s="43"/>
      <c r="O144" s="42"/>
      <c r="P144" s="42"/>
      <c r="Q144" s="43"/>
    </row>
    <row r="145" spans="2:13">
      <c r="B145" s="34" t="s">
        <v>126</v>
      </c>
    </row>
    <row r="146" spans="2:13">
      <c r="B146" s="82"/>
      <c r="C146" s="83">
        <v>2010</v>
      </c>
      <c r="D146" s="83">
        <v>2011</v>
      </c>
      <c r="E146" s="83">
        <v>2012</v>
      </c>
      <c r="F146" s="83">
        <v>2013</v>
      </c>
      <c r="G146" s="83">
        <v>2014</v>
      </c>
      <c r="H146" s="83">
        <v>2015</v>
      </c>
      <c r="I146" s="83">
        <v>2016</v>
      </c>
      <c r="J146" s="83">
        <v>2017</v>
      </c>
      <c r="K146" s="83">
        <v>2018</v>
      </c>
      <c r="L146" s="83">
        <v>2019</v>
      </c>
    </row>
    <row r="147" spans="2:13">
      <c r="B147" s="37" t="s">
        <v>135</v>
      </c>
      <c r="C147" s="38">
        <f>SUM(C125:C127,C131:C135,C138)</f>
        <v>54.800000000000004</v>
      </c>
      <c r="D147" s="38">
        <f t="shared" ref="D147:L147" si="62">SUM(D125:D127,D131:D135,D138)</f>
        <v>51.599999999999994</v>
      </c>
      <c r="E147" s="38">
        <f t="shared" si="62"/>
        <v>51.9</v>
      </c>
      <c r="F147" s="38">
        <f t="shared" si="62"/>
        <v>61.100000000000009</v>
      </c>
      <c r="G147" s="38">
        <f t="shared" si="62"/>
        <v>62.4</v>
      </c>
      <c r="H147" s="38">
        <f t="shared" si="62"/>
        <v>56.699999999999989</v>
      </c>
      <c r="I147" s="38">
        <f t="shared" si="62"/>
        <v>61.099999999999987</v>
      </c>
      <c r="J147" s="38">
        <f t="shared" si="62"/>
        <v>54.300000000000004</v>
      </c>
      <c r="K147" s="38">
        <f t="shared" si="62"/>
        <v>59.699999999999996</v>
      </c>
      <c r="L147" s="38">
        <f t="shared" si="62"/>
        <v>58.599999999999994</v>
      </c>
    </row>
    <row r="148" spans="2:13">
      <c r="B148" s="69" t="s">
        <v>136</v>
      </c>
      <c r="C148" s="70">
        <f>SUM(C128:C130,C136:C137)</f>
        <v>45.2</v>
      </c>
      <c r="D148" s="70">
        <f t="shared" ref="D148:L148" si="63">SUM(D128:D130,D136:D137)</f>
        <v>48.4</v>
      </c>
      <c r="E148" s="70">
        <f t="shared" si="63"/>
        <v>48.100000000000016</v>
      </c>
      <c r="F148" s="70">
        <f t="shared" si="63"/>
        <v>38.90000000000002</v>
      </c>
      <c r="G148" s="70">
        <f t="shared" si="63"/>
        <v>37.599999999999994</v>
      </c>
      <c r="H148" s="70">
        <f t="shared" si="63"/>
        <v>43.300000000000004</v>
      </c>
      <c r="I148" s="70">
        <f t="shared" si="63"/>
        <v>38.899999999999991</v>
      </c>
      <c r="J148" s="70">
        <f t="shared" si="63"/>
        <v>45.699999999999989</v>
      </c>
      <c r="K148" s="70">
        <f t="shared" si="63"/>
        <v>40.300000000000004</v>
      </c>
      <c r="L148" s="70">
        <f t="shared" si="63"/>
        <v>41.399999999999984</v>
      </c>
    </row>
    <row r="149" spans="2:13">
      <c r="B149" s="68"/>
    </row>
    <row r="150" spans="2:13">
      <c r="B150" s="34" t="s">
        <v>130</v>
      </c>
      <c r="C150" s="36"/>
      <c r="D150" s="36"/>
      <c r="E150" s="36"/>
      <c r="F150" s="36"/>
      <c r="G150" s="36"/>
      <c r="H150" s="62"/>
      <c r="I150" s="62"/>
      <c r="J150" s="62"/>
      <c r="K150" s="62"/>
      <c r="L150" s="62"/>
    </row>
    <row r="151" spans="2:13">
      <c r="B151" s="82"/>
      <c r="C151" s="83">
        <v>2010</v>
      </c>
      <c r="D151" s="83">
        <v>2011</v>
      </c>
      <c r="E151" s="83">
        <v>2012</v>
      </c>
      <c r="F151" s="83">
        <v>2013</v>
      </c>
      <c r="G151" s="83">
        <v>2014</v>
      </c>
      <c r="H151" s="83">
        <v>2015</v>
      </c>
      <c r="I151" s="83">
        <v>2016</v>
      </c>
      <c r="J151" s="83">
        <v>2017</v>
      </c>
      <c r="K151" s="83">
        <v>2018</v>
      </c>
      <c r="L151" s="83">
        <v>2019</v>
      </c>
    </row>
    <row r="152" spans="2:13">
      <c r="B152" s="119" t="s">
        <v>48</v>
      </c>
      <c r="C152" s="135"/>
      <c r="D152" s="135">
        <v>-1.9890000000000001</v>
      </c>
      <c r="E152" s="135">
        <v>-1.1719999999999999</v>
      </c>
      <c r="F152" s="135">
        <v>-2.3810000000000002</v>
      </c>
      <c r="G152" s="135">
        <v>-1.089</v>
      </c>
      <c r="H152" s="135">
        <v>1.9949999999999999</v>
      </c>
      <c r="I152" s="135">
        <v>0.70699999999999996</v>
      </c>
      <c r="J152" s="135">
        <v>1.2090000000000001</v>
      </c>
      <c r="K152" s="135">
        <v>0.38</v>
      </c>
      <c r="L152" s="135">
        <v>-1.503345723827143</v>
      </c>
      <c r="M152" s="142"/>
    </row>
    <row r="153" spans="2:13">
      <c r="B153" s="63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2:13">
      <c r="B154" s="63" t="s">
        <v>22</v>
      </c>
      <c r="C154" s="136"/>
      <c r="D154" s="136">
        <v>1.2777774269304401</v>
      </c>
      <c r="E154" s="136">
        <v>-0.26218175200104299</v>
      </c>
      <c r="F154" s="136">
        <v>0.36398867182634298</v>
      </c>
      <c r="G154" s="136">
        <v>1.4366197248218101E-3</v>
      </c>
      <c r="H154" s="136">
        <v>-4.80832028206616E-2</v>
      </c>
      <c r="I154" s="136">
        <v>0.27665102545020498</v>
      </c>
      <c r="J154" s="136">
        <v>-9.0392691132160599E-2</v>
      </c>
      <c r="K154" s="136">
        <v>-0.24385610065588301</v>
      </c>
      <c r="L154" s="136"/>
    </row>
    <row r="155" spans="2:13">
      <c r="B155" s="63" t="s">
        <v>23</v>
      </c>
      <c r="C155" s="136"/>
      <c r="D155" s="136">
        <v>-0.88265023253935104</v>
      </c>
      <c r="E155" s="136">
        <v>0.69595065575299697</v>
      </c>
      <c r="F155" s="136">
        <v>-0.29592346532130398</v>
      </c>
      <c r="G155" s="136">
        <v>-0.96721982705597798</v>
      </c>
      <c r="H155" s="136">
        <v>0.36068793578328601</v>
      </c>
      <c r="I155" s="136">
        <v>4.9256248788614197E-2</v>
      </c>
      <c r="J155" s="136">
        <v>-0.12757611103018598</v>
      </c>
      <c r="K155" s="136">
        <v>0.16069747055918199</v>
      </c>
      <c r="L155" s="136"/>
    </row>
    <row r="156" spans="2:13">
      <c r="B156" s="64" t="s">
        <v>49</v>
      </c>
      <c r="C156" s="137"/>
      <c r="D156" s="137">
        <v>-2.38412719439108</v>
      </c>
      <c r="E156" s="137">
        <v>-1.60576890375195</v>
      </c>
      <c r="F156" s="137">
        <v>-2.4490652065050402</v>
      </c>
      <c r="G156" s="137">
        <v>-0.12321679266884399</v>
      </c>
      <c r="H156" s="137">
        <v>1.6823952670373801</v>
      </c>
      <c r="I156" s="137">
        <v>0.38109272576118097</v>
      </c>
      <c r="J156" s="137">
        <v>1.4269688021623501</v>
      </c>
      <c r="K156" s="137">
        <v>0.463158630096701</v>
      </c>
      <c r="L156" s="137">
        <v>-2.549721673425291</v>
      </c>
    </row>
    <row r="158" spans="2:13">
      <c r="B158" s="34" t="s">
        <v>38</v>
      </c>
      <c r="C158" s="36"/>
      <c r="D158" s="36"/>
      <c r="E158" s="36"/>
      <c r="F158" s="36"/>
      <c r="G158" s="36"/>
      <c r="H158" s="62"/>
      <c r="I158" s="62"/>
      <c r="J158" s="62"/>
      <c r="K158" s="62"/>
      <c r="L158" s="62"/>
    </row>
    <row r="159" spans="2:13">
      <c r="B159" s="82"/>
      <c r="C159" s="83">
        <v>2010</v>
      </c>
      <c r="D159" s="83">
        <v>2011</v>
      </c>
      <c r="E159" s="83">
        <v>2012</v>
      </c>
      <c r="F159" s="83">
        <v>2013</v>
      </c>
      <c r="G159" s="83">
        <v>2014</v>
      </c>
      <c r="H159" s="83">
        <v>2015</v>
      </c>
      <c r="I159" s="83">
        <v>2016</v>
      </c>
      <c r="J159" s="83">
        <v>2017</v>
      </c>
      <c r="K159" s="83">
        <v>2018</v>
      </c>
      <c r="L159" s="83">
        <v>2019</v>
      </c>
    </row>
    <row r="160" spans="2:13">
      <c r="B160" s="119" t="s">
        <v>48</v>
      </c>
      <c r="C160" s="135">
        <v>2.98</v>
      </c>
      <c r="D160" s="135">
        <v>-2.0469999999999997</v>
      </c>
      <c r="E160" s="135">
        <v>-1.2869999999999999</v>
      </c>
      <c r="F160" s="135">
        <v>-2.3040000000000003</v>
      </c>
      <c r="G160" s="135">
        <v>-1.117</v>
      </c>
      <c r="H160" s="135">
        <v>1.9720000000000002</v>
      </c>
      <c r="I160" s="135">
        <v>0.69</v>
      </c>
      <c r="J160" s="135">
        <v>1.1320000000000001</v>
      </c>
      <c r="K160" s="135">
        <v>0.42</v>
      </c>
      <c r="L160" s="135">
        <v>-1.6440000736245852</v>
      </c>
    </row>
    <row r="161" spans="2:12">
      <c r="B161" s="63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2:12">
      <c r="B162" s="63" t="s">
        <v>22</v>
      </c>
      <c r="C162" s="136">
        <v>0.19975000000000001</v>
      </c>
      <c r="D162" s="136">
        <v>1.3521699999999999</v>
      </c>
      <c r="E162" s="136">
        <v>-0.27548999999999996</v>
      </c>
      <c r="F162" s="136">
        <v>0.39750999999999997</v>
      </c>
      <c r="G162" s="136">
        <v>-3.4999999999999996E-3</v>
      </c>
      <c r="H162" s="136">
        <v>-6.0919999999999995E-2</v>
      </c>
      <c r="I162" s="136">
        <v>0.29422999999999999</v>
      </c>
      <c r="J162" s="136">
        <v>-7.357000000000001E-2</v>
      </c>
      <c r="K162" s="136">
        <v>-0.26600000000000001</v>
      </c>
      <c r="L162" s="136">
        <v>0.73155002411576797</v>
      </c>
    </row>
    <row r="163" spans="2:12">
      <c r="B163" s="63" t="s">
        <v>23</v>
      </c>
      <c r="C163" s="136">
        <v>0.37970999999999999</v>
      </c>
      <c r="D163" s="136">
        <v>-0.89009999999999989</v>
      </c>
      <c r="E163" s="136">
        <v>0.69330999999999998</v>
      </c>
      <c r="F163" s="136">
        <v>-0.27198</v>
      </c>
      <c r="G163" s="136">
        <v>-0.9887999999999999</v>
      </c>
      <c r="H163" s="136">
        <v>0.35929</v>
      </c>
      <c r="I163" s="136">
        <v>9.2549999999999993E-2</v>
      </c>
      <c r="J163" s="136">
        <v>-0.16653999999999999</v>
      </c>
      <c r="K163" s="136">
        <v>0.16600000000000001</v>
      </c>
      <c r="L163" s="136">
        <v>0.35552263969080844</v>
      </c>
    </row>
    <row r="164" spans="2:12">
      <c r="B164" s="64" t="s">
        <v>49</v>
      </c>
      <c r="C164" s="137">
        <v>2.4005399999999999</v>
      </c>
      <c r="D164" s="137">
        <v>-2.5090699999999999</v>
      </c>
      <c r="E164" s="137">
        <v>-1.70482</v>
      </c>
      <c r="F164" s="137">
        <v>-2.4295299999999997</v>
      </c>
      <c r="G164" s="137">
        <v>-0.12470000000000001</v>
      </c>
      <c r="H164" s="137">
        <v>1.67363</v>
      </c>
      <c r="I164" s="137">
        <v>0.30321999999999999</v>
      </c>
      <c r="J164" s="137">
        <v>1.3721099999999999</v>
      </c>
      <c r="K164" s="137">
        <v>0.52</v>
      </c>
      <c r="L164" s="137">
        <v>-2.7310727374311616</v>
      </c>
    </row>
    <row r="166" spans="2:12">
      <c r="B166" s="34" t="s">
        <v>39</v>
      </c>
    </row>
    <row r="167" spans="2:12">
      <c r="B167" s="57"/>
      <c r="C167" s="57"/>
      <c r="D167" s="44" t="s">
        <v>47</v>
      </c>
      <c r="E167" s="44" t="s">
        <v>50</v>
      </c>
    </row>
    <row r="168" spans="2:12">
      <c r="B168" s="45" t="s">
        <v>41</v>
      </c>
      <c r="C168" s="17"/>
      <c r="D168" s="17" t="s">
        <v>97</v>
      </c>
      <c r="E168" s="46">
        <v>45450</v>
      </c>
      <c r="F168" s="47"/>
    </row>
    <row r="169" spans="2:12">
      <c r="B169" s="45">
        <v>2010</v>
      </c>
      <c r="C169" s="17"/>
      <c r="D169" s="17" t="s">
        <v>98</v>
      </c>
      <c r="E169" s="46">
        <v>44486</v>
      </c>
      <c r="F169" s="47"/>
    </row>
    <row r="170" spans="2:12">
      <c r="B170" s="45">
        <v>2011</v>
      </c>
      <c r="C170" s="17"/>
      <c r="D170" s="17" t="s">
        <v>99</v>
      </c>
      <c r="E170" s="46">
        <v>43969</v>
      </c>
      <c r="F170" s="47"/>
    </row>
    <row r="171" spans="2:12">
      <c r="B171" s="45">
        <v>2012</v>
      </c>
      <c r="C171" s="17"/>
      <c r="D171" s="17" t="s">
        <v>100</v>
      </c>
      <c r="E171" s="46">
        <v>43527</v>
      </c>
      <c r="F171" s="47"/>
    </row>
    <row r="172" spans="2:12">
      <c r="B172" s="45">
        <v>2013</v>
      </c>
      <c r="C172" s="17"/>
      <c r="D172" s="17" t="s">
        <v>101</v>
      </c>
      <c r="E172" s="46">
        <v>40277</v>
      </c>
      <c r="F172" s="47"/>
    </row>
    <row r="173" spans="2:12">
      <c r="B173" s="45">
        <v>2014</v>
      </c>
      <c r="C173" s="17"/>
      <c r="D173" s="17" t="s">
        <v>102</v>
      </c>
      <c r="E173" s="46">
        <v>38948</v>
      </c>
      <c r="F173" s="47"/>
    </row>
    <row r="174" spans="2:12">
      <c r="B174" s="45">
        <v>2015</v>
      </c>
      <c r="C174" s="17"/>
      <c r="D174" s="17" t="s">
        <v>103</v>
      </c>
      <c r="E174" s="46">
        <v>40726</v>
      </c>
    </row>
    <row r="175" spans="2:12">
      <c r="B175" s="45">
        <v>2016</v>
      </c>
      <c r="C175" s="17"/>
      <c r="D175" s="17" t="s">
        <v>104</v>
      </c>
      <c r="E175" s="46">
        <v>40489</v>
      </c>
    </row>
    <row r="176" spans="2:12">
      <c r="B176" s="45">
        <v>2017</v>
      </c>
      <c r="C176" s="17"/>
      <c r="D176" s="17" t="s">
        <v>40</v>
      </c>
      <c r="E176" s="46">
        <v>41381</v>
      </c>
    </row>
    <row r="177" spans="2:13">
      <c r="B177" s="45">
        <v>2018</v>
      </c>
      <c r="C177" s="17"/>
      <c r="D177" s="17" t="s">
        <v>105</v>
      </c>
      <c r="E177" s="46">
        <v>40947</v>
      </c>
    </row>
    <row r="178" spans="2:13">
      <c r="B178" s="48">
        <v>2019</v>
      </c>
      <c r="C178" s="18"/>
      <c r="D178" s="18" t="s">
        <v>117</v>
      </c>
      <c r="E178" s="49">
        <v>40455</v>
      </c>
      <c r="F178" s="130">
        <f>((E178/E177)-1)*100</f>
        <v>-1.2015532273426666</v>
      </c>
      <c r="G178" s="130">
        <f>((E178/E168)-1)*100</f>
        <v>-10.990099009900989</v>
      </c>
    </row>
    <row r="179" spans="2:13" s="61" customFormat="1">
      <c r="B179" s="58"/>
      <c r="C179" s="59"/>
      <c r="D179" s="59"/>
      <c r="E179" s="60"/>
    </row>
    <row r="180" spans="2:13">
      <c r="B180" s="34" t="s">
        <v>51</v>
      </c>
      <c r="C180" s="36"/>
      <c r="D180" s="36"/>
      <c r="E180" s="36"/>
      <c r="F180" s="36"/>
      <c r="G180" s="36"/>
      <c r="H180" s="62"/>
      <c r="I180" s="62"/>
      <c r="J180" s="62"/>
      <c r="K180" s="62"/>
      <c r="L180" s="62"/>
    </row>
    <row r="181" spans="2:13">
      <c r="B181" s="82"/>
      <c r="C181" s="83">
        <v>2010</v>
      </c>
      <c r="D181" s="83">
        <v>2011</v>
      </c>
      <c r="E181" s="83">
        <v>2012</v>
      </c>
      <c r="F181" s="83">
        <v>2013</v>
      </c>
      <c r="G181" s="83">
        <v>2014</v>
      </c>
      <c r="H181" s="83">
        <v>2015</v>
      </c>
      <c r="I181" s="83">
        <v>2016</v>
      </c>
      <c r="J181" s="83">
        <v>2017</v>
      </c>
      <c r="K181" s="83">
        <v>2018</v>
      </c>
      <c r="L181" s="83">
        <v>2019</v>
      </c>
      <c r="M181" s="122" t="s">
        <v>107</v>
      </c>
    </row>
    <row r="182" spans="2:13">
      <c r="B182" s="63" t="s">
        <v>6</v>
      </c>
      <c r="C182" s="16">
        <f t="shared" ref="C182:L182" si="64">C8</f>
        <v>41833.805999999997</v>
      </c>
      <c r="D182" s="16">
        <f t="shared" si="64"/>
        <v>30435.66340021</v>
      </c>
      <c r="E182" s="16">
        <f t="shared" si="64"/>
        <v>20651.797535297999</v>
      </c>
      <c r="F182" s="16">
        <f t="shared" si="64"/>
        <v>37382.405530940006</v>
      </c>
      <c r="G182" s="16">
        <f t="shared" si="64"/>
        <v>39178.524159203997</v>
      </c>
      <c r="H182" s="16">
        <f t="shared" si="64"/>
        <v>28379.011570850002</v>
      </c>
      <c r="I182" s="16">
        <f t="shared" si="64"/>
        <v>36111.434365772002</v>
      </c>
      <c r="J182" s="16">
        <f t="shared" si="64"/>
        <v>18447.346771659999</v>
      </c>
      <c r="K182" s="16">
        <f t="shared" si="64"/>
        <v>34113.964229872006</v>
      </c>
      <c r="L182" s="16">
        <f t="shared" si="64"/>
        <v>23439.209797584157</v>
      </c>
      <c r="M182" s="15">
        <f>((L182/K182)-1)*100</f>
        <v>-31.291451091282042</v>
      </c>
    </row>
    <row r="183" spans="2:13">
      <c r="B183" s="63" t="s">
        <v>25</v>
      </c>
      <c r="C183" s="16">
        <f t="shared" ref="C183:L183" si="65">C9</f>
        <v>3120.4580000000001</v>
      </c>
      <c r="D183" s="16">
        <f t="shared" si="65"/>
        <v>2183.53623079</v>
      </c>
      <c r="E183" s="16">
        <f t="shared" si="65"/>
        <v>3201.889743702</v>
      </c>
      <c r="F183" s="16">
        <f t="shared" si="65"/>
        <v>3289.6771840599999</v>
      </c>
      <c r="G183" s="16">
        <f t="shared" si="65"/>
        <v>3415.996026796</v>
      </c>
      <c r="H183" s="16">
        <f t="shared" si="65"/>
        <v>2895.3657881499998</v>
      </c>
      <c r="I183" s="16">
        <f t="shared" si="65"/>
        <v>3134.328910228</v>
      </c>
      <c r="J183" s="16">
        <f t="shared" si="65"/>
        <v>2248.9644183400001</v>
      </c>
      <c r="K183" s="16">
        <f t="shared" si="65"/>
        <v>1993.996008694</v>
      </c>
      <c r="L183" s="16">
        <f t="shared" si="65"/>
        <v>1544.6993547299996</v>
      </c>
      <c r="M183" s="15">
        <f t="shared" ref="M183:M197" si="66">((L183/K183)-1)*100</f>
        <v>-22.532475090472946</v>
      </c>
    </row>
    <row r="184" spans="2:13">
      <c r="B184" s="63" t="s">
        <v>7</v>
      </c>
      <c r="C184" s="16">
        <f t="shared" ref="C184:L184" si="67">C10</f>
        <v>59242.322</v>
      </c>
      <c r="D184" s="16">
        <f t="shared" si="67"/>
        <v>55005.874866999999</v>
      </c>
      <c r="E184" s="16">
        <f t="shared" si="67"/>
        <v>58595.438799000003</v>
      </c>
      <c r="F184" s="16">
        <f t="shared" si="67"/>
        <v>54210.788119000004</v>
      </c>
      <c r="G184" s="16">
        <f t="shared" si="67"/>
        <v>54781.281334999898</v>
      </c>
      <c r="H184" s="16">
        <f t="shared" si="67"/>
        <v>54661.803304999899</v>
      </c>
      <c r="I184" s="16">
        <f t="shared" si="67"/>
        <v>56021.682058999999</v>
      </c>
      <c r="J184" s="16">
        <f t="shared" si="67"/>
        <v>55539.351045999996</v>
      </c>
      <c r="K184" s="16">
        <f t="shared" si="67"/>
        <v>53197.617429999998</v>
      </c>
      <c r="L184" s="16">
        <f t="shared" si="67"/>
        <v>55298.166615190436</v>
      </c>
      <c r="M184" s="15">
        <f t="shared" si="66"/>
        <v>3.948577561682054</v>
      </c>
    </row>
    <row r="185" spans="2:13">
      <c r="B185" s="63" t="s">
        <v>8</v>
      </c>
      <c r="C185" s="16">
        <f t="shared" ref="C185:L185" si="68">C11</f>
        <v>20599.255000000001</v>
      </c>
      <c r="D185" s="16">
        <f t="shared" si="68"/>
        <v>40412.479847999995</v>
      </c>
      <c r="E185" s="16">
        <f t="shared" si="68"/>
        <v>51097.323935999993</v>
      </c>
      <c r="F185" s="16">
        <f t="shared" si="68"/>
        <v>37090.897312000001</v>
      </c>
      <c r="G185" s="16">
        <f t="shared" si="68"/>
        <v>41058.278770999998</v>
      </c>
      <c r="H185" s="16">
        <f t="shared" si="68"/>
        <v>50754.794511</v>
      </c>
      <c r="I185" s="16">
        <f t="shared" si="68"/>
        <v>35010.909780000002</v>
      </c>
      <c r="J185" s="16">
        <f t="shared" si="68"/>
        <v>42421.888556000005</v>
      </c>
      <c r="K185" s="16">
        <f t="shared" si="68"/>
        <v>34881.034784999996</v>
      </c>
      <c r="L185" s="16">
        <f t="shared" si="68"/>
        <v>11084.369805201402</v>
      </c>
      <c r="M185" s="15">
        <f t="shared" si="66"/>
        <v>-68.222359590180375</v>
      </c>
    </row>
    <row r="186" spans="2:13">
      <c r="B186" s="63" t="s">
        <v>27</v>
      </c>
      <c r="C186" s="16">
        <f t="shared" ref="C186:L186" si="69">C12</f>
        <v>1566.0229999999999</v>
      </c>
      <c r="D186" s="16">
        <f t="shared" si="69"/>
        <v>-10.012343000000001</v>
      </c>
      <c r="E186" s="16">
        <f t="shared" si="69"/>
        <v>-3.8126410000000002</v>
      </c>
      <c r="F186" s="16">
        <f t="shared" si="69"/>
        <v>-2.012715</v>
      </c>
      <c r="G186" s="16">
        <f t="shared" si="69"/>
        <v>-0.81973099999999899</v>
      </c>
      <c r="H186" s="16">
        <f t="shared" si="69"/>
        <v>1.6617999999999997E-2</v>
      </c>
      <c r="I186" s="16">
        <f t="shared" si="69"/>
        <v>2.3499999999999999E-4</v>
      </c>
      <c r="J186" s="16">
        <f t="shared" si="69"/>
        <v>-9.9999999999999995E-7</v>
      </c>
      <c r="K186" s="16">
        <f t="shared" si="69"/>
        <v>-9.9999999999999995E-7</v>
      </c>
      <c r="L186" s="16">
        <f t="shared" si="69"/>
        <v>-9.9999999999999995E-7</v>
      </c>
      <c r="M186" s="15">
        <f t="shared" si="66"/>
        <v>0</v>
      </c>
    </row>
    <row r="187" spans="2:13">
      <c r="B187" s="63" t="s">
        <v>28</v>
      </c>
      <c r="C187" s="16">
        <f t="shared" ref="C187:L187" si="70">C13</f>
        <v>62954.938999999998</v>
      </c>
      <c r="D187" s="16">
        <f t="shared" si="70"/>
        <v>49193.213946000003</v>
      </c>
      <c r="E187" s="16">
        <f t="shared" si="70"/>
        <v>37316.789670999999</v>
      </c>
      <c r="F187" s="16">
        <f t="shared" si="70"/>
        <v>24126.557304999998</v>
      </c>
      <c r="G187" s="16">
        <f t="shared" si="70"/>
        <v>21120.508624999999</v>
      </c>
      <c r="H187" s="16">
        <f t="shared" si="70"/>
        <v>25034.545559999999</v>
      </c>
      <c r="I187" s="16">
        <f t="shared" si="70"/>
        <v>25463.066258000003</v>
      </c>
      <c r="J187" s="16">
        <f t="shared" si="70"/>
        <v>33647.980778999998</v>
      </c>
      <c r="K187" s="16">
        <f t="shared" si="70"/>
        <v>26402.923068999997</v>
      </c>
      <c r="L187" s="16">
        <f t="shared" si="70"/>
        <v>53166.222737654687</v>
      </c>
      <c r="M187" s="15">
        <f t="shared" si="66"/>
        <v>101.364911751297</v>
      </c>
    </row>
    <row r="188" spans="2:13">
      <c r="B188" s="63" t="s">
        <v>10</v>
      </c>
      <c r="C188" s="16">
        <f t="shared" ref="C188:L188" si="71">C14</f>
        <v>43208.415999999997</v>
      </c>
      <c r="D188" s="16">
        <f t="shared" si="71"/>
        <v>42115.787093000101</v>
      </c>
      <c r="E188" s="16">
        <f t="shared" si="71"/>
        <v>48156.257946999998</v>
      </c>
      <c r="F188" s="16">
        <f t="shared" si="71"/>
        <v>54344.500781999996</v>
      </c>
      <c r="G188" s="16">
        <f t="shared" si="71"/>
        <v>50636.662464000001</v>
      </c>
      <c r="H188" s="16">
        <f t="shared" si="71"/>
        <v>47715.882145000003</v>
      </c>
      <c r="I188" s="16">
        <f t="shared" si="71"/>
        <v>47298.163668000001</v>
      </c>
      <c r="J188" s="16">
        <f t="shared" si="71"/>
        <v>47508.105951999998</v>
      </c>
      <c r="K188" s="16">
        <f t="shared" si="71"/>
        <v>48955.703093000004</v>
      </c>
      <c r="L188" s="16">
        <f t="shared" si="71"/>
        <v>52676.731291000004</v>
      </c>
      <c r="M188" s="15">
        <f t="shared" si="66"/>
        <v>7.6008063676079818</v>
      </c>
    </row>
    <row r="189" spans="2:13">
      <c r="B189" s="63" t="s">
        <v>11</v>
      </c>
      <c r="C189" s="16">
        <f t="shared" ref="C189:L189" si="72">C15</f>
        <v>6139.8010000000004</v>
      </c>
      <c r="D189" s="16">
        <f t="shared" si="72"/>
        <v>7105.8708020000004</v>
      </c>
      <c r="E189" s="16">
        <f t="shared" si="72"/>
        <v>7830.0693760000004</v>
      </c>
      <c r="F189" s="16">
        <f t="shared" si="72"/>
        <v>7918.3761039999999</v>
      </c>
      <c r="G189" s="16">
        <f t="shared" si="72"/>
        <v>7802.7909200000104</v>
      </c>
      <c r="H189" s="16">
        <f t="shared" si="72"/>
        <v>7845.3145369999993</v>
      </c>
      <c r="I189" s="16">
        <f t="shared" si="72"/>
        <v>7579.2182120000007</v>
      </c>
      <c r="J189" s="16">
        <f t="shared" si="72"/>
        <v>8000.7121639999896</v>
      </c>
      <c r="K189" s="16">
        <f t="shared" si="72"/>
        <v>7380.5475820000102</v>
      </c>
      <c r="L189" s="16">
        <f t="shared" si="72"/>
        <v>8818.8652830520004</v>
      </c>
      <c r="M189" s="15">
        <f t="shared" si="66"/>
        <v>19.487953774050858</v>
      </c>
    </row>
    <row r="190" spans="2:13">
      <c r="B190" s="63" t="s">
        <v>12</v>
      </c>
      <c r="C190" s="16">
        <f t="shared" ref="C190:L190" si="73">C16</f>
        <v>691.62099999999998</v>
      </c>
      <c r="D190" s="16">
        <f t="shared" si="73"/>
        <v>1861.6415490000002</v>
      </c>
      <c r="E190" s="16">
        <f t="shared" si="73"/>
        <v>3447.4936120000002</v>
      </c>
      <c r="F190" s="16">
        <f t="shared" si="73"/>
        <v>4441.5275350000102</v>
      </c>
      <c r="G190" s="16">
        <f t="shared" si="73"/>
        <v>4958.9149260000004</v>
      </c>
      <c r="H190" s="16">
        <f t="shared" si="73"/>
        <v>5085.2355140000009</v>
      </c>
      <c r="I190" s="16">
        <f t="shared" si="73"/>
        <v>5071.2017019999994</v>
      </c>
      <c r="J190" s="16">
        <f t="shared" si="73"/>
        <v>5347.9524650000003</v>
      </c>
      <c r="K190" s="16">
        <f t="shared" si="73"/>
        <v>4424.3266739999999</v>
      </c>
      <c r="L190" s="16">
        <f t="shared" si="73"/>
        <v>5227.8869299479984</v>
      </c>
      <c r="M190" s="15">
        <f t="shared" si="66"/>
        <v>18.162317458839581</v>
      </c>
    </row>
    <row r="191" spans="2:13">
      <c r="B191" s="22" t="s">
        <v>29</v>
      </c>
      <c r="C191" s="16">
        <f t="shared" ref="C191:L191" si="74">C17</f>
        <v>2298.4870000000001</v>
      </c>
      <c r="D191" s="16">
        <f t="shared" si="74"/>
        <v>3705.130529</v>
      </c>
      <c r="E191" s="16">
        <f t="shared" si="74"/>
        <v>3782.4631420000001</v>
      </c>
      <c r="F191" s="16">
        <f t="shared" si="74"/>
        <v>4325.2771579999999</v>
      </c>
      <c r="G191" s="16">
        <f t="shared" si="74"/>
        <v>3805.563474</v>
      </c>
      <c r="H191" s="16">
        <f t="shared" si="74"/>
        <v>3422.5667469999999</v>
      </c>
      <c r="I191" s="16">
        <f t="shared" si="74"/>
        <v>3415.0193380000001</v>
      </c>
      <c r="J191" s="16">
        <f t="shared" si="74"/>
        <v>3599.155882</v>
      </c>
      <c r="K191" s="16">
        <f t="shared" si="74"/>
        <v>3547.1749180000002</v>
      </c>
      <c r="L191" s="16">
        <f t="shared" si="74"/>
        <v>3638.2634600000006</v>
      </c>
      <c r="M191" s="15">
        <f t="shared" si="66"/>
        <v>2.567917965865596</v>
      </c>
    </row>
    <row r="192" spans="2:13">
      <c r="B192" s="22" t="s">
        <v>13</v>
      </c>
      <c r="C192" s="16">
        <f t="shared" ref="C192:L192" si="75">C18</f>
        <v>28101.238000000001</v>
      </c>
      <c r="D192" s="16">
        <f t="shared" si="75"/>
        <v>30555.110683999999</v>
      </c>
      <c r="E192" s="16">
        <f t="shared" si="75"/>
        <v>32417.788432999998</v>
      </c>
      <c r="F192" s="16">
        <f t="shared" si="75"/>
        <v>30809.943767000001</v>
      </c>
      <c r="G192" s="16">
        <f t="shared" si="75"/>
        <v>24128.021298</v>
      </c>
      <c r="H192" s="16">
        <f t="shared" si="75"/>
        <v>25169.328039</v>
      </c>
      <c r="I192" s="16">
        <f t="shared" si="75"/>
        <v>25873.942241999997</v>
      </c>
      <c r="J192" s="16">
        <f t="shared" si="75"/>
        <v>28175.562469</v>
      </c>
      <c r="K192" s="16">
        <f t="shared" si="75"/>
        <v>28971.782793999999</v>
      </c>
      <c r="L192" s="16">
        <f t="shared" si="75"/>
        <v>29522.742668999992</v>
      </c>
      <c r="M192" s="15">
        <f t="shared" si="66"/>
        <v>1.901712017232482</v>
      </c>
    </row>
    <row r="193" spans="2:13">
      <c r="B193" s="63" t="s">
        <v>14</v>
      </c>
      <c r="C193" s="16">
        <f t="shared" ref="C193:L193" si="76">C19</f>
        <v>2883.3854999999999</v>
      </c>
      <c r="D193" s="16">
        <f t="shared" si="76"/>
        <v>1160.5408359999999</v>
      </c>
      <c r="E193" s="16">
        <f t="shared" si="76"/>
        <v>1465.4718789999999</v>
      </c>
      <c r="F193" s="16">
        <f t="shared" si="76"/>
        <v>1500.150535</v>
      </c>
      <c r="G193" s="16">
        <f t="shared" si="76"/>
        <v>1833.3435569999999</v>
      </c>
      <c r="H193" s="16">
        <f t="shared" si="76"/>
        <v>2324.7147409999998</v>
      </c>
      <c r="I193" s="16">
        <f t="shared" si="76"/>
        <v>2471.3086455000002</v>
      </c>
      <c r="J193" s="16">
        <f t="shared" si="76"/>
        <v>2459.1288610000001</v>
      </c>
      <c r="K193" s="16">
        <f t="shared" si="76"/>
        <v>2293.8582025000001</v>
      </c>
      <c r="L193" s="16">
        <f t="shared" si="76"/>
        <v>2098.5154069999999</v>
      </c>
      <c r="M193" s="15">
        <f t="shared" si="66"/>
        <v>-8.5159054420671065</v>
      </c>
    </row>
    <row r="194" spans="2:13">
      <c r="B194" s="64" t="s">
        <v>15</v>
      </c>
      <c r="C194" s="16">
        <f t="shared" ref="C194:L194" si="77">C20</f>
        <v>721.1585</v>
      </c>
      <c r="D194" s="16">
        <f t="shared" si="77"/>
        <v>608.8261</v>
      </c>
      <c r="E194" s="16">
        <f t="shared" si="77"/>
        <v>595.84598199999994</v>
      </c>
      <c r="F194" s="16">
        <f t="shared" si="77"/>
        <v>438.65400900000003</v>
      </c>
      <c r="G194" s="16">
        <f t="shared" si="77"/>
        <v>545.53808600000002</v>
      </c>
      <c r="H194" s="16">
        <f t="shared" si="77"/>
        <v>662.65547500000002</v>
      </c>
      <c r="I194" s="16">
        <f t="shared" si="77"/>
        <v>649.73991049999995</v>
      </c>
      <c r="J194" s="16">
        <f t="shared" si="77"/>
        <v>728.15043299999991</v>
      </c>
      <c r="K194" s="16">
        <f t="shared" si="77"/>
        <v>732.97066150000001</v>
      </c>
      <c r="L194" s="16">
        <f t="shared" si="77"/>
        <v>743.58328500000005</v>
      </c>
      <c r="M194" s="15">
        <f t="shared" si="66"/>
        <v>1.4478919904217902</v>
      </c>
    </row>
    <row r="195" spans="2:13">
      <c r="B195" s="65" t="s">
        <v>52</v>
      </c>
      <c r="C195" s="66">
        <f t="shared" ref="C195:G195" si="78">SUM(C182,C188:C191,C194)</f>
        <v>94893.289499999999</v>
      </c>
      <c r="D195" s="66">
        <f t="shared" si="78"/>
        <v>85832.919473210117</v>
      </c>
      <c r="E195" s="66">
        <f t="shared" si="78"/>
        <v>84463.927594297988</v>
      </c>
      <c r="F195" s="66">
        <f t="shared" si="78"/>
        <v>108850.74111894002</v>
      </c>
      <c r="G195" s="66">
        <f t="shared" si="78"/>
        <v>106927.99402920401</v>
      </c>
      <c r="H195" s="66">
        <f>SUM(H182,H188:H191,H194)</f>
        <v>93110.665988850014</v>
      </c>
      <c r="I195" s="66">
        <f t="shared" ref="I195:L195" si="79">SUM(I182,I188:I191,I194)</f>
        <v>100124.777196272</v>
      </c>
      <c r="J195" s="66">
        <f t="shared" si="79"/>
        <v>83631.423667659983</v>
      </c>
      <c r="K195" s="66">
        <f t="shared" si="79"/>
        <v>99154.68715837202</v>
      </c>
      <c r="L195" s="66">
        <f t="shared" si="79"/>
        <v>94544.540046584167</v>
      </c>
      <c r="M195" s="67">
        <f>((L195/K195)-1)*100</f>
        <v>-4.6494495055230516</v>
      </c>
    </row>
    <row r="196" spans="2:13">
      <c r="B196" s="65" t="s">
        <v>53</v>
      </c>
      <c r="C196" s="66">
        <f t="shared" ref="C196:G196" si="80">SUM(C183:C187,C192:C193)</f>
        <v>178467.62050000002</v>
      </c>
      <c r="D196" s="66">
        <f t="shared" si="80"/>
        <v>178500.74406878999</v>
      </c>
      <c r="E196" s="66">
        <f t="shared" si="80"/>
        <v>184090.889820702</v>
      </c>
      <c r="F196" s="66">
        <f t="shared" si="80"/>
        <v>151026.00150705999</v>
      </c>
      <c r="G196" s="66">
        <f t="shared" si="80"/>
        <v>146336.60988179588</v>
      </c>
      <c r="H196" s="66">
        <f>SUM(H183:H187,H192:H193)</f>
        <v>160840.56856214991</v>
      </c>
      <c r="I196" s="66">
        <f t="shared" ref="I196:L196" si="81">SUM(I183:I187,I192:I193)</f>
        <v>147975.23812972801</v>
      </c>
      <c r="J196" s="66">
        <f t="shared" si="81"/>
        <v>164492.87612833999</v>
      </c>
      <c r="K196" s="66">
        <f t="shared" si="81"/>
        <v>147741.21228819402</v>
      </c>
      <c r="L196" s="66">
        <f t="shared" si="81"/>
        <v>152714.71658777652</v>
      </c>
      <c r="M196" s="67">
        <f t="shared" si="66"/>
        <v>3.3663621832754842</v>
      </c>
    </row>
    <row r="197" spans="2:13">
      <c r="B197" s="65" t="s">
        <v>54</v>
      </c>
      <c r="C197" s="66">
        <f t="shared" ref="C197:G197" si="82">SUM(C195:C196)</f>
        <v>273360.91000000003</v>
      </c>
      <c r="D197" s="66">
        <f t="shared" si="82"/>
        <v>264333.66354200011</v>
      </c>
      <c r="E197" s="66">
        <f t="shared" si="82"/>
        <v>268554.817415</v>
      </c>
      <c r="F197" s="66">
        <f t="shared" si="82"/>
        <v>259876.74262600002</v>
      </c>
      <c r="G197" s="66">
        <f t="shared" si="82"/>
        <v>253264.6039109999</v>
      </c>
      <c r="H197" s="66">
        <f>SUM(H195:H196)</f>
        <v>253951.23455099994</v>
      </c>
      <c r="I197" s="66">
        <f t="shared" ref="I197:L197" si="83">SUM(I195:I196)</f>
        <v>248100.01532599999</v>
      </c>
      <c r="J197" s="66">
        <f t="shared" si="83"/>
        <v>248124.29979599998</v>
      </c>
      <c r="K197" s="66">
        <f t="shared" si="83"/>
        <v>246895.89944656604</v>
      </c>
      <c r="L197" s="66">
        <f t="shared" si="83"/>
        <v>247259.2566343607</v>
      </c>
      <c r="M197" s="67">
        <f t="shared" si="66"/>
        <v>0.14717019950885035</v>
      </c>
    </row>
    <row r="199" spans="2:13">
      <c r="B199" s="34" t="s">
        <v>55</v>
      </c>
    </row>
    <row r="200" spans="2:13">
      <c r="B200" s="82"/>
      <c r="C200" s="83">
        <v>2010</v>
      </c>
      <c r="D200" s="83">
        <v>2011</v>
      </c>
      <c r="E200" s="83">
        <v>2012</v>
      </c>
      <c r="F200" s="83">
        <v>2013</v>
      </c>
      <c r="G200" s="83">
        <v>2014</v>
      </c>
      <c r="H200" s="83">
        <v>2015</v>
      </c>
      <c r="I200" s="83">
        <v>2016</v>
      </c>
      <c r="J200" s="83">
        <v>2017</v>
      </c>
      <c r="K200" s="83">
        <v>2018</v>
      </c>
      <c r="L200" s="83">
        <v>2019</v>
      </c>
    </row>
    <row r="201" spans="2:13">
      <c r="B201" s="63" t="s">
        <v>6</v>
      </c>
      <c r="C201" s="15">
        <f t="shared" ref="C201:C210" si="84">ROUND((C182/$C$197*100),1)</f>
        <v>15.3</v>
      </c>
      <c r="D201" s="15">
        <f>ROUND((D182/$D$197*100),1)</f>
        <v>11.5</v>
      </c>
      <c r="E201" s="15">
        <f>ROUND((E182/$E$197*100),1)</f>
        <v>7.7</v>
      </c>
      <c r="F201" s="15">
        <f>ROUND((F182/$F$197*100),1)</f>
        <v>14.4</v>
      </c>
      <c r="G201" s="15">
        <f>ROUND((G182/$G$197*100),1)</f>
        <v>15.5</v>
      </c>
      <c r="H201" s="15">
        <f t="shared" ref="H201:H210" si="85">ROUND((H182/$H$197*100),1)</f>
        <v>11.2</v>
      </c>
      <c r="I201" s="15">
        <f t="shared" ref="I201:I210" si="86">ROUND((I182/$I$197*100),1)</f>
        <v>14.6</v>
      </c>
      <c r="J201" s="15">
        <f t="shared" ref="J201:J210" si="87">ROUND((J182/$J$197*100),1)</f>
        <v>7.4</v>
      </c>
      <c r="K201" s="15">
        <f t="shared" ref="K201:K210" si="88">ROUND((K182/$K$197*100),1)</f>
        <v>13.8</v>
      </c>
      <c r="L201" s="15">
        <f t="shared" ref="L201:L210" si="89">ROUND((L182/$L$197*100),1)</f>
        <v>9.5</v>
      </c>
    </row>
    <row r="202" spans="2:13">
      <c r="B202" s="63" t="s">
        <v>25</v>
      </c>
      <c r="C202" s="15">
        <f t="shared" si="84"/>
        <v>1.1000000000000001</v>
      </c>
      <c r="D202" s="15">
        <f t="shared" ref="D202:D210" si="90">ROUND((D183/$D$197*100),1)</f>
        <v>0.8</v>
      </c>
      <c r="E202" s="15">
        <f t="shared" ref="E202:E213" si="91">ROUND((E183/$E$197*100),1)</f>
        <v>1.2</v>
      </c>
      <c r="F202" s="15">
        <f t="shared" ref="F202:F213" si="92">ROUND((F183/$F$197*100),1)</f>
        <v>1.3</v>
      </c>
      <c r="G202" s="15">
        <f t="shared" ref="G202:G213" si="93">ROUND((G183/$G$197*100),1)</f>
        <v>1.3</v>
      </c>
      <c r="H202" s="15">
        <f t="shared" si="85"/>
        <v>1.1000000000000001</v>
      </c>
      <c r="I202" s="15">
        <f t="shared" si="86"/>
        <v>1.3</v>
      </c>
      <c r="J202" s="15">
        <f t="shared" si="87"/>
        <v>0.9</v>
      </c>
      <c r="K202" s="15">
        <f t="shared" si="88"/>
        <v>0.8</v>
      </c>
      <c r="L202" s="15">
        <f t="shared" si="89"/>
        <v>0.6</v>
      </c>
    </row>
    <row r="203" spans="2:13">
      <c r="B203" s="63" t="s">
        <v>7</v>
      </c>
      <c r="C203" s="15">
        <f t="shared" si="84"/>
        <v>21.7</v>
      </c>
      <c r="D203" s="15">
        <f t="shared" si="90"/>
        <v>20.8</v>
      </c>
      <c r="E203" s="15">
        <f t="shared" si="91"/>
        <v>21.8</v>
      </c>
      <c r="F203" s="15">
        <f t="shared" si="92"/>
        <v>20.9</v>
      </c>
      <c r="G203" s="15">
        <f t="shared" si="93"/>
        <v>21.6</v>
      </c>
      <c r="H203" s="15">
        <f t="shared" si="85"/>
        <v>21.5</v>
      </c>
      <c r="I203" s="15">
        <f t="shared" si="86"/>
        <v>22.6</v>
      </c>
      <c r="J203" s="15">
        <f t="shared" si="87"/>
        <v>22.4</v>
      </c>
      <c r="K203" s="15">
        <f t="shared" si="88"/>
        <v>21.5</v>
      </c>
      <c r="L203" s="15">
        <f t="shared" si="89"/>
        <v>22.4</v>
      </c>
    </row>
    <row r="204" spans="2:13">
      <c r="B204" s="63" t="s">
        <v>8</v>
      </c>
      <c r="C204" s="15">
        <f t="shared" si="84"/>
        <v>7.5</v>
      </c>
      <c r="D204" s="15">
        <f t="shared" si="90"/>
        <v>15.3</v>
      </c>
      <c r="E204" s="15">
        <f t="shared" si="91"/>
        <v>19</v>
      </c>
      <c r="F204" s="15">
        <f t="shared" si="92"/>
        <v>14.3</v>
      </c>
      <c r="G204" s="15">
        <f t="shared" si="93"/>
        <v>16.2</v>
      </c>
      <c r="H204" s="15">
        <f t="shared" si="85"/>
        <v>20</v>
      </c>
      <c r="I204" s="15">
        <f t="shared" si="86"/>
        <v>14.1</v>
      </c>
      <c r="J204" s="15">
        <f t="shared" si="87"/>
        <v>17.100000000000001</v>
      </c>
      <c r="K204" s="15">
        <f t="shared" si="88"/>
        <v>14.1</v>
      </c>
      <c r="L204" s="15">
        <f t="shared" si="89"/>
        <v>4.5</v>
      </c>
    </row>
    <row r="205" spans="2:13">
      <c r="B205" s="63" t="s">
        <v>27</v>
      </c>
      <c r="C205" s="15">
        <f t="shared" si="84"/>
        <v>0.6</v>
      </c>
      <c r="D205" s="15">
        <f t="shared" si="90"/>
        <v>0</v>
      </c>
      <c r="E205" s="15">
        <f t="shared" si="91"/>
        <v>0</v>
      </c>
      <c r="F205" s="15">
        <f t="shared" si="92"/>
        <v>0</v>
      </c>
      <c r="G205" s="15">
        <f t="shared" si="93"/>
        <v>0</v>
      </c>
      <c r="H205" s="15">
        <f t="shared" si="85"/>
        <v>0</v>
      </c>
      <c r="I205" s="15">
        <f t="shared" si="86"/>
        <v>0</v>
      </c>
      <c r="J205" s="15">
        <f t="shared" si="87"/>
        <v>0</v>
      </c>
      <c r="K205" s="15">
        <f t="shared" si="88"/>
        <v>0</v>
      </c>
      <c r="L205" s="15">
        <f t="shared" si="89"/>
        <v>0</v>
      </c>
    </row>
    <row r="206" spans="2:13">
      <c r="B206" s="63" t="s">
        <v>28</v>
      </c>
      <c r="C206" s="15">
        <f t="shared" si="84"/>
        <v>23</v>
      </c>
      <c r="D206" s="15">
        <f t="shared" si="90"/>
        <v>18.600000000000001</v>
      </c>
      <c r="E206" s="15">
        <f t="shared" si="91"/>
        <v>13.9</v>
      </c>
      <c r="F206" s="15">
        <f t="shared" si="92"/>
        <v>9.3000000000000007</v>
      </c>
      <c r="G206" s="15">
        <f t="shared" si="93"/>
        <v>8.3000000000000007</v>
      </c>
      <c r="H206" s="15">
        <f t="shared" si="85"/>
        <v>9.9</v>
      </c>
      <c r="I206" s="15">
        <f t="shared" si="86"/>
        <v>10.3</v>
      </c>
      <c r="J206" s="15">
        <f t="shared" si="87"/>
        <v>13.6</v>
      </c>
      <c r="K206" s="15">
        <f t="shared" si="88"/>
        <v>10.7</v>
      </c>
      <c r="L206" s="15">
        <f t="shared" si="89"/>
        <v>21.5</v>
      </c>
    </row>
    <row r="207" spans="2:13">
      <c r="B207" s="63" t="s">
        <v>10</v>
      </c>
      <c r="C207" s="15">
        <f t="shared" si="84"/>
        <v>15.8</v>
      </c>
      <c r="D207" s="15">
        <f t="shared" si="90"/>
        <v>15.9</v>
      </c>
      <c r="E207" s="15">
        <f t="shared" si="91"/>
        <v>17.899999999999999</v>
      </c>
      <c r="F207" s="15">
        <f t="shared" si="92"/>
        <v>20.9</v>
      </c>
      <c r="G207" s="15">
        <f t="shared" si="93"/>
        <v>20</v>
      </c>
      <c r="H207" s="15">
        <f t="shared" si="85"/>
        <v>18.8</v>
      </c>
      <c r="I207" s="15">
        <f t="shared" si="86"/>
        <v>19.100000000000001</v>
      </c>
      <c r="J207" s="15">
        <f t="shared" si="87"/>
        <v>19.100000000000001</v>
      </c>
      <c r="K207" s="15">
        <f t="shared" si="88"/>
        <v>19.8</v>
      </c>
      <c r="L207" s="15">
        <f t="shared" si="89"/>
        <v>21.3</v>
      </c>
    </row>
    <row r="208" spans="2:13">
      <c r="B208" s="63" t="s">
        <v>11</v>
      </c>
      <c r="C208" s="15">
        <f t="shared" si="84"/>
        <v>2.2000000000000002</v>
      </c>
      <c r="D208" s="15">
        <f t="shared" si="90"/>
        <v>2.7</v>
      </c>
      <c r="E208" s="15">
        <f t="shared" si="91"/>
        <v>2.9</v>
      </c>
      <c r="F208" s="15">
        <f t="shared" si="92"/>
        <v>3</v>
      </c>
      <c r="G208" s="15">
        <f t="shared" si="93"/>
        <v>3.1</v>
      </c>
      <c r="H208" s="15">
        <f t="shared" si="85"/>
        <v>3.1</v>
      </c>
      <c r="I208" s="15">
        <f t="shared" si="86"/>
        <v>3.1</v>
      </c>
      <c r="J208" s="15">
        <f t="shared" si="87"/>
        <v>3.2</v>
      </c>
      <c r="K208" s="15">
        <f t="shared" si="88"/>
        <v>3</v>
      </c>
      <c r="L208" s="15">
        <f t="shared" si="89"/>
        <v>3.6</v>
      </c>
    </row>
    <row r="209" spans="2:12">
      <c r="B209" s="63" t="s">
        <v>12</v>
      </c>
      <c r="C209" s="15">
        <f t="shared" si="84"/>
        <v>0.3</v>
      </c>
      <c r="D209" s="15">
        <f t="shared" si="90"/>
        <v>0.7</v>
      </c>
      <c r="E209" s="15">
        <f t="shared" si="91"/>
        <v>1.3</v>
      </c>
      <c r="F209" s="15">
        <f t="shared" si="92"/>
        <v>1.7</v>
      </c>
      <c r="G209" s="15">
        <f t="shared" si="93"/>
        <v>2</v>
      </c>
      <c r="H209" s="15">
        <f t="shared" si="85"/>
        <v>2</v>
      </c>
      <c r="I209" s="15">
        <f t="shared" si="86"/>
        <v>2</v>
      </c>
      <c r="J209" s="15">
        <f t="shared" si="87"/>
        <v>2.2000000000000002</v>
      </c>
      <c r="K209" s="15">
        <f t="shared" si="88"/>
        <v>1.8</v>
      </c>
      <c r="L209" s="15">
        <f t="shared" si="89"/>
        <v>2.1</v>
      </c>
    </row>
    <row r="210" spans="2:12">
      <c r="B210" s="22" t="s">
        <v>29</v>
      </c>
      <c r="C210" s="15">
        <f t="shared" si="84"/>
        <v>0.8</v>
      </c>
      <c r="D210" s="15">
        <f t="shared" si="90"/>
        <v>1.4</v>
      </c>
      <c r="E210" s="15">
        <f t="shared" si="91"/>
        <v>1.4</v>
      </c>
      <c r="F210" s="15">
        <f t="shared" si="92"/>
        <v>1.7</v>
      </c>
      <c r="G210" s="15">
        <f t="shared" si="93"/>
        <v>1.5</v>
      </c>
      <c r="H210" s="15">
        <f t="shared" si="85"/>
        <v>1.3</v>
      </c>
      <c r="I210" s="15">
        <f t="shared" si="86"/>
        <v>1.4</v>
      </c>
      <c r="J210" s="15">
        <f t="shared" si="87"/>
        <v>1.5</v>
      </c>
      <c r="K210" s="15">
        <f t="shared" si="88"/>
        <v>1.4</v>
      </c>
      <c r="L210" s="15">
        <f t="shared" si="89"/>
        <v>1.5</v>
      </c>
    </row>
    <row r="211" spans="2:12">
      <c r="B211" s="22" t="s">
        <v>13</v>
      </c>
      <c r="C211" s="15">
        <f t="shared" ref="C211:G211" si="94">100-SUM(C201:C210,C212:C213)</f>
        <v>10.300000000000011</v>
      </c>
      <c r="D211" s="15">
        <f t="shared" si="94"/>
        <v>11.699999999999974</v>
      </c>
      <c r="E211" s="15">
        <f t="shared" si="94"/>
        <v>12.199999999999989</v>
      </c>
      <c r="F211" s="15">
        <f t="shared" si="94"/>
        <v>11.700000000000003</v>
      </c>
      <c r="G211" s="15">
        <f t="shared" si="94"/>
        <v>9.5999999999999943</v>
      </c>
      <c r="H211" s="15">
        <f>100-SUM(H201:H210,H212:H213)</f>
        <v>9.9000000000000057</v>
      </c>
      <c r="I211" s="15">
        <f>100-SUM(I201:I210,I212:I213)</f>
        <v>10.200000000000003</v>
      </c>
      <c r="J211" s="15">
        <f>100-SUM(J201:J210,J212:J213)</f>
        <v>11.299999999999997</v>
      </c>
      <c r="K211" s="15">
        <f>100-SUM(K201:K210,K212:K213)</f>
        <v>11.899999999999991</v>
      </c>
      <c r="L211" s="15">
        <f>100-SUM(L201:L210,L212:L213)</f>
        <v>11.90000000000002</v>
      </c>
    </row>
    <row r="212" spans="2:12">
      <c r="B212" s="63" t="s">
        <v>14</v>
      </c>
      <c r="C212" s="15">
        <f>IF(C193="-","-",ROUND((C193/$C$197*100),1))</f>
        <v>1.1000000000000001</v>
      </c>
      <c r="D212" s="15">
        <f>IF(D193="-","-",ROUND((D193/$C$197*100),1))</f>
        <v>0.4</v>
      </c>
      <c r="E212" s="15">
        <f t="shared" si="91"/>
        <v>0.5</v>
      </c>
      <c r="F212" s="15">
        <f t="shared" si="92"/>
        <v>0.6</v>
      </c>
      <c r="G212" s="15">
        <f t="shared" si="93"/>
        <v>0.7</v>
      </c>
      <c r="H212" s="15">
        <f>ROUND((H193/$H$197*100),1)</f>
        <v>0.9</v>
      </c>
      <c r="I212" s="15">
        <f>ROUND((I193/$I$197*100),1)</f>
        <v>1</v>
      </c>
      <c r="J212" s="15">
        <f>ROUND((J193/$J$197*100),1)</f>
        <v>1</v>
      </c>
      <c r="K212" s="15">
        <f>ROUND((K193/$K$197*100),1)</f>
        <v>0.9</v>
      </c>
      <c r="L212" s="15">
        <f>ROUND((L193/$L$197*100),1)</f>
        <v>0.8</v>
      </c>
    </row>
    <row r="213" spans="2:12">
      <c r="B213" s="64" t="s">
        <v>15</v>
      </c>
      <c r="C213" s="15">
        <f>IF(C194="-","-",ROUND((C194/$C$197*100),1))</f>
        <v>0.3</v>
      </c>
      <c r="D213" s="15">
        <f>IF(D194="-","-",ROUND((D194/$C$197*100),1))</f>
        <v>0.2</v>
      </c>
      <c r="E213" s="15">
        <f t="shared" si="91"/>
        <v>0.2</v>
      </c>
      <c r="F213" s="15">
        <f t="shared" si="92"/>
        <v>0.2</v>
      </c>
      <c r="G213" s="15">
        <f t="shared" si="93"/>
        <v>0.2</v>
      </c>
      <c r="H213" s="15">
        <f>ROUND((H194/$H$197*100),1)</f>
        <v>0.3</v>
      </c>
      <c r="I213" s="15">
        <f>ROUND((I194/$I$197*100),1)</f>
        <v>0.3</v>
      </c>
      <c r="J213" s="15">
        <f>ROUND((J194/$J$197*100),1)</f>
        <v>0.3</v>
      </c>
      <c r="K213" s="15">
        <f>ROUND((K194/$K$197*100),1)</f>
        <v>0.3</v>
      </c>
      <c r="L213" s="15">
        <f>ROUND((L194/$L$197*100),1)</f>
        <v>0.3</v>
      </c>
    </row>
    <row r="214" spans="2:12">
      <c r="B214" s="65" t="s">
        <v>52</v>
      </c>
      <c r="C214" s="67">
        <f t="shared" ref="C214:G214" si="95">SUM(C201,C207:C210,C213)</f>
        <v>34.699999999999996</v>
      </c>
      <c r="D214" s="67">
        <f t="shared" si="95"/>
        <v>32.4</v>
      </c>
      <c r="E214" s="67">
        <f t="shared" si="95"/>
        <v>31.399999999999995</v>
      </c>
      <c r="F214" s="67">
        <f t="shared" si="95"/>
        <v>41.900000000000006</v>
      </c>
      <c r="G214" s="67">
        <f t="shared" si="95"/>
        <v>42.300000000000004</v>
      </c>
      <c r="H214" s="67">
        <f>SUM(H201,H207:H210,H213)</f>
        <v>36.699999999999996</v>
      </c>
      <c r="I214" s="67">
        <f t="shared" ref="I214:L214" si="96">SUM(I201,I207:I210,I213)</f>
        <v>40.5</v>
      </c>
      <c r="J214" s="67">
        <f t="shared" si="96"/>
        <v>33.699999999999996</v>
      </c>
      <c r="K214" s="67">
        <f t="shared" si="96"/>
        <v>40.099999999999994</v>
      </c>
      <c r="L214" s="67">
        <f t="shared" si="96"/>
        <v>38.299999999999997</v>
      </c>
    </row>
    <row r="215" spans="2:12">
      <c r="B215" s="65" t="s">
        <v>53</v>
      </c>
      <c r="C215" s="67">
        <f t="shared" ref="C215:G215" si="97">SUM(C202:C206,C211:C212)</f>
        <v>65.300000000000011</v>
      </c>
      <c r="D215" s="67">
        <f t="shared" si="97"/>
        <v>67.599999999999994</v>
      </c>
      <c r="E215" s="67">
        <f t="shared" si="97"/>
        <v>68.599999999999994</v>
      </c>
      <c r="F215" s="67">
        <f t="shared" si="97"/>
        <v>58.1</v>
      </c>
      <c r="G215" s="67">
        <f t="shared" si="97"/>
        <v>57.7</v>
      </c>
      <c r="H215" s="67">
        <f>SUM(H202:H206,H211:H212)</f>
        <v>63.300000000000004</v>
      </c>
      <c r="I215" s="67">
        <f t="shared" ref="I215:L215" si="98">SUM(I202:I206,I211:I212)</f>
        <v>59.5</v>
      </c>
      <c r="J215" s="67">
        <f t="shared" si="98"/>
        <v>66.3</v>
      </c>
      <c r="K215" s="67">
        <f t="shared" si="98"/>
        <v>59.899999999999984</v>
      </c>
      <c r="L215" s="67">
        <f t="shared" si="98"/>
        <v>61.700000000000017</v>
      </c>
    </row>
    <row r="216" spans="2:12">
      <c r="B216" s="65" t="s">
        <v>54</v>
      </c>
      <c r="C216" s="67">
        <f t="shared" ref="C216:G216" si="99">SUM(C214:C215)</f>
        <v>100</v>
      </c>
      <c r="D216" s="67">
        <f t="shared" si="99"/>
        <v>100</v>
      </c>
      <c r="E216" s="67">
        <f t="shared" si="99"/>
        <v>99.999999999999986</v>
      </c>
      <c r="F216" s="67">
        <f t="shared" si="99"/>
        <v>100</v>
      </c>
      <c r="G216" s="67">
        <f t="shared" si="99"/>
        <v>100</v>
      </c>
      <c r="H216" s="67">
        <f>SUM(H214:H215)</f>
        <v>100</v>
      </c>
      <c r="I216" s="67">
        <f t="shared" ref="I216:L216" si="100">SUM(I214:I215)</f>
        <v>100</v>
      </c>
      <c r="J216" s="67">
        <f t="shared" si="100"/>
        <v>100</v>
      </c>
      <c r="K216" s="67">
        <f t="shared" si="100"/>
        <v>99.999999999999972</v>
      </c>
      <c r="L216" s="67">
        <f t="shared" si="100"/>
        <v>100.00000000000001</v>
      </c>
    </row>
    <row r="217" spans="2:12">
      <c r="B217" s="68" t="s">
        <v>56</v>
      </c>
    </row>
    <row r="218" spans="2:12">
      <c r="B218" s="68" t="s">
        <v>57</v>
      </c>
    </row>
    <row r="219" spans="2:12">
      <c r="B219" s="68"/>
    </row>
    <row r="220" spans="2:12">
      <c r="B220" s="34" t="s">
        <v>55</v>
      </c>
    </row>
    <row r="221" spans="2:12">
      <c r="B221" s="82"/>
      <c r="C221" s="83">
        <v>2010</v>
      </c>
      <c r="D221" s="83">
        <v>2011</v>
      </c>
      <c r="E221" s="83">
        <v>2012</v>
      </c>
      <c r="F221" s="83">
        <v>2013</v>
      </c>
      <c r="G221" s="83">
        <v>2014</v>
      </c>
      <c r="H221" s="83">
        <v>2015</v>
      </c>
      <c r="I221" s="83">
        <v>2016</v>
      </c>
      <c r="J221" s="83">
        <v>2017</v>
      </c>
      <c r="K221" s="83">
        <v>2018</v>
      </c>
      <c r="L221" s="83">
        <v>2019</v>
      </c>
    </row>
    <row r="222" spans="2:12">
      <c r="B222" s="37" t="s">
        <v>135</v>
      </c>
      <c r="C222" s="38">
        <f>SUM(C201:C203,C207:C210,C213)</f>
        <v>57.5</v>
      </c>
      <c r="D222" s="38">
        <f t="shared" ref="D222:G222" si="101">SUM(D201:D203,D207:D210,D213)</f>
        <v>54.000000000000007</v>
      </c>
      <c r="E222" s="38">
        <f t="shared" si="101"/>
        <v>54.4</v>
      </c>
      <c r="F222" s="38">
        <f t="shared" si="101"/>
        <v>64.100000000000009</v>
      </c>
      <c r="G222" s="38">
        <f t="shared" si="101"/>
        <v>65.2</v>
      </c>
      <c r="H222" s="38">
        <f>SUM(H201:H203,H207:H210,H213)</f>
        <v>59.29999999999999</v>
      </c>
      <c r="I222" s="38">
        <f>SUM(I201:I203,I207:I210,I213)</f>
        <v>64.400000000000006</v>
      </c>
      <c r="J222" s="38">
        <f>SUM(J201:J203,J207:J210,J213)</f>
        <v>57</v>
      </c>
      <c r="K222" s="38">
        <f>SUM(K201:K203,K207:K210,K213)</f>
        <v>62.4</v>
      </c>
      <c r="L222" s="38">
        <f>SUM(L201:L203,L207:L210,L213)</f>
        <v>61.3</v>
      </c>
    </row>
    <row r="223" spans="2:12">
      <c r="B223" s="69" t="s">
        <v>136</v>
      </c>
      <c r="C223" s="70">
        <f t="shared" ref="C223:G223" si="102">SUM(C204:C206,C211:C212)</f>
        <v>42.500000000000014</v>
      </c>
      <c r="D223" s="70">
        <f t="shared" si="102"/>
        <v>45.999999999999979</v>
      </c>
      <c r="E223" s="70">
        <f t="shared" si="102"/>
        <v>45.599999999999987</v>
      </c>
      <c r="F223" s="70">
        <f t="shared" si="102"/>
        <v>35.900000000000006</v>
      </c>
      <c r="G223" s="70">
        <f t="shared" si="102"/>
        <v>34.799999999999997</v>
      </c>
      <c r="H223" s="70">
        <f>SUM(H204:H206,H211:H212)</f>
        <v>40.700000000000003</v>
      </c>
      <c r="I223" s="70">
        <f>SUM(I204:I206,I211:I212)</f>
        <v>35.6</v>
      </c>
      <c r="J223" s="70">
        <f>SUM(J204:J206,J211:J212)</f>
        <v>43</v>
      </c>
      <c r="K223" s="70">
        <f>SUM(K204:K206,K211:K212)</f>
        <v>37.599999999999987</v>
      </c>
      <c r="L223" s="70">
        <f>SUM(L204:L206,L211:L212)</f>
        <v>38.700000000000017</v>
      </c>
    </row>
    <row r="224" spans="2:12">
      <c r="B224" s="68"/>
    </row>
    <row r="225" spans="1:14">
      <c r="A225" s="112"/>
      <c r="B225" s="34" t="s">
        <v>72</v>
      </c>
      <c r="C225" s="113"/>
      <c r="D225" s="114"/>
      <c r="E225" s="114"/>
      <c r="F225" s="114"/>
      <c r="G225" s="114"/>
      <c r="H225" s="114"/>
      <c r="I225" s="114"/>
      <c r="J225" s="114"/>
      <c r="K225" s="114"/>
      <c r="L225" s="114"/>
    </row>
    <row r="226" spans="1:14">
      <c r="A226" s="112"/>
      <c r="B226" s="82"/>
      <c r="C226" s="83">
        <v>2010</v>
      </c>
      <c r="D226" s="83">
        <v>2011</v>
      </c>
      <c r="E226" s="83">
        <v>2012</v>
      </c>
      <c r="F226" s="83">
        <v>2013</v>
      </c>
      <c r="G226" s="83">
        <v>2014</v>
      </c>
      <c r="H226" s="83">
        <v>2015</v>
      </c>
      <c r="I226" s="83">
        <v>2016</v>
      </c>
      <c r="J226" s="83">
        <v>2017</v>
      </c>
      <c r="K226" s="83">
        <v>2018</v>
      </c>
      <c r="L226" s="83">
        <v>2019</v>
      </c>
      <c r="M226" s="122" t="s">
        <v>107</v>
      </c>
      <c r="N226" s="122" t="s">
        <v>108</v>
      </c>
    </row>
    <row r="227" spans="1:14">
      <c r="A227" s="112"/>
      <c r="B227" s="63" t="s">
        <v>6</v>
      </c>
      <c r="C227" s="16">
        <v>16686.268980000001</v>
      </c>
      <c r="D227" s="16">
        <v>16703.63078</v>
      </c>
      <c r="E227" s="16">
        <v>16926.57878</v>
      </c>
      <c r="F227" s="16">
        <v>16984.611779999999</v>
      </c>
      <c r="G227" s="16">
        <v>16990.841779999999</v>
      </c>
      <c r="H227" s="16">
        <v>17026.746629999994</v>
      </c>
      <c r="I227" s="16">
        <v>17030.846629999996</v>
      </c>
      <c r="J227" s="16">
        <v>17028.009629999997</v>
      </c>
      <c r="K227" s="16">
        <v>17046.821230000001</v>
      </c>
      <c r="L227" s="16">
        <v>17085.154229999996</v>
      </c>
      <c r="M227" s="15">
        <f>((L227/K227)-1)*100</f>
        <v>0.22486890360846612</v>
      </c>
      <c r="N227" s="16">
        <f>L227-K227</f>
        <v>38.332999999995081</v>
      </c>
    </row>
    <row r="228" spans="1:14">
      <c r="A228" s="112"/>
      <c r="B228" s="22" t="s">
        <v>73</v>
      </c>
      <c r="C228" s="16">
        <v>2450.9399999999996</v>
      </c>
      <c r="D228" s="16">
        <v>2450.9399999999996</v>
      </c>
      <c r="E228" s="16">
        <v>2450.9399999999996</v>
      </c>
      <c r="F228" s="16">
        <v>2450.9399999999996</v>
      </c>
      <c r="G228" s="16">
        <v>2450.9399999999996</v>
      </c>
      <c r="H228" s="16">
        <v>3328.8900000000003</v>
      </c>
      <c r="I228" s="16">
        <v>3328.8900000000003</v>
      </c>
      <c r="J228" s="16">
        <v>3328.8900000000003</v>
      </c>
      <c r="K228" s="16">
        <v>3328.8900000000003</v>
      </c>
      <c r="L228" s="16">
        <v>3328.8900000000003</v>
      </c>
      <c r="M228" s="15">
        <f t="shared" ref="M228:M242" si="103">((L228/K228)-1)*100</f>
        <v>0</v>
      </c>
      <c r="N228" s="16">
        <f t="shared" ref="N228:N239" si="104">L228-K228</f>
        <v>0</v>
      </c>
    </row>
    <row r="229" spans="1:14">
      <c r="A229" s="112"/>
      <c r="B229" s="63" t="s">
        <v>7</v>
      </c>
      <c r="C229" s="16">
        <v>7515.3700000000008</v>
      </c>
      <c r="D229" s="16">
        <v>7572.58</v>
      </c>
      <c r="E229" s="16">
        <v>7572.58</v>
      </c>
      <c r="F229" s="16">
        <v>7572.58</v>
      </c>
      <c r="G229" s="16">
        <v>7572.58</v>
      </c>
      <c r="H229" s="16">
        <v>7572.58</v>
      </c>
      <c r="I229" s="16">
        <v>7572.58</v>
      </c>
      <c r="J229" s="16">
        <v>7117.29</v>
      </c>
      <c r="K229" s="16">
        <v>7117.29</v>
      </c>
      <c r="L229" s="16">
        <v>7117.29</v>
      </c>
      <c r="M229" s="15">
        <f t="shared" si="103"/>
        <v>0</v>
      </c>
      <c r="N229" s="16">
        <f t="shared" si="104"/>
        <v>0</v>
      </c>
    </row>
    <row r="230" spans="1:14">
      <c r="A230" s="112"/>
      <c r="B230" s="63" t="s">
        <v>8</v>
      </c>
      <c r="C230" s="16">
        <v>10873.95</v>
      </c>
      <c r="D230" s="16">
        <v>11103.390000000001</v>
      </c>
      <c r="E230" s="16">
        <v>10595.47</v>
      </c>
      <c r="F230" s="16">
        <v>10610.37</v>
      </c>
      <c r="G230" s="16">
        <v>10468.02</v>
      </c>
      <c r="H230" s="16">
        <v>10468.02</v>
      </c>
      <c r="I230" s="16">
        <v>9535.869999999999</v>
      </c>
      <c r="J230" s="16">
        <v>9535.869999999999</v>
      </c>
      <c r="K230" s="16">
        <v>9561.8849999999984</v>
      </c>
      <c r="L230" s="16">
        <v>9215.0449999999983</v>
      </c>
      <c r="M230" s="15">
        <f t="shared" si="103"/>
        <v>-3.6273182536706972</v>
      </c>
      <c r="N230" s="16">
        <f t="shared" si="104"/>
        <v>-346.84000000000015</v>
      </c>
    </row>
    <row r="231" spans="1:14">
      <c r="A231" s="112"/>
      <c r="B231" s="63" t="s">
        <v>27</v>
      </c>
      <c r="C231" s="16">
        <v>2144.79</v>
      </c>
      <c r="D231" s="16">
        <v>806.52</v>
      </c>
      <c r="E231" s="16">
        <v>505.52</v>
      </c>
      <c r="F231" s="16">
        <v>505.52</v>
      </c>
      <c r="G231" s="16">
        <v>505.52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5" t="s">
        <v>26</v>
      </c>
      <c r="N231" s="16">
        <f t="shared" si="104"/>
        <v>0</v>
      </c>
    </row>
    <row r="232" spans="1:14">
      <c r="A232" s="112"/>
      <c r="B232" s="63" t="s">
        <v>28</v>
      </c>
      <c r="C232" s="16">
        <v>24844.380000000005</v>
      </c>
      <c r="D232" s="16">
        <v>24911.730000000003</v>
      </c>
      <c r="E232" s="16">
        <v>24947.71</v>
      </c>
      <c r="F232" s="16">
        <v>24947.71</v>
      </c>
      <c r="G232" s="16">
        <v>24947.71</v>
      </c>
      <c r="H232" s="16">
        <v>24947.71</v>
      </c>
      <c r="I232" s="16">
        <v>24947.71</v>
      </c>
      <c r="J232" s="16">
        <v>24947.71</v>
      </c>
      <c r="K232" s="16">
        <v>24561.86</v>
      </c>
      <c r="L232" s="16">
        <v>24561.86</v>
      </c>
      <c r="M232" s="15">
        <f t="shared" si="103"/>
        <v>0</v>
      </c>
      <c r="N232" s="16">
        <f t="shared" si="104"/>
        <v>0</v>
      </c>
    </row>
    <row r="233" spans="1:14">
      <c r="A233" s="112"/>
      <c r="B233" s="63" t="s">
        <v>10</v>
      </c>
      <c r="C233" s="16">
        <v>19561.053450000003</v>
      </c>
      <c r="D233" s="16">
        <v>21018.087449999999</v>
      </c>
      <c r="E233" s="16">
        <v>22608.70205</v>
      </c>
      <c r="F233" s="16">
        <v>22852.974049999993</v>
      </c>
      <c r="G233" s="16">
        <v>22871.444549999997</v>
      </c>
      <c r="H233" s="16">
        <v>22848.555149999993</v>
      </c>
      <c r="I233" s="16">
        <v>22894.60815</v>
      </c>
      <c r="J233" s="16">
        <v>22920.170750000001</v>
      </c>
      <c r="K233" s="16">
        <v>23172.989000000001</v>
      </c>
      <c r="L233" s="16">
        <v>24791.137999999999</v>
      </c>
      <c r="M233" s="15">
        <f t="shared" si="103"/>
        <v>6.9829101459462084</v>
      </c>
      <c r="N233" s="16">
        <f t="shared" si="104"/>
        <v>1618.1489999999976</v>
      </c>
    </row>
    <row r="234" spans="1:14">
      <c r="A234" s="112"/>
      <c r="B234" s="63" t="s">
        <v>11</v>
      </c>
      <c r="C234" s="16">
        <v>3645.2139100000977</v>
      </c>
      <c r="D234" s="16">
        <v>4032.0594600000986</v>
      </c>
      <c r="E234" s="16">
        <v>4293.5912300000982</v>
      </c>
      <c r="F234" s="16">
        <v>4396.5001700001485</v>
      </c>
      <c r="G234" s="16">
        <v>4402.664610000149</v>
      </c>
      <c r="H234" s="16">
        <v>4434.9399910001284</v>
      </c>
      <c r="I234" s="16">
        <v>4438.9119710001287</v>
      </c>
      <c r="J234" s="16">
        <v>4440.729345000128</v>
      </c>
      <c r="K234" s="16">
        <v>4466.3924600001274</v>
      </c>
      <c r="L234" s="16">
        <v>7575.8131000000303</v>
      </c>
      <c r="M234" s="15">
        <f t="shared" si="103"/>
        <v>69.618168753576441</v>
      </c>
      <c r="N234" s="16">
        <f t="shared" si="104"/>
        <v>3109.420639999903</v>
      </c>
    </row>
    <row r="235" spans="1:14">
      <c r="A235" s="112"/>
      <c r="B235" s="63" t="s">
        <v>12</v>
      </c>
      <c r="C235" s="16">
        <v>531.91999999999996</v>
      </c>
      <c r="D235" s="16">
        <v>998.52</v>
      </c>
      <c r="E235" s="16">
        <v>1949.92</v>
      </c>
      <c r="F235" s="16">
        <v>2299.4275000000002</v>
      </c>
      <c r="G235" s="16">
        <v>2299.4275000000002</v>
      </c>
      <c r="H235" s="16">
        <v>2304.0129999999999</v>
      </c>
      <c r="I235" s="16">
        <v>2304.0129999999999</v>
      </c>
      <c r="J235" s="16">
        <v>2304.0129999999999</v>
      </c>
      <c r="K235" s="16">
        <v>2304.0129999999999</v>
      </c>
      <c r="L235" s="16">
        <v>2304.0129999999999</v>
      </c>
      <c r="M235" s="15">
        <f t="shared" si="103"/>
        <v>0</v>
      </c>
      <c r="N235" s="16">
        <f t="shared" si="104"/>
        <v>0</v>
      </c>
    </row>
    <row r="236" spans="1:14">
      <c r="A236" s="112"/>
      <c r="B236" s="22" t="s">
        <v>29</v>
      </c>
      <c r="C236" s="16">
        <v>778.78391000000011</v>
      </c>
      <c r="D236" s="16">
        <v>882.91990999999996</v>
      </c>
      <c r="E236" s="16">
        <v>968.43241</v>
      </c>
      <c r="F236" s="16">
        <v>944.44241000000011</v>
      </c>
      <c r="G236" s="16">
        <v>981.96541000000002</v>
      </c>
      <c r="H236" s="16">
        <v>876.26799999999992</v>
      </c>
      <c r="I236" s="16">
        <v>864.57499999999982</v>
      </c>
      <c r="J236" s="16">
        <v>866.30100000000004</v>
      </c>
      <c r="K236" s="16">
        <v>872.92199999999991</v>
      </c>
      <c r="L236" s="16">
        <v>975.03800000000012</v>
      </c>
      <c r="M236" s="15">
        <f t="shared" si="103"/>
        <v>11.698181509917283</v>
      </c>
      <c r="N236" s="16">
        <f t="shared" si="104"/>
        <v>102.11600000000021</v>
      </c>
    </row>
    <row r="237" spans="1:14">
      <c r="A237" s="112"/>
      <c r="B237" s="22" t="s">
        <v>13</v>
      </c>
      <c r="C237" s="16">
        <v>7098.0841999999993</v>
      </c>
      <c r="D237" s="16">
        <v>7179.0716999999986</v>
      </c>
      <c r="E237" s="16">
        <v>7117.1501999999982</v>
      </c>
      <c r="F237" s="16">
        <v>7057.8806999999997</v>
      </c>
      <c r="G237" s="16">
        <v>7047.8021999999992</v>
      </c>
      <c r="H237" s="16">
        <v>6143.5880099999995</v>
      </c>
      <c r="I237" s="16">
        <v>5955.8200100000004</v>
      </c>
      <c r="J237" s="16">
        <v>5791.7350100000012</v>
      </c>
      <c r="K237" s="16">
        <v>5718.4018999999998</v>
      </c>
      <c r="L237" s="16">
        <v>5677.8231999999998</v>
      </c>
      <c r="M237" s="15">
        <f t="shared" si="103"/>
        <v>-0.70961609046751306</v>
      </c>
      <c r="N237" s="16">
        <f t="shared" si="104"/>
        <v>-40.578700000000026</v>
      </c>
    </row>
    <row r="238" spans="1:14">
      <c r="A238" s="112"/>
      <c r="B238" s="22" t="s">
        <v>74</v>
      </c>
      <c r="C238" s="16" t="s">
        <v>26</v>
      </c>
      <c r="D238" s="16" t="s">
        <v>26</v>
      </c>
      <c r="E238" s="16" t="s">
        <v>26</v>
      </c>
      <c r="F238" s="16" t="s">
        <v>26</v>
      </c>
      <c r="G238" s="16" t="s">
        <v>26</v>
      </c>
      <c r="H238" s="16">
        <v>469.58749999999998</v>
      </c>
      <c r="I238" s="16">
        <v>457.65549999999996</v>
      </c>
      <c r="J238" s="16">
        <v>457.65549999999996</v>
      </c>
      <c r="K238" s="16">
        <v>451.1275</v>
      </c>
      <c r="L238" s="16">
        <v>451.1275</v>
      </c>
      <c r="M238" s="15">
        <f t="shared" si="103"/>
        <v>0</v>
      </c>
      <c r="N238" s="16">
        <f t="shared" si="104"/>
        <v>0</v>
      </c>
    </row>
    <row r="239" spans="1:14">
      <c r="A239" s="112"/>
      <c r="B239" s="63" t="s">
        <v>75</v>
      </c>
      <c r="C239" s="16" t="s">
        <v>26</v>
      </c>
      <c r="D239" s="16" t="s">
        <v>26</v>
      </c>
      <c r="E239" s="16" t="s">
        <v>26</v>
      </c>
      <c r="F239" s="16" t="s">
        <v>26</v>
      </c>
      <c r="G239" s="16" t="s">
        <v>26</v>
      </c>
      <c r="H239" s="16">
        <v>121.7915</v>
      </c>
      <c r="I239" s="16">
        <v>121.7915</v>
      </c>
      <c r="J239" s="16">
        <v>121.7915</v>
      </c>
      <c r="K239" s="16">
        <v>121.7915</v>
      </c>
      <c r="L239" s="16">
        <v>121.7915</v>
      </c>
      <c r="M239" s="15">
        <f t="shared" si="103"/>
        <v>0</v>
      </c>
      <c r="N239" s="16">
        <f t="shared" si="104"/>
        <v>0</v>
      </c>
    </row>
    <row r="240" spans="1:14">
      <c r="B240" s="65" t="s">
        <v>114</v>
      </c>
      <c r="C240" s="66">
        <f t="shared" ref="C240:K240" si="105">SUM(C227,C233:C236,C239)</f>
        <v>41203.240250000097</v>
      </c>
      <c r="D240" s="66">
        <f t="shared" si="105"/>
        <v>43635.217600000091</v>
      </c>
      <c r="E240" s="66">
        <f t="shared" si="105"/>
        <v>46747.224470000103</v>
      </c>
      <c r="F240" s="66">
        <f t="shared" si="105"/>
        <v>47477.955910000142</v>
      </c>
      <c r="G240" s="66">
        <f t="shared" si="105"/>
        <v>47546.343850000136</v>
      </c>
      <c r="H240" s="66">
        <f t="shared" si="105"/>
        <v>47612.314271000112</v>
      </c>
      <c r="I240" s="66">
        <f t="shared" si="105"/>
        <v>47654.746251000121</v>
      </c>
      <c r="J240" s="66">
        <f t="shared" si="105"/>
        <v>47681.015225000127</v>
      </c>
      <c r="K240" s="66">
        <f t="shared" si="105"/>
        <v>47984.929190000126</v>
      </c>
      <c r="L240" s="66">
        <f>SUM(L227,L233:L236,L239)</f>
        <v>52852.947830000019</v>
      </c>
      <c r="M240" s="67">
        <f t="shared" si="103"/>
        <v>10.144890744184675</v>
      </c>
      <c r="N240" s="66">
        <f>SUM(N227,N233:N236,N239)</f>
        <v>4868.0186399998956</v>
      </c>
    </row>
    <row r="241" spans="1:14">
      <c r="B241" s="65" t="s">
        <v>115</v>
      </c>
      <c r="C241" s="66">
        <f t="shared" ref="C241:K241" si="106">SUM(C228:C232,C237:C238,)</f>
        <v>54927.514200000005</v>
      </c>
      <c r="D241" s="66">
        <f t="shared" si="106"/>
        <v>54024.231700000004</v>
      </c>
      <c r="E241" s="66">
        <f t="shared" si="106"/>
        <v>53189.370199999998</v>
      </c>
      <c r="F241" s="66">
        <f t="shared" si="106"/>
        <v>53145.000699999997</v>
      </c>
      <c r="G241" s="66">
        <f t="shared" si="106"/>
        <v>52992.572200000002</v>
      </c>
      <c r="H241" s="66">
        <f t="shared" si="106"/>
        <v>52930.375509999998</v>
      </c>
      <c r="I241" s="66">
        <f t="shared" si="106"/>
        <v>51798.525510000007</v>
      </c>
      <c r="J241" s="66">
        <f t="shared" si="106"/>
        <v>51179.150509999999</v>
      </c>
      <c r="K241" s="66">
        <f t="shared" si="106"/>
        <v>50739.454400000002</v>
      </c>
      <c r="L241" s="66">
        <f>SUM(L228:L232,L237:L238,)</f>
        <v>50352.0357</v>
      </c>
      <c r="M241" s="67">
        <f t="shared" si="103"/>
        <v>-0.76354526192934369</v>
      </c>
      <c r="N241" s="66">
        <f>SUM(N228:N232,N237:N238,)</f>
        <v>-387.41870000000017</v>
      </c>
    </row>
    <row r="242" spans="1:14">
      <c r="A242" s="112"/>
      <c r="B242" s="54" t="s">
        <v>32</v>
      </c>
      <c r="C242" s="55">
        <f>SUM(C227:C239)</f>
        <v>96130.754450000095</v>
      </c>
      <c r="D242" s="55">
        <f t="shared" ref="D242:L242" si="107">SUM(D227:D239)</f>
        <v>97659.449300000109</v>
      </c>
      <c r="E242" s="55">
        <f t="shared" si="107"/>
        <v>99936.594670000093</v>
      </c>
      <c r="F242" s="55">
        <f t="shared" si="107"/>
        <v>100622.95661000014</v>
      </c>
      <c r="G242" s="55">
        <f t="shared" si="107"/>
        <v>100538.91605000016</v>
      </c>
      <c r="H242" s="55">
        <f t="shared" si="107"/>
        <v>100542.68978100012</v>
      </c>
      <c r="I242" s="55">
        <f t="shared" si="107"/>
        <v>99453.271761000113</v>
      </c>
      <c r="J242" s="55">
        <f t="shared" si="107"/>
        <v>98860.165735000148</v>
      </c>
      <c r="K242" s="55">
        <f t="shared" si="107"/>
        <v>98724.383590000158</v>
      </c>
      <c r="L242" s="55">
        <f t="shared" si="107"/>
        <v>103204.98353000003</v>
      </c>
      <c r="M242" s="67">
        <f t="shared" si="103"/>
        <v>4.5384937105383161</v>
      </c>
      <c r="N242" s="55">
        <f t="shared" ref="N242" si="108">SUM(N227:N239)</f>
        <v>4480.5999399998955</v>
      </c>
    </row>
    <row r="243" spans="1:14" s="61" customFormat="1">
      <c r="A243" s="112"/>
      <c r="B243" s="41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3"/>
      <c r="N243" s="42"/>
    </row>
    <row r="244" spans="1:14">
      <c r="A244" s="112"/>
      <c r="B244" s="34" t="s">
        <v>137</v>
      </c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3"/>
      <c r="N244" s="42"/>
    </row>
    <row r="245" spans="1:14">
      <c r="A245" s="112"/>
      <c r="B245" s="82"/>
      <c r="C245" s="83">
        <v>2010</v>
      </c>
      <c r="D245" s="83">
        <v>2011</v>
      </c>
      <c r="E245" s="83">
        <v>2012</v>
      </c>
      <c r="F245" s="83">
        <v>2013</v>
      </c>
      <c r="G245" s="83">
        <v>2014</v>
      </c>
      <c r="H245" s="83">
        <v>2015</v>
      </c>
      <c r="I245" s="83">
        <v>2016</v>
      </c>
      <c r="J245" s="83">
        <v>2017</v>
      </c>
      <c r="K245" s="83">
        <v>2018</v>
      </c>
      <c r="L245" s="83">
        <v>2019</v>
      </c>
      <c r="M245" s="122" t="s">
        <v>107</v>
      </c>
      <c r="N245" s="122" t="s">
        <v>108</v>
      </c>
    </row>
    <row r="246" spans="1:14">
      <c r="A246" s="112"/>
      <c r="B246" s="37" t="s">
        <v>8</v>
      </c>
      <c r="C246" s="39">
        <v>468.4</v>
      </c>
      <c r="D246" s="39">
        <v>468.4</v>
      </c>
      <c r="E246" s="39">
        <v>468.4</v>
      </c>
      <c r="F246" s="39">
        <v>468.4</v>
      </c>
      <c r="G246" s="39">
        <v>468.4</v>
      </c>
      <c r="H246" s="39">
        <v>468.4</v>
      </c>
      <c r="I246" s="39">
        <v>468.4</v>
      </c>
      <c r="J246" s="39">
        <v>468.4</v>
      </c>
      <c r="K246" s="39">
        <v>468.4</v>
      </c>
      <c r="L246" s="39">
        <v>468.4</v>
      </c>
      <c r="M246" s="38">
        <f t="shared" ref="M246:M257" si="109">((L246/K246)-1)*100</f>
        <v>0</v>
      </c>
      <c r="N246" s="16">
        <f>L246-K246</f>
        <v>0</v>
      </c>
    </row>
    <row r="247" spans="1:14">
      <c r="A247" s="112"/>
      <c r="B247" s="125" t="s">
        <v>33</v>
      </c>
      <c r="C247" s="126">
        <v>196.2</v>
      </c>
      <c r="D247" s="126">
        <v>182</v>
      </c>
      <c r="E247" s="126">
        <v>182</v>
      </c>
      <c r="F247" s="126">
        <v>182</v>
      </c>
      <c r="G247" s="126">
        <v>182</v>
      </c>
      <c r="H247" s="126">
        <v>182</v>
      </c>
      <c r="I247" s="126">
        <v>182</v>
      </c>
      <c r="J247" s="126">
        <v>182</v>
      </c>
      <c r="K247" s="126">
        <v>182</v>
      </c>
      <c r="L247" s="126">
        <f>182-(14.2*3)</f>
        <v>139.4</v>
      </c>
      <c r="M247" s="133">
        <f t="shared" si="109"/>
        <v>-23.406593406593402</v>
      </c>
      <c r="N247" s="126">
        <f t="shared" ref="N247:N257" si="110">L247-K247</f>
        <v>-42.599999999999994</v>
      </c>
    </row>
    <row r="248" spans="1:14">
      <c r="A248" s="112"/>
      <c r="B248" s="125" t="s">
        <v>34</v>
      </c>
      <c r="C248" s="126">
        <v>533.4</v>
      </c>
      <c r="D248" s="126">
        <v>533.4</v>
      </c>
      <c r="E248" s="126">
        <v>557.4</v>
      </c>
      <c r="F248" s="126">
        <v>605.4</v>
      </c>
      <c r="G248" s="126">
        <v>605.4</v>
      </c>
      <c r="H248" s="126">
        <v>605.4</v>
      </c>
      <c r="I248" s="126">
        <v>605.4</v>
      </c>
      <c r="J248" s="126">
        <v>605.4</v>
      </c>
      <c r="K248" s="126">
        <v>605.4</v>
      </c>
      <c r="L248" s="126">
        <v>605.4</v>
      </c>
      <c r="M248" s="133">
        <f t="shared" si="109"/>
        <v>0</v>
      </c>
      <c r="N248" s="126">
        <f t="shared" si="110"/>
        <v>0</v>
      </c>
    </row>
    <row r="249" spans="1:14">
      <c r="A249" s="112"/>
      <c r="B249" s="37" t="s">
        <v>36</v>
      </c>
      <c r="C249" s="39">
        <f>SUM(C247:C248)</f>
        <v>729.59999999999991</v>
      </c>
      <c r="D249" s="39">
        <f t="shared" ref="D249:L249" si="111">SUM(D247:D248)</f>
        <v>715.4</v>
      </c>
      <c r="E249" s="39">
        <f t="shared" si="111"/>
        <v>739.4</v>
      </c>
      <c r="F249" s="39">
        <f t="shared" si="111"/>
        <v>787.4</v>
      </c>
      <c r="G249" s="39">
        <f t="shared" si="111"/>
        <v>787.4</v>
      </c>
      <c r="H249" s="39">
        <f t="shared" si="111"/>
        <v>787.4</v>
      </c>
      <c r="I249" s="39">
        <f t="shared" si="111"/>
        <v>787.4</v>
      </c>
      <c r="J249" s="39">
        <f t="shared" si="111"/>
        <v>787.4</v>
      </c>
      <c r="K249" s="39">
        <f t="shared" si="111"/>
        <v>787.4</v>
      </c>
      <c r="L249" s="39">
        <f t="shared" si="111"/>
        <v>744.8</v>
      </c>
      <c r="M249" s="38">
        <f t="shared" si="109"/>
        <v>-5.4102108204216464</v>
      </c>
      <c r="N249" s="39">
        <f t="shared" si="110"/>
        <v>-42.600000000000023</v>
      </c>
    </row>
    <row r="250" spans="1:14">
      <c r="A250" s="112"/>
      <c r="B250" s="37" t="s">
        <v>28</v>
      </c>
      <c r="C250" s="39">
        <v>857.95</v>
      </c>
      <c r="D250" s="39">
        <v>857.95</v>
      </c>
      <c r="E250" s="39">
        <v>857.95</v>
      </c>
      <c r="F250" s="39">
        <v>857.95</v>
      </c>
      <c r="G250" s="39">
        <v>857.95</v>
      </c>
      <c r="H250" s="39">
        <v>857.95</v>
      </c>
      <c r="I250" s="39">
        <v>857.95</v>
      </c>
      <c r="J250" s="39">
        <v>857.95</v>
      </c>
      <c r="K250" s="39">
        <v>857.95</v>
      </c>
      <c r="L250" s="39">
        <v>857.95</v>
      </c>
      <c r="M250" s="38">
        <f t="shared" si="109"/>
        <v>0</v>
      </c>
      <c r="N250" s="39">
        <f t="shared" si="110"/>
        <v>0</v>
      </c>
    </row>
    <row r="251" spans="1:14">
      <c r="A251" s="112"/>
      <c r="B251" s="37" t="s">
        <v>37</v>
      </c>
      <c r="C251" s="39" t="s">
        <v>26</v>
      </c>
      <c r="D251" s="39" t="s">
        <v>26</v>
      </c>
      <c r="E251" s="39" t="s">
        <v>26</v>
      </c>
      <c r="F251" s="39" t="s">
        <v>26</v>
      </c>
      <c r="G251" s="39" t="s">
        <v>26</v>
      </c>
      <c r="H251" s="39" t="s">
        <v>26</v>
      </c>
      <c r="I251" s="39" t="s">
        <v>26</v>
      </c>
      <c r="J251" s="39" t="s">
        <v>26</v>
      </c>
      <c r="K251" s="39" t="s">
        <v>26</v>
      </c>
      <c r="L251" s="39" t="s">
        <v>26</v>
      </c>
      <c r="M251" s="38" t="s">
        <v>26</v>
      </c>
      <c r="N251" s="39" t="s">
        <v>26</v>
      </c>
    </row>
    <row r="252" spans="1:14">
      <c r="A252" s="112"/>
      <c r="B252" s="40" t="s">
        <v>10</v>
      </c>
      <c r="C252" s="39">
        <v>3.6762999999999999</v>
      </c>
      <c r="D252" s="39">
        <v>3.6762999999999901</v>
      </c>
      <c r="E252" s="39">
        <v>3.6762999999999901</v>
      </c>
      <c r="F252" s="39">
        <v>3.6762999999999999</v>
      </c>
      <c r="G252" s="39">
        <v>3.6762999999999999</v>
      </c>
      <c r="H252" s="39">
        <v>3.6474999999999906</v>
      </c>
      <c r="I252" s="39">
        <v>3.6474999999999906</v>
      </c>
      <c r="J252" s="39">
        <v>3.6474999999999906</v>
      </c>
      <c r="K252" s="39">
        <v>3.6374999999999909</v>
      </c>
      <c r="L252" s="39">
        <v>3.6374999999999909</v>
      </c>
      <c r="M252" s="38">
        <f t="shared" si="109"/>
        <v>0</v>
      </c>
      <c r="N252" s="39">
        <f t="shared" si="110"/>
        <v>0</v>
      </c>
    </row>
    <row r="253" spans="1:14">
      <c r="A253" s="112"/>
      <c r="B253" s="40" t="s">
        <v>11</v>
      </c>
      <c r="C253" s="39">
        <v>59.013529999999705</v>
      </c>
      <c r="D253" s="39">
        <v>63.132079999999704</v>
      </c>
      <c r="E253" s="39">
        <v>77.5061299999997</v>
      </c>
      <c r="F253" s="39">
        <v>77.674929999999904</v>
      </c>
      <c r="G253" s="39">
        <v>77.733829999999898</v>
      </c>
      <c r="H253" s="39">
        <v>78.831459999999851</v>
      </c>
      <c r="I253" s="39">
        <v>79.489214999999845</v>
      </c>
      <c r="J253" s="39">
        <v>80.078084999999845</v>
      </c>
      <c r="K253" s="39">
        <v>80.523744999999849</v>
      </c>
      <c r="L253" s="39">
        <v>80.952014999999847</v>
      </c>
      <c r="M253" s="38">
        <f t="shared" si="109"/>
        <v>0.53185554149275394</v>
      </c>
      <c r="N253" s="39">
        <f t="shared" si="110"/>
        <v>0.42826999999999771</v>
      </c>
    </row>
    <row r="254" spans="1:14">
      <c r="A254" s="112"/>
      <c r="B254" s="22" t="s">
        <v>29</v>
      </c>
      <c r="C254" s="39" t="s">
        <v>26</v>
      </c>
      <c r="D254" s="39" t="s">
        <v>26</v>
      </c>
      <c r="E254" s="39">
        <v>2.13</v>
      </c>
      <c r="F254" s="39">
        <v>2.13</v>
      </c>
      <c r="G254" s="39">
        <v>2.13</v>
      </c>
      <c r="H254" s="39">
        <v>2.13</v>
      </c>
      <c r="I254" s="39">
        <v>2.13</v>
      </c>
      <c r="J254" s="39">
        <v>2.13</v>
      </c>
      <c r="K254" s="39">
        <v>2.13</v>
      </c>
      <c r="L254" s="39">
        <v>2.13</v>
      </c>
      <c r="M254" s="38">
        <f t="shared" si="109"/>
        <v>0</v>
      </c>
      <c r="N254" s="39">
        <f t="shared" si="110"/>
        <v>0</v>
      </c>
    </row>
    <row r="255" spans="1:14">
      <c r="A255" s="112"/>
      <c r="B255" s="22" t="s">
        <v>13</v>
      </c>
      <c r="C255" s="39">
        <v>81.170999999999992</v>
      </c>
      <c r="D255" s="39">
        <v>82.170999999999992</v>
      </c>
      <c r="E255" s="39">
        <v>85.625</v>
      </c>
      <c r="F255" s="39">
        <v>85.625</v>
      </c>
      <c r="G255" s="39">
        <v>85.625</v>
      </c>
      <c r="H255" s="39">
        <v>10.486999999999998</v>
      </c>
      <c r="I255" s="39">
        <v>10.486999999999998</v>
      </c>
      <c r="J255" s="39">
        <v>10.486999999999998</v>
      </c>
      <c r="K255" s="39">
        <v>10.486999999999998</v>
      </c>
      <c r="L255" s="39">
        <v>10.486999999999998</v>
      </c>
      <c r="M255" s="38">
        <f t="shared" si="109"/>
        <v>0</v>
      </c>
      <c r="N255" s="39">
        <f t="shared" si="110"/>
        <v>0</v>
      </c>
    </row>
    <row r="256" spans="1:14">
      <c r="A256" s="112"/>
      <c r="B256" s="22" t="s">
        <v>14</v>
      </c>
      <c r="C256" s="39" t="s">
        <v>26</v>
      </c>
      <c r="D256" s="39" t="s">
        <v>26</v>
      </c>
      <c r="E256" s="39" t="s">
        <v>26</v>
      </c>
      <c r="F256" s="39" t="s">
        <v>26</v>
      </c>
      <c r="G256" s="39" t="s">
        <v>26</v>
      </c>
      <c r="H256" s="39">
        <v>37.400000000000006</v>
      </c>
      <c r="I256" s="39">
        <v>37.400000000000006</v>
      </c>
      <c r="J256" s="39">
        <v>37.400000000000006</v>
      </c>
      <c r="K256" s="39">
        <v>37.400000000000006</v>
      </c>
      <c r="L256" s="39">
        <v>37.400000000000006</v>
      </c>
      <c r="M256" s="38">
        <f t="shared" si="109"/>
        <v>0</v>
      </c>
      <c r="N256" s="39">
        <f t="shared" si="110"/>
        <v>0</v>
      </c>
    </row>
    <row r="257" spans="1:14">
      <c r="A257" s="112"/>
      <c r="B257" s="22" t="s">
        <v>15</v>
      </c>
      <c r="C257" s="39" t="s">
        <v>26</v>
      </c>
      <c r="D257" s="39" t="s">
        <v>26</v>
      </c>
      <c r="E257" s="39" t="s">
        <v>26</v>
      </c>
      <c r="F257" s="39" t="s">
        <v>26</v>
      </c>
      <c r="G257" s="39" t="s">
        <v>26</v>
      </c>
      <c r="H257" s="39">
        <v>37.400000000000006</v>
      </c>
      <c r="I257" s="39">
        <v>37.400000000000006</v>
      </c>
      <c r="J257" s="39">
        <v>37.400000000000006</v>
      </c>
      <c r="K257" s="39">
        <v>37.400000000000006</v>
      </c>
      <c r="L257" s="39">
        <v>37.400000000000006</v>
      </c>
      <c r="M257" s="38">
        <f t="shared" si="109"/>
        <v>0</v>
      </c>
      <c r="N257" s="39">
        <f t="shared" si="110"/>
        <v>0</v>
      </c>
    </row>
    <row r="258" spans="1:14">
      <c r="B258" s="65" t="s">
        <v>114</v>
      </c>
      <c r="C258" s="66">
        <f>SUM(C252:C254,C257)</f>
        <v>62.689829999999702</v>
      </c>
      <c r="D258" s="66">
        <f t="shared" ref="D258:K258" si="112">SUM(D252:D254,D257)</f>
        <v>66.808379999999687</v>
      </c>
      <c r="E258" s="66">
        <f t="shared" si="112"/>
        <v>83.312429999999679</v>
      </c>
      <c r="F258" s="66">
        <f t="shared" si="112"/>
        <v>83.481229999999897</v>
      </c>
      <c r="G258" s="66">
        <f t="shared" si="112"/>
        <v>83.540129999999891</v>
      </c>
      <c r="H258" s="66">
        <f t="shared" si="112"/>
        <v>122.00895999999985</v>
      </c>
      <c r="I258" s="66">
        <f t="shared" si="112"/>
        <v>122.66671499999984</v>
      </c>
      <c r="J258" s="66">
        <f t="shared" si="112"/>
        <v>123.25558499999984</v>
      </c>
      <c r="K258" s="66">
        <f t="shared" si="112"/>
        <v>123.69124499999984</v>
      </c>
      <c r="L258" s="66">
        <f>SUM(L252:L254,L257)</f>
        <v>124.11951499999984</v>
      </c>
      <c r="M258" s="67">
        <f t="shared" ref="M258:M260" si="113">((L258/K258)-1)*100</f>
        <v>0.34624115878210127</v>
      </c>
      <c r="N258" s="66">
        <f t="shared" ref="N258" si="114">SUM(N252:N254,N257)</f>
        <v>0.42826999999999771</v>
      </c>
    </row>
    <row r="259" spans="1:14">
      <c r="B259" s="65" t="s">
        <v>115</v>
      </c>
      <c r="C259" s="66">
        <f>SUM(C246,C249:C251,C255:C256)</f>
        <v>2137.1209999999996</v>
      </c>
      <c r="D259" s="66">
        <f t="shared" ref="D259:K259" si="115">SUM(D246,D249:D251,D255:D256)</f>
        <v>2123.9209999999998</v>
      </c>
      <c r="E259" s="66">
        <f t="shared" si="115"/>
        <v>2151.375</v>
      </c>
      <c r="F259" s="66">
        <f t="shared" si="115"/>
        <v>2199.375</v>
      </c>
      <c r="G259" s="66">
        <f t="shared" si="115"/>
        <v>2199.375</v>
      </c>
      <c r="H259" s="66">
        <f>SUM(H246,H249:H251,H255:H256)</f>
        <v>2161.6370000000002</v>
      </c>
      <c r="I259" s="66">
        <f t="shared" si="115"/>
        <v>2161.6370000000002</v>
      </c>
      <c r="J259" s="66">
        <f t="shared" si="115"/>
        <v>2161.6370000000002</v>
      </c>
      <c r="K259" s="66">
        <f t="shared" si="115"/>
        <v>2161.6370000000002</v>
      </c>
      <c r="L259" s="66">
        <f>SUM(L246,L249:L251,L255:L256)</f>
        <v>2119.0369999999998</v>
      </c>
      <c r="M259" s="67">
        <f t="shared" si="113"/>
        <v>-1.970728665358723</v>
      </c>
      <c r="N259" s="66">
        <f>SUM(N246,N249:N251,N255:N256)</f>
        <v>-42.600000000000023</v>
      </c>
    </row>
    <row r="260" spans="1:14">
      <c r="A260" s="112"/>
      <c r="B260" s="54" t="s">
        <v>32</v>
      </c>
      <c r="C260" s="55">
        <f>SUM(C258:C259)</f>
        <v>2199.8108299999994</v>
      </c>
      <c r="D260" s="55">
        <f t="shared" ref="D260:L260" si="116">SUM(D258:D259)</f>
        <v>2190.7293799999993</v>
      </c>
      <c r="E260" s="55">
        <f t="shared" si="116"/>
        <v>2234.6874299999995</v>
      </c>
      <c r="F260" s="55">
        <f t="shared" si="116"/>
        <v>2282.8562299999999</v>
      </c>
      <c r="G260" s="55">
        <f t="shared" si="116"/>
        <v>2282.9151299999999</v>
      </c>
      <c r="H260" s="55">
        <f t="shared" si="116"/>
        <v>2283.6459599999998</v>
      </c>
      <c r="I260" s="55">
        <f t="shared" si="116"/>
        <v>2284.303715</v>
      </c>
      <c r="J260" s="55">
        <f t="shared" si="116"/>
        <v>2284.8925850000001</v>
      </c>
      <c r="K260" s="55">
        <f t="shared" si="116"/>
        <v>2285.3282450000002</v>
      </c>
      <c r="L260" s="55">
        <f t="shared" si="116"/>
        <v>2243.1565149999997</v>
      </c>
      <c r="M260" s="67">
        <f t="shared" si="113"/>
        <v>-1.8453248496038466</v>
      </c>
      <c r="N260" s="55">
        <f t="shared" ref="N260" si="117">SUM(N258:N259)</f>
        <v>-42.171730000000025</v>
      </c>
    </row>
    <row r="261" spans="1:14" s="61" customFormat="1">
      <c r="A261" s="112"/>
      <c r="B261" s="41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3"/>
      <c r="N261" s="42"/>
    </row>
    <row r="262" spans="1:14" s="61" customFormat="1">
      <c r="A262" s="112"/>
      <c r="B262" s="34" t="s">
        <v>138</v>
      </c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3"/>
      <c r="N262" s="42"/>
    </row>
    <row r="263" spans="1:14">
      <c r="A263" s="112"/>
      <c r="B263" s="82"/>
      <c r="C263" s="83">
        <v>2010</v>
      </c>
      <c r="D263" s="83">
        <v>2011</v>
      </c>
      <c r="E263" s="83">
        <v>2012</v>
      </c>
      <c r="F263" s="83">
        <v>2013</v>
      </c>
      <c r="G263" s="83">
        <v>2014</v>
      </c>
      <c r="H263" s="83">
        <v>2015</v>
      </c>
      <c r="I263" s="83">
        <v>2016</v>
      </c>
      <c r="J263" s="83">
        <v>2017</v>
      </c>
      <c r="K263" s="83">
        <v>2018</v>
      </c>
      <c r="L263" s="83">
        <v>2019</v>
      </c>
      <c r="M263" s="122" t="s">
        <v>107</v>
      </c>
      <c r="N263" s="122" t="s">
        <v>108</v>
      </c>
    </row>
    <row r="264" spans="1:14">
      <c r="A264" s="112"/>
      <c r="B264" s="37" t="s">
        <v>6</v>
      </c>
      <c r="C264" s="39">
        <v>1.2630000000000001</v>
      </c>
      <c r="D264" s="39">
        <v>1.2630000000000001</v>
      </c>
      <c r="E264" s="39">
        <v>1.2630000000000001</v>
      </c>
      <c r="F264" s="39">
        <v>1.2630000000000001</v>
      </c>
      <c r="G264" s="39">
        <v>1.2630000000000001</v>
      </c>
      <c r="H264" s="39">
        <v>2.02</v>
      </c>
      <c r="I264" s="39">
        <v>2.02</v>
      </c>
      <c r="J264" s="39">
        <v>2.02</v>
      </c>
      <c r="K264" s="39">
        <v>2.02</v>
      </c>
      <c r="L264" s="39">
        <v>2.02</v>
      </c>
      <c r="M264" s="38">
        <f t="shared" ref="M264:M278" si="118">((L264/K264)-1)*100</f>
        <v>0</v>
      </c>
      <c r="N264" s="16">
        <f>L264-K264</f>
        <v>0</v>
      </c>
    </row>
    <row r="265" spans="1:14">
      <c r="A265" s="112"/>
      <c r="B265" s="125" t="s">
        <v>33</v>
      </c>
      <c r="C265" s="126">
        <v>476.73000000000008</v>
      </c>
      <c r="D265" s="126">
        <v>476.73000000000008</v>
      </c>
      <c r="E265" s="126">
        <v>476.73000000000008</v>
      </c>
      <c r="F265" s="126">
        <v>496.2000000000001</v>
      </c>
      <c r="G265" s="126">
        <v>495.92000000000013</v>
      </c>
      <c r="H265" s="126">
        <v>495.92000000000013</v>
      </c>
      <c r="I265" s="126">
        <v>495.92000000000013</v>
      </c>
      <c r="J265" s="126">
        <v>495.92000000000013</v>
      </c>
      <c r="K265" s="126">
        <v>495.92000000000013</v>
      </c>
      <c r="L265" s="126">
        <v>495.92000000000013</v>
      </c>
      <c r="M265" s="133">
        <f t="shared" si="118"/>
        <v>0</v>
      </c>
      <c r="N265" s="126">
        <f t="shared" ref="N265:N275" si="119">L265-K265</f>
        <v>0</v>
      </c>
    </row>
    <row r="266" spans="1:14">
      <c r="A266" s="112"/>
      <c r="B266" s="125" t="s">
        <v>34</v>
      </c>
      <c r="C266" s="126">
        <v>520.17000000000007</v>
      </c>
      <c r="D266" s="126">
        <v>557.16000000000008</v>
      </c>
      <c r="E266" s="126">
        <v>557.16000000000008</v>
      </c>
      <c r="F266" s="126">
        <v>557.16000000000008</v>
      </c>
      <c r="G266" s="126">
        <v>557.16000000000008</v>
      </c>
      <c r="H266" s="126">
        <v>557.16000000000008</v>
      </c>
      <c r="I266" s="126">
        <v>557.16000000000008</v>
      </c>
      <c r="J266" s="126">
        <v>557.16000000000008</v>
      </c>
      <c r="K266" s="126">
        <v>557.16000000000008</v>
      </c>
      <c r="L266" s="126">
        <v>557.16000000000008</v>
      </c>
      <c r="M266" s="133">
        <f t="shared" si="118"/>
        <v>0</v>
      </c>
      <c r="N266" s="126">
        <f t="shared" si="119"/>
        <v>0</v>
      </c>
    </row>
    <row r="267" spans="1:14">
      <c r="A267" s="112"/>
      <c r="B267" s="125" t="s">
        <v>35</v>
      </c>
      <c r="C267" s="126">
        <v>659.78</v>
      </c>
      <c r="D267" s="126">
        <v>659.78</v>
      </c>
      <c r="E267" s="126">
        <v>659.78</v>
      </c>
      <c r="F267" s="126">
        <v>482.64</v>
      </c>
      <c r="G267" s="126">
        <v>482.64</v>
      </c>
      <c r="H267" s="126">
        <v>482.64</v>
      </c>
      <c r="I267" s="126">
        <v>482.64</v>
      </c>
      <c r="J267" s="126">
        <v>482.64</v>
      </c>
      <c r="K267" s="126">
        <v>482.64</v>
      </c>
      <c r="L267" s="126">
        <v>482.64</v>
      </c>
      <c r="M267" s="133">
        <f t="shared" si="118"/>
        <v>0</v>
      </c>
      <c r="N267" s="126">
        <f t="shared" si="119"/>
        <v>0</v>
      </c>
    </row>
    <row r="268" spans="1:14">
      <c r="A268" s="112"/>
      <c r="B268" s="37" t="s">
        <v>36</v>
      </c>
      <c r="C268" s="39">
        <f>SUM(C265:C267)</f>
        <v>1656.68</v>
      </c>
      <c r="D268" s="39">
        <f t="shared" ref="D268:L268" si="120">SUM(D265:D267)</f>
        <v>1693.67</v>
      </c>
      <c r="E268" s="39">
        <f t="shared" si="120"/>
        <v>1693.67</v>
      </c>
      <c r="F268" s="39">
        <f t="shared" si="120"/>
        <v>1536</v>
      </c>
      <c r="G268" s="39">
        <f t="shared" si="120"/>
        <v>1535.7200000000003</v>
      </c>
      <c r="H268" s="39">
        <f t="shared" si="120"/>
        <v>1535.7200000000003</v>
      </c>
      <c r="I268" s="39">
        <f t="shared" si="120"/>
        <v>1535.7200000000003</v>
      </c>
      <c r="J268" s="39">
        <f t="shared" si="120"/>
        <v>1535.7200000000003</v>
      </c>
      <c r="K268" s="39">
        <f t="shared" si="120"/>
        <v>1535.7200000000003</v>
      </c>
      <c r="L268" s="39">
        <f t="shared" si="120"/>
        <v>1535.7200000000003</v>
      </c>
      <c r="M268" s="38">
        <f t="shared" si="118"/>
        <v>0</v>
      </c>
      <c r="N268" s="39">
        <f t="shared" si="119"/>
        <v>0</v>
      </c>
    </row>
    <row r="269" spans="1:14">
      <c r="A269" s="112"/>
      <c r="B269" s="37" t="s">
        <v>28</v>
      </c>
      <c r="C269" s="39">
        <v>870.60000000000014</v>
      </c>
      <c r="D269" s="39">
        <v>864.2</v>
      </c>
      <c r="E269" s="39">
        <v>864.2</v>
      </c>
      <c r="F269" s="39">
        <v>864.2</v>
      </c>
      <c r="G269" s="39">
        <v>864.2</v>
      </c>
      <c r="H269" s="39">
        <v>864.2</v>
      </c>
      <c r="I269" s="39">
        <v>864.2</v>
      </c>
      <c r="J269" s="39">
        <v>864.2</v>
      </c>
      <c r="K269" s="39">
        <v>864.2</v>
      </c>
      <c r="L269" s="39">
        <v>864.2</v>
      </c>
      <c r="M269" s="38">
        <f t="shared" si="118"/>
        <v>0</v>
      </c>
      <c r="N269" s="39">
        <f t="shared" si="119"/>
        <v>0</v>
      </c>
    </row>
    <row r="270" spans="1:14">
      <c r="A270" s="112"/>
      <c r="B270" s="37" t="s">
        <v>37</v>
      </c>
      <c r="C270" s="39" t="s">
        <v>26</v>
      </c>
      <c r="D270" s="39" t="s">
        <v>26</v>
      </c>
      <c r="E270" s="39" t="s">
        <v>26</v>
      </c>
      <c r="F270" s="39" t="s">
        <v>26</v>
      </c>
      <c r="G270" s="39" t="s">
        <v>26</v>
      </c>
      <c r="H270" s="39" t="s">
        <v>26</v>
      </c>
      <c r="I270" s="39" t="s">
        <v>26</v>
      </c>
      <c r="J270" s="39" t="s">
        <v>26</v>
      </c>
      <c r="K270" s="39" t="s">
        <v>26</v>
      </c>
      <c r="L270" s="39" t="s">
        <v>26</v>
      </c>
      <c r="M270" s="38" t="s">
        <v>26</v>
      </c>
      <c r="N270" s="39" t="s">
        <v>26</v>
      </c>
    </row>
    <row r="271" spans="1:14">
      <c r="A271" s="112"/>
      <c r="B271" s="37" t="s">
        <v>9</v>
      </c>
      <c r="C271" s="39" t="s">
        <v>26</v>
      </c>
      <c r="D271" s="39" t="s">
        <v>26</v>
      </c>
      <c r="E271" s="39" t="s">
        <v>26</v>
      </c>
      <c r="F271" s="39" t="s">
        <v>26</v>
      </c>
      <c r="G271" s="39">
        <v>11.39</v>
      </c>
      <c r="H271" s="39">
        <v>11.39</v>
      </c>
      <c r="I271" s="39">
        <v>11.39</v>
      </c>
      <c r="J271" s="39">
        <v>11.39</v>
      </c>
      <c r="K271" s="39">
        <v>11.39</v>
      </c>
      <c r="L271" s="39">
        <v>11.39</v>
      </c>
      <c r="M271" s="38">
        <f t="shared" si="118"/>
        <v>0</v>
      </c>
      <c r="N271" s="39">
        <f t="shared" si="119"/>
        <v>0</v>
      </c>
    </row>
    <row r="272" spans="1:14">
      <c r="A272" s="112"/>
      <c r="B272" s="40" t="s">
        <v>10</v>
      </c>
      <c r="C272" s="39">
        <v>142.58500000000001</v>
      </c>
      <c r="D272" s="39">
        <v>145.13499999999999</v>
      </c>
      <c r="E272" s="39">
        <v>145.47499999999999</v>
      </c>
      <c r="F272" s="39">
        <v>152.59</v>
      </c>
      <c r="G272" s="39">
        <v>152.59</v>
      </c>
      <c r="H272" s="39">
        <v>152.05499999999998</v>
      </c>
      <c r="I272" s="39">
        <v>152.05499999999998</v>
      </c>
      <c r="J272" s="39">
        <v>206.89999999999995</v>
      </c>
      <c r="K272" s="39">
        <v>412.71499999999997</v>
      </c>
      <c r="L272" s="39">
        <v>428.71499999999997</v>
      </c>
      <c r="M272" s="38">
        <f t="shared" si="118"/>
        <v>3.8767672607004755</v>
      </c>
      <c r="N272" s="39">
        <f t="shared" si="119"/>
        <v>16</v>
      </c>
    </row>
    <row r="273" spans="1:14">
      <c r="A273" s="112"/>
      <c r="B273" s="40" t="s">
        <v>11</v>
      </c>
      <c r="C273" s="39">
        <v>125.0978099999992</v>
      </c>
      <c r="D273" s="39">
        <v>138.04025999999908</v>
      </c>
      <c r="E273" s="39">
        <v>161.15557999999911</v>
      </c>
      <c r="F273" s="39">
        <v>164.19107999999801</v>
      </c>
      <c r="G273" s="39">
        <v>165.24327999999801</v>
      </c>
      <c r="H273" s="39">
        <v>167.26166999999961</v>
      </c>
      <c r="I273" s="39">
        <v>167.26666999999961</v>
      </c>
      <c r="J273" s="39">
        <v>167.32616999999962</v>
      </c>
      <c r="K273" s="39">
        <v>167.42316999999963</v>
      </c>
      <c r="L273" s="39">
        <v>166.73214499999966</v>
      </c>
      <c r="M273" s="38">
        <f t="shared" si="118"/>
        <v>-0.4127415578142335</v>
      </c>
      <c r="N273" s="39">
        <f>L273-K273</f>
        <v>-0.6910249999999678</v>
      </c>
    </row>
    <row r="274" spans="1:14">
      <c r="A274" s="112"/>
      <c r="B274" s="22" t="s">
        <v>29</v>
      </c>
      <c r="C274" s="39">
        <v>41.568000000000005</v>
      </c>
      <c r="D274" s="39">
        <v>3.3679999999999999</v>
      </c>
      <c r="E274" s="39">
        <v>3.3679999999999999</v>
      </c>
      <c r="F274" s="39">
        <v>3.3679999999999999</v>
      </c>
      <c r="G274" s="39">
        <v>3.3679999999999999</v>
      </c>
      <c r="H274" s="39">
        <v>3.6960000000000002</v>
      </c>
      <c r="I274" s="39">
        <v>3.6960000000000002</v>
      </c>
      <c r="J274" s="39">
        <v>3.6960000000000002</v>
      </c>
      <c r="K274" s="39">
        <v>3.6960000000000002</v>
      </c>
      <c r="L274" s="39">
        <v>3.6960000000000002</v>
      </c>
      <c r="M274" s="38">
        <f t="shared" si="118"/>
        <v>0</v>
      </c>
      <c r="N274" s="39">
        <f t="shared" si="119"/>
        <v>0</v>
      </c>
    </row>
    <row r="275" spans="1:14">
      <c r="A275" s="112"/>
      <c r="B275" s="22" t="s">
        <v>13</v>
      </c>
      <c r="C275" s="39">
        <v>33.268000000000001</v>
      </c>
      <c r="D275" s="39">
        <v>33.268000000000001</v>
      </c>
      <c r="E275" s="39">
        <v>33.268000000000001</v>
      </c>
      <c r="F275" s="39">
        <v>33.268000000000001</v>
      </c>
      <c r="G275" s="39">
        <v>33.268000000000001</v>
      </c>
      <c r="H275" s="39">
        <v>0</v>
      </c>
      <c r="I275" s="39">
        <v>0</v>
      </c>
      <c r="J275" s="39">
        <v>0</v>
      </c>
      <c r="K275" s="39">
        <v>0</v>
      </c>
      <c r="L275" s="39">
        <v>0</v>
      </c>
      <c r="M275" s="38" t="s">
        <v>26</v>
      </c>
      <c r="N275" s="39">
        <f t="shared" si="119"/>
        <v>0</v>
      </c>
    </row>
    <row r="276" spans="1:14">
      <c r="A276" s="112"/>
      <c r="B276" s="65" t="s">
        <v>114</v>
      </c>
      <c r="C276" s="66">
        <f>SUM(C264,C271:C274)</f>
        <v>310.51380999999918</v>
      </c>
      <c r="D276" s="66">
        <f t="shared" ref="D276:K276" si="121">SUM(D264,D271:D274)</f>
        <v>287.8062599999991</v>
      </c>
      <c r="E276" s="66">
        <f t="shared" si="121"/>
        <v>311.26157999999913</v>
      </c>
      <c r="F276" s="66">
        <f t="shared" si="121"/>
        <v>321.41207999999801</v>
      </c>
      <c r="G276" s="66">
        <f t="shared" si="121"/>
        <v>333.85427999999803</v>
      </c>
      <c r="H276" s="66">
        <f t="shared" si="121"/>
        <v>336.42266999999958</v>
      </c>
      <c r="I276" s="66">
        <f t="shared" si="121"/>
        <v>336.42766999999958</v>
      </c>
      <c r="J276" s="66">
        <f t="shared" si="121"/>
        <v>391.33216999999956</v>
      </c>
      <c r="K276" s="66">
        <f t="shared" si="121"/>
        <v>597.2441699999996</v>
      </c>
      <c r="L276" s="66">
        <f>SUM(L264,L271:L274)</f>
        <v>612.55314499999974</v>
      </c>
      <c r="M276" s="67">
        <f t="shared" si="118"/>
        <v>2.563269056272266</v>
      </c>
      <c r="N276" s="66">
        <f t="shared" ref="N276" si="122">SUM(N264,N271:N274)</f>
        <v>15.308975000000032</v>
      </c>
    </row>
    <row r="277" spans="1:14">
      <c r="A277" s="112"/>
      <c r="B277" s="65" t="s">
        <v>115</v>
      </c>
      <c r="C277" s="66">
        <f>SUM(C268:C270,C275)</f>
        <v>2560.5480000000002</v>
      </c>
      <c r="D277" s="66">
        <f t="shared" ref="D277:K277" si="123">SUM(D268:D270,D275)</f>
        <v>2591.1379999999999</v>
      </c>
      <c r="E277" s="66">
        <f t="shared" si="123"/>
        <v>2591.1379999999999</v>
      </c>
      <c r="F277" s="66">
        <f t="shared" si="123"/>
        <v>2433.4679999999998</v>
      </c>
      <c r="G277" s="66">
        <f t="shared" si="123"/>
        <v>2433.1880000000001</v>
      </c>
      <c r="H277" s="66">
        <f t="shared" si="123"/>
        <v>2399.92</v>
      </c>
      <c r="I277" s="66">
        <f t="shared" si="123"/>
        <v>2399.92</v>
      </c>
      <c r="J277" s="66">
        <f t="shared" si="123"/>
        <v>2399.92</v>
      </c>
      <c r="K277" s="66">
        <f t="shared" si="123"/>
        <v>2399.92</v>
      </c>
      <c r="L277" s="66">
        <f>SUM(L268:L270,L275)</f>
        <v>2399.92</v>
      </c>
      <c r="M277" s="67">
        <f t="shared" si="118"/>
        <v>0</v>
      </c>
      <c r="N277" s="66">
        <f t="shared" ref="N277" si="124">SUM(N268:N270,N275)</f>
        <v>0</v>
      </c>
    </row>
    <row r="278" spans="1:14">
      <c r="A278" s="112"/>
      <c r="B278" s="54" t="s">
        <v>32</v>
      </c>
      <c r="C278" s="55">
        <f>SUM(C276:C277)</f>
        <v>2871.0618099999992</v>
      </c>
      <c r="D278" s="55">
        <f t="shared" ref="D278:L278" si="125">SUM(D276:D277)</f>
        <v>2878.9442599999988</v>
      </c>
      <c r="E278" s="55">
        <f t="shared" si="125"/>
        <v>2902.3995799999989</v>
      </c>
      <c r="F278" s="55">
        <f t="shared" si="125"/>
        <v>2754.8800799999981</v>
      </c>
      <c r="G278" s="55">
        <f t="shared" si="125"/>
        <v>2767.0422799999983</v>
      </c>
      <c r="H278" s="55">
        <f t="shared" si="125"/>
        <v>2736.3426699999995</v>
      </c>
      <c r="I278" s="55">
        <f t="shared" si="125"/>
        <v>2736.3476699999997</v>
      </c>
      <c r="J278" s="55">
        <f t="shared" si="125"/>
        <v>2791.2521699999998</v>
      </c>
      <c r="K278" s="55">
        <f t="shared" si="125"/>
        <v>2997.1641699999996</v>
      </c>
      <c r="L278" s="55">
        <f t="shared" si="125"/>
        <v>3012.4731449999999</v>
      </c>
      <c r="M278" s="67">
        <f t="shared" si="118"/>
        <v>0.51078199697016657</v>
      </c>
      <c r="N278" s="55">
        <f t="shared" ref="N278" si="126">SUM(N276:N277)</f>
        <v>15.308975000000032</v>
      </c>
    </row>
    <row r="279" spans="1:14" s="61" customFormat="1">
      <c r="A279" s="112"/>
      <c r="B279" s="41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3"/>
      <c r="N279" s="42"/>
    </row>
    <row r="280" spans="1:14" s="61" customFormat="1">
      <c r="A280" s="112"/>
      <c r="B280" s="34" t="s">
        <v>139</v>
      </c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3"/>
      <c r="N280" s="42"/>
    </row>
    <row r="281" spans="1:14">
      <c r="A281" s="112"/>
      <c r="B281" s="82"/>
      <c r="C281" s="83">
        <v>2010</v>
      </c>
      <c r="D281" s="83">
        <v>2011</v>
      </c>
      <c r="E281" s="83">
        <v>2012</v>
      </c>
      <c r="F281" s="83">
        <v>2013</v>
      </c>
      <c r="G281" s="83">
        <v>2014</v>
      </c>
      <c r="H281" s="83">
        <v>2015</v>
      </c>
      <c r="I281" s="83">
        <v>2016</v>
      </c>
      <c r="J281" s="83">
        <v>2017</v>
      </c>
      <c r="K281" s="83">
        <v>2018</v>
      </c>
      <c r="L281" s="83">
        <v>2019</v>
      </c>
      <c r="M281" s="122" t="s">
        <v>107</v>
      </c>
      <c r="N281" s="122" t="s">
        <v>108</v>
      </c>
    </row>
    <row r="282" spans="1:14">
      <c r="A282" s="112"/>
      <c r="B282" s="125" t="s">
        <v>33</v>
      </c>
      <c r="C282" s="126">
        <v>77.52</v>
      </c>
      <c r="D282" s="126">
        <v>77.52</v>
      </c>
      <c r="E282" s="126">
        <v>77.52</v>
      </c>
      <c r="F282" s="126">
        <v>77.52</v>
      </c>
      <c r="G282" s="126">
        <v>77.52</v>
      </c>
      <c r="H282" s="126">
        <v>77.52</v>
      </c>
      <c r="I282" s="126">
        <v>77.52</v>
      </c>
      <c r="J282" s="126">
        <v>77.52</v>
      </c>
      <c r="K282" s="126">
        <v>77.52</v>
      </c>
      <c r="L282" s="126">
        <v>77.52</v>
      </c>
      <c r="M282" s="133">
        <f t="shared" ref="M282:M287" si="127">((L282/K282)-1)*100</f>
        <v>0</v>
      </c>
      <c r="N282" s="126">
        <f t="shared" ref="N282:N284" si="128">L282-K282</f>
        <v>0</v>
      </c>
    </row>
    <row r="283" spans="1:14">
      <c r="A283" s="112"/>
      <c r="B283" s="125" t="s">
        <v>34</v>
      </c>
      <c r="C283" s="126">
        <v>13.3</v>
      </c>
      <c r="D283" s="126">
        <v>13.3</v>
      </c>
      <c r="E283" s="126">
        <v>13.3</v>
      </c>
      <c r="F283" s="126">
        <v>13.3</v>
      </c>
      <c r="G283" s="126">
        <v>13.3</v>
      </c>
      <c r="H283" s="126">
        <v>13.3</v>
      </c>
      <c r="I283" s="126">
        <v>13.3</v>
      </c>
      <c r="J283" s="126">
        <v>13.3</v>
      </c>
      <c r="K283" s="126">
        <v>13.3</v>
      </c>
      <c r="L283" s="126">
        <v>13.3</v>
      </c>
      <c r="M283" s="133">
        <f t="shared" si="127"/>
        <v>0</v>
      </c>
      <c r="N283" s="126">
        <f t="shared" si="128"/>
        <v>0</v>
      </c>
    </row>
    <row r="284" spans="1:14">
      <c r="A284" s="112"/>
      <c r="B284" s="37" t="s">
        <v>36</v>
      </c>
      <c r="C284" s="139">
        <f>SUM(C282:C283)</f>
        <v>90.82</v>
      </c>
      <c r="D284" s="139">
        <f t="shared" ref="D284:L284" si="129">SUM(D282:D283)</f>
        <v>90.82</v>
      </c>
      <c r="E284" s="139">
        <f t="shared" si="129"/>
        <v>90.82</v>
      </c>
      <c r="F284" s="139">
        <f t="shared" si="129"/>
        <v>90.82</v>
      </c>
      <c r="G284" s="139">
        <f t="shared" si="129"/>
        <v>90.82</v>
      </c>
      <c r="H284" s="139">
        <f t="shared" si="129"/>
        <v>90.82</v>
      </c>
      <c r="I284" s="139">
        <f t="shared" si="129"/>
        <v>90.82</v>
      </c>
      <c r="J284" s="139">
        <f t="shared" si="129"/>
        <v>90.82</v>
      </c>
      <c r="K284" s="139">
        <f t="shared" si="129"/>
        <v>90.82</v>
      </c>
      <c r="L284" s="139">
        <f t="shared" si="129"/>
        <v>90.82</v>
      </c>
      <c r="M284" s="140">
        <f t="shared" si="127"/>
        <v>0</v>
      </c>
      <c r="N284" s="139">
        <f t="shared" si="128"/>
        <v>0</v>
      </c>
    </row>
    <row r="285" spans="1:14">
      <c r="A285" s="112"/>
      <c r="B285" s="65" t="s">
        <v>114</v>
      </c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7"/>
      <c r="N285" s="66"/>
    </row>
    <row r="286" spans="1:14">
      <c r="A286" s="112"/>
      <c r="B286" s="65" t="s">
        <v>115</v>
      </c>
      <c r="C286" s="66">
        <f>C284</f>
        <v>90.82</v>
      </c>
      <c r="D286" s="66">
        <f t="shared" ref="D286:L286" si="130">D284</f>
        <v>90.82</v>
      </c>
      <c r="E286" s="66">
        <f t="shared" si="130"/>
        <v>90.82</v>
      </c>
      <c r="F286" s="66">
        <f t="shared" si="130"/>
        <v>90.82</v>
      </c>
      <c r="G286" s="66">
        <f t="shared" si="130"/>
        <v>90.82</v>
      </c>
      <c r="H286" s="66">
        <f t="shared" si="130"/>
        <v>90.82</v>
      </c>
      <c r="I286" s="66">
        <f t="shared" si="130"/>
        <v>90.82</v>
      </c>
      <c r="J286" s="66">
        <f t="shared" si="130"/>
        <v>90.82</v>
      </c>
      <c r="K286" s="66">
        <f t="shared" si="130"/>
        <v>90.82</v>
      </c>
      <c r="L286" s="66">
        <f t="shared" si="130"/>
        <v>90.82</v>
      </c>
      <c r="M286" s="67">
        <f t="shared" si="127"/>
        <v>0</v>
      </c>
      <c r="N286" s="66">
        <f t="shared" ref="N286" si="131">N284</f>
        <v>0</v>
      </c>
    </row>
    <row r="287" spans="1:14">
      <c r="A287" s="112"/>
      <c r="B287" s="54" t="s">
        <v>32</v>
      </c>
      <c r="C287" s="55">
        <f>SUM(C285:C286)</f>
        <v>90.82</v>
      </c>
      <c r="D287" s="55">
        <f t="shared" ref="D287:L287" si="132">SUM(D285:D286)</f>
        <v>90.82</v>
      </c>
      <c r="E287" s="55">
        <f t="shared" si="132"/>
        <v>90.82</v>
      </c>
      <c r="F287" s="55">
        <f t="shared" si="132"/>
        <v>90.82</v>
      </c>
      <c r="G287" s="55">
        <f t="shared" si="132"/>
        <v>90.82</v>
      </c>
      <c r="H287" s="55">
        <f t="shared" si="132"/>
        <v>90.82</v>
      </c>
      <c r="I287" s="55">
        <f t="shared" si="132"/>
        <v>90.82</v>
      </c>
      <c r="J287" s="55">
        <f t="shared" si="132"/>
        <v>90.82</v>
      </c>
      <c r="K287" s="55">
        <f t="shared" si="132"/>
        <v>90.82</v>
      </c>
      <c r="L287" s="55">
        <f t="shared" si="132"/>
        <v>90.82</v>
      </c>
      <c r="M287" s="67">
        <f t="shared" si="127"/>
        <v>0</v>
      </c>
      <c r="N287" s="55">
        <f t="shared" ref="N287" si="133">SUM(N285:N286)</f>
        <v>0</v>
      </c>
    </row>
    <row r="288" spans="1:14" s="61" customFormat="1">
      <c r="A288" s="112"/>
      <c r="B288" s="41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3"/>
      <c r="N288" s="42"/>
    </row>
    <row r="289" spans="1:17" s="61" customFormat="1">
      <c r="A289" s="112"/>
      <c r="B289" s="34" t="s">
        <v>140</v>
      </c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3"/>
      <c r="N289" s="42"/>
    </row>
    <row r="290" spans="1:17">
      <c r="A290" s="112"/>
      <c r="B290" s="82"/>
      <c r="C290" s="83">
        <v>2010</v>
      </c>
      <c r="D290" s="83">
        <v>2011</v>
      </c>
      <c r="E290" s="83">
        <v>2012</v>
      </c>
      <c r="F290" s="83">
        <v>2013</v>
      </c>
      <c r="G290" s="83">
        <v>2014</v>
      </c>
      <c r="H290" s="83">
        <v>2015</v>
      </c>
      <c r="I290" s="83">
        <v>2016</v>
      </c>
      <c r="J290" s="83">
        <v>2017</v>
      </c>
      <c r="K290" s="83">
        <v>2018</v>
      </c>
      <c r="L290" s="83">
        <v>2019</v>
      </c>
      <c r="M290" s="122" t="s">
        <v>107</v>
      </c>
      <c r="N290" s="122" t="s">
        <v>108</v>
      </c>
    </row>
    <row r="291" spans="1:17">
      <c r="A291" s="112"/>
      <c r="B291" s="125" t="s">
        <v>33</v>
      </c>
      <c r="C291" s="126">
        <v>64.64</v>
      </c>
      <c r="D291" s="126">
        <v>64.64</v>
      </c>
      <c r="E291" s="126">
        <v>64.64</v>
      </c>
      <c r="F291" s="126">
        <v>64.64</v>
      </c>
      <c r="G291" s="126">
        <v>64.64</v>
      </c>
      <c r="H291" s="126">
        <v>64.64</v>
      </c>
      <c r="I291" s="126">
        <v>64.64</v>
      </c>
      <c r="J291" s="126">
        <v>64.64</v>
      </c>
      <c r="K291" s="126">
        <v>64.64</v>
      </c>
      <c r="L291" s="126">
        <v>64.64</v>
      </c>
      <c r="M291" s="133">
        <f t="shared" ref="M291" si="134">((L291/K291)-1)*100</f>
        <v>0</v>
      </c>
      <c r="N291" s="126">
        <f>L291-K291</f>
        <v>0</v>
      </c>
    </row>
    <row r="292" spans="1:17">
      <c r="A292" s="112"/>
      <c r="B292" s="125" t="s">
        <v>34</v>
      </c>
      <c r="C292" s="126">
        <v>11.5</v>
      </c>
      <c r="D292" s="126">
        <v>11.5</v>
      </c>
      <c r="E292" s="126">
        <v>11.5</v>
      </c>
      <c r="F292" s="126">
        <v>11.5</v>
      </c>
      <c r="G292" s="126">
        <v>11.5</v>
      </c>
      <c r="H292" s="126">
        <v>11.5</v>
      </c>
      <c r="I292" s="126">
        <v>11.5</v>
      </c>
      <c r="J292" s="126">
        <v>11.5</v>
      </c>
      <c r="K292" s="126">
        <v>11.5</v>
      </c>
      <c r="L292" s="126">
        <v>11.5</v>
      </c>
      <c r="M292" s="133">
        <f t="shared" ref="M292" si="135">((L292/K292)-1)*100</f>
        <v>0</v>
      </c>
      <c r="N292" s="126">
        <f t="shared" ref="N292" si="136">L292-K292</f>
        <v>0</v>
      </c>
    </row>
    <row r="293" spans="1:17">
      <c r="A293" s="112"/>
      <c r="B293" s="37" t="s">
        <v>36</v>
      </c>
      <c r="C293" s="39">
        <f>SUM(C291:C292)</f>
        <v>76.14</v>
      </c>
      <c r="D293" s="39">
        <f t="shared" ref="D293:L293" si="137">SUM(D291:D292)</f>
        <v>76.14</v>
      </c>
      <c r="E293" s="39">
        <f t="shared" si="137"/>
        <v>76.14</v>
      </c>
      <c r="F293" s="39">
        <f t="shared" si="137"/>
        <v>76.14</v>
      </c>
      <c r="G293" s="39">
        <f t="shared" si="137"/>
        <v>76.14</v>
      </c>
      <c r="H293" s="39">
        <f t="shared" si="137"/>
        <v>76.14</v>
      </c>
      <c r="I293" s="39">
        <f t="shared" si="137"/>
        <v>76.14</v>
      </c>
      <c r="J293" s="39">
        <f t="shared" si="137"/>
        <v>76.14</v>
      </c>
      <c r="K293" s="39">
        <f t="shared" si="137"/>
        <v>76.14</v>
      </c>
      <c r="L293" s="39">
        <f t="shared" si="137"/>
        <v>76.14</v>
      </c>
      <c r="M293" s="38">
        <f t="shared" ref="M293:M300" si="138">((L293/K293)-1)*100</f>
        <v>0</v>
      </c>
      <c r="N293" s="39">
        <f t="shared" ref="N293:N296" si="139">L293-K293</f>
        <v>0</v>
      </c>
    </row>
    <row r="294" spans="1:17">
      <c r="A294" s="112"/>
      <c r="B294" s="40" t="s">
        <v>11</v>
      </c>
      <c r="C294" s="39">
        <v>5.79E-2</v>
      </c>
      <c r="D294" s="39">
        <v>5.79E-2</v>
      </c>
      <c r="E294" s="39">
        <v>5.79E-2</v>
      </c>
      <c r="F294" s="39">
        <v>5.79E-2</v>
      </c>
      <c r="G294" s="39">
        <v>5.79E-2</v>
      </c>
      <c r="H294" s="39">
        <v>5.9700000000000003E-2</v>
      </c>
      <c r="I294" s="39">
        <v>5.9700000000000003E-2</v>
      </c>
      <c r="J294" s="39">
        <v>5.9700000000000003E-2</v>
      </c>
      <c r="K294" s="39">
        <v>5.9700000000000003E-2</v>
      </c>
      <c r="L294" s="39">
        <v>5.9700000000000003E-2</v>
      </c>
      <c r="M294" s="38">
        <f t="shared" si="138"/>
        <v>0</v>
      </c>
      <c r="N294" s="39">
        <f t="shared" si="139"/>
        <v>0</v>
      </c>
    </row>
    <row r="295" spans="1:17">
      <c r="A295" s="112"/>
      <c r="B295" s="22" t="s">
        <v>14</v>
      </c>
      <c r="C295" s="139" t="s">
        <v>26</v>
      </c>
      <c r="D295" s="139" t="s">
        <v>26</v>
      </c>
      <c r="E295" s="139" t="s">
        <v>26</v>
      </c>
      <c r="F295" s="139" t="s">
        <v>26</v>
      </c>
      <c r="G295" s="139" t="s">
        <v>26</v>
      </c>
      <c r="H295" s="39">
        <v>1.0840000000000001</v>
      </c>
      <c r="I295" s="39">
        <v>1.0840000000000001</v>
      </c>
      <c r="J295" s="39">
        <v>1.0840000000000001</v>
      </c>
      <c r="K295" s="39">
        <v>1.0840000000000001</v>
      </c>
      <c r="L295" s="39">
        <v>1.0840000000000001</v>
      </c>
      <c r="M295" s="38">
        <f t="shared" si="138"/>
        <v>0</v>
      </c>
      <c r="N295" s="39">
        <f t="shared" si="139"/>
        <v>0</v>
      </c>
    </row>
    <row r="296" spans="1:17">
      <c r="A296" s="112"/>
      <c r="B296" s="22" t="s">
        <v>15</v>
      </c>
      <c r="C296" s="139" t="s">
        <v>26</v>
      </c>
      <c r="D296" s="139" t="s">
        <v>26</v>
      </c>
      <c r="E296" s="139" t="s">
        <v>26</v>
      </c>
      <c r="F296" s="139" t="s">
        <v>26</v>
      </c>
      <c r="G296" s="139" t="s">
        <v>26</v>
      </c>
      <c r="H296" s="39">
        <v>1.0840000000000001</v>
      </c>
      <c r="I296" s="39">
        <v>1.0840000000000001</v>
      </c>
      <c r="J296" s="39">
        <v>1.0840000000000001</v>
      </c>
      <c r="K296" s="39">
        <v>1.0840000000000001</v>
      </c>
      <c r="L296" s="39">
        <v>1.0840000000000001</v>
      </c>
      <c r="M296" s="38">
        <f t="shared" si="138"/>
        <v>0</v>
      </c>
      <c r="N296" s="39">
        <f t="shared" si="139"/>
        <v>0</v>
      </c>
    </row>
    <row r="297" spans="1:17">
      <c r="A297" s="112"/>
      <c r="B297" s="22" t="s">
        <v>13</v>
      </c>
      <c r="C297" s="39">
        <v>2.1680000000000001</v>
      </c>
      <c r="D297" s="39">
        <v>2.1680000000000001</v>
      </c>
      <c r="E297" s="39">
        <v>2.1680000000000001</v>
      </c>
      <c r="F297" s="39">
        <v>2.1680000000000001</v>
      </c>
      <c r="G297" s="39">
        <v>2.1680000000000001</v>
      </c>
      <c r="H297" s="139" t="s">
        <v>26</v>
      </c>
      <c r="I297" s="139" t="s">
        <v>26</v>
      </c>
      <c r="J297" s="139" t="s">
        <v>26</v>
      </c>
      <c r="K297" s="139" t="s">
        <v>26</v>
      </c>
      <c r="L297" s="139" t="s">
        <v>26</v>
      </c>
      <c r="M297" s="139" t="s">
        <v>26</v>
      </c>
      <c r="N297" s="139" t="s">
        <v>26</v>
      </c>
    </row>
    <row r="298" spans="1:17">
      <c r="A298" s="112"/>
      <c r="B298" s="65" t="s">
        <v>114</v>
      </c>
      <c r="C298" s="66">
        <f>SUM(C294,C296)</f>
        <v>5.79E-2</v>
      </c>
      <c r="D298" s="66">
        <f t="shared" ref="D298:K298" si="140">SUM(D294,D296)</f>
        <v>5.79E-2</v>
      </c>
      <c r="E298" s="66">
        <f t="shared" si="140"/>
        <v>5.79E-2</v>
      </c>
      <c r="F298" s="66">
        <f t="shared" si="140"/>
        <v>5.79E-2</v>
      </c>
      <c r="G298" s="66">
        <f t="shared" si="140"/>
        <v>5.79E-2</v>
      </c>
      <c r="H298" s="66">
        <f>SUM(H294,H296)</f>
        <v>1.1437000000000002</v>
      </c>
      <c r="I298" s="66">
        <f t="shared" si="140"/>
        <v>1.1437000000000002</v>
      </c>
      <c r="J298" s="66">
        <f t="shared" si="140"/>
        <v>1.1437000000000002</v>
      </c>
      <c r="K298" s="66">
        <f t="shared" si="140"/>
        <v>1.1437000000000002</v>
      </c>
      <c r="L298" s="66">
        <f>SUM(L294,L296)</f>
        <v>1.1437000000000002</v>
      </c>
      <c r="M298" s="67">
        <f t="shared" si="138"/>
        <v>0</v>
      </c>
      <c r="N298" s="66">
        <f>SUM(N294,N296)</f>
        <v>0</v>
      </c>
    </row>
    <row r="299" spans="1:17">
      <c r="A299" s="112"/>
      <c r="B299" s="65" t="s">
        <v>115</v>
      </c>
      <c r="C299" s="66">
        <f>SUM(C293,C295,C297)</f>
        <v>78.308000000000007</v>
      </c>
      <c r="D299" s="66">
        <f t="shared" ref="D299:K299" si="141">SUM(D293,D295,D297)</f>
        <v>78.308000000000007</v>
      </c>
      <c r="E299" s="66">
        <f t="shared" si="141"/>
        <v>78.308000000000007</v>
      </c>
      <c r="F299" s="66">
        <f t="shared" si="141"/>
        <v>78.308000000000007</v>
      </c>
      <c r="G299" s="66">
        <f t="shared" si="141"/>
        <v>78.308000000000007</v>
      </c>
      <c r="H299" s="66">
        <f t="shared" si="141"/>
        <v>77.224000000000004</v>
      </c>
      <c r="I299" s="66">
        <f t="shared" si="141"/>
        <v>77.224000000000004</v>
      </c>
      <c r="J299" s="66">
        <f t="shared" si="141"/>
        <v>77.224000000000004</v>
      </c>
      <c r="K299" s="66">
        <f t="shared" si="141"/>
        <v>77.224000000000004</v>
      </c>
      <c r="L299" s="66">
        <f>SUM(L293,L295,L297)</f>
        <v>77.224000000000004</v>
      </c>
      <c r="M299" s="67">
        <f t="shared" si="138"/>
        <v>0</v>
      </c>
      <c r="N299" s="66">
        <f>SUM(N293,N295,N297)</f>
        <v>0</v>
      </c>
    </row>
    <row r="300" spans="1:17">
      <c r="A300" s="112"/>
      <c r="B300" s="54" t="s">
        <v>32</v>
      </c>
      <c r="C300" s="55">
        <f>SUM(C298:C299)</f>
        <v>78.365900000000011</v>
      </c>
      <c r="D300" s="55">
        <f t="shared" ref="D300:L300" si="142">SUM(D298:D299)</f>
        <v>78.365900000000011</v>
      </c>
      <c r="E300" s="55">
        <f t="shared" si="142"/>
        <v>78.365900000000011</v>
      </c>
      <c r="F300" s="55">
        <f t="shared" si="142"/>
        <v>78.365900000000011</v>
      </c>
      <c r="G300" s="55">
        <f t="shared" si="142"/>
        <v>78.365900000000011</v>
      </c>
      <c r="H300" s="55">
        <f t="shared" si="142"/>
        <v>78.367699999999999</v>
      </c>
      <c r="I300" s="55">
        <f t="shared" si="142"/>
        <v>78.367699999999999</v>
      </c>
      <c r="J300" s="55">
        <f t="shared" si="142"/>
        <v>78.367699999999999</v>
      </c>
      <c r="K300" s="55">
        <f t="shared" si="142"/>
        <v>78.367699999999999</v>
      </c>
      <c r="L300" s="55">
        <f t="shared" si="142"/>
        <v>78.367699999999999</v>
      </c>
      <c r="M300" s="67">
        <f t="shared" si="138"/>
        <v>0</v>
      </c>
      <c r="N300" s="55">
        <f t="shared" ref="N300" si="143">SUM(N298:N299)</f>
        <v>0</v>
      </c>
    </row>
    <row r="301" spans="1:17">
      <c r="H301" s="144"/>
      <c r="I301" s="144"/>
      <c r="J301" s="144"/>
      <c r="K301" s="144"/>
      <c r="L301" s="144"/>
    </row>
    <row r="302" spans="1:17" s="35" customFormat="1" ht="11.25" customHeight="1">
      <c r="B302" s="34" t="s">
        <v>141</v>
      </c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3"/>
      <c r="O302" s="42"/>
      <c r="P302" s="42"/>
      <c r="Q302" s="43"/>
    </row>
    <row r="303" spans="1:17" s="35" customFormat="1" ht="11.25" customHeight="1">
      <c r="B303" s="82"/>
      <c r="C303" s="83">
        <v>2010</v>
      </c>
      <c r="D303" s="83">
        <v>2011</v>
      </c>
      <c r="E303" s="83">
        <v>2012</v>
      </c>
      <c r="F303" s="83">
        <v>2013</v>
      </c>
      <c r="G303" s="83">
        <v>2014</v>
      </c>
      <c r="H303" s="83">
        <v>2015</v>
      </c>
      <c r="I303" s="83">
        <v>2016</v>
      </c>
      <c r="J303" s="83">
        <v>2017</v>
      </c>
      <c r="K303" s="83">
        <v>2018</v>
      </c>
      <c r="L303" s="83">
        <v>2019</v>
      </c>
      <c r="M303" s="122" t="s">
        <v>107</v>
      </c>
      <c r="N303" s="122" t="s">
        <v>108</v>
      </c>
      <c r="O303" s="42"/>
      <c r="P303" s="42"/>
      <c r="Q303" s="43"/>
    </row>
    <row r="304" spans="1:17" s="35" customFormat="1" ht="11.25" customHeight="1">
      <c r="B304" s="22" t="s">
        <v>6</v>
      </c>
      <c r="C304" s="16">
        <f>SUM(C227,C264)</f>
        <v>16687.53198</v>
      </c>
      <c r="D304" s="16">
        <f t="shared" ref="D304:L304" si="144">SUM(D227,D264)</f>
        <v>16704.893779999999</v>
      </c>
      <c r="E304" s="16">
        <f t="shared" si="144"/>
        <v>16927.841779999999</v>
      </c>
      <c r="F304" s="16">
        <f t="shared" si="144"/>
        <v>16985.874779999998</v>
      </c>
      <c r="G304" s="16">
        <f t="shared" si="144"/>
        <v>16992.104779999998</v>
      </c>
      <c r="H304" s="16">
        <f t="shared" si="144"/>
        <v>17028.766629999995</v>
      </c>
      <c r="I304" s="16">
        <f t="shared" si="144"/>
        <v>17032.866629999997</v>
      </c>
      <c r="J304" s="16">
        <f t="shared" si="144"/>
        <v>17030.029629999997</v>
      </c>
      <c r="K304" s="16">
        <f t="shared" si="144"/>
        <v>17048.841230000002</v>
      </c>
      <c r="L304" s="16">
        <f t="shared" si="144"/>
        <v>17087.174229999997</v>
      </c>
      <c r="M304" s="15">
        <f t="shared" ref="M304:M317" si="145">((L304/K304)-1)*100</f>
        <v>0.22484226043786304</v>
      </c>
      <c r="N304" s="16">
        <f>L304-K304</f>
        <v>38.332999999995081</v>
      </c>
      <c r="O304" s="42"/>
      <c r="P304" s="42"/>
      <c r="Q304" s="43"/>
    </row>
    <row r="305" spans="2:17" s="35" customFormat="1" ht="11.25" customHeight="1">
      <c r="B305" s="22" t="s">
        <v>73</v>
      </c>
      <c r="C305" s="16">
        <f>C228</f>
        <v>2450.9399999999996</v>
      </c>
      <c r="D305" s="16">
        <f t="shared" ref="D305:L305" si="146">D228</f>
        <v>2450.9399999999996</v>
      </c>
      <c r="E305" s="16">
        <f t="shared" si="146"/>
        <v>2450.9399999999996</v>
      </c>
      <c r="F305" s="16">
        <f t="shared" si="146"/>
        <v>2450.9399999999996</v>
      </c>
      <c r="G305" s="16">
        <f t="shared" si="146"/>
        <v>2450.9399999999996</v>
      </c>
      <c r="H305" s="16">
        <f t="shared" si="146"/>
        <v>3328.8900000000003</v>
      </c>
      <c r="I305" s="16">
        <f t="shared" si="146"/>
        <v>3328.8900000000003</v>
      </c>
      <c r="J305" s="16">
        <f t="shared" si="146"/>
        <v>3328.8900000000003</v>
      </c>
      <c r="K305" s="16">
        <f t="shared" si="146"/>
        <v>3328.8900000000003</v>
      </c>
      <c r="L305" s="16">
        <f t="shared" si="146"/>
        <v>3328.8900000000003</v>
      </c>
      <c r="M305" s="15">
        <f t="shared" si="145"/>
        <v>0</v>
      </c>
      <c r="N305" s="16">
        <f t="shared" ref="N305:N317" si="147">L305-K305</f>
        <v>0</v>
      </c>
      <c r="O305" s="42"/>
      <c r="P305" s="42"/>
      <c r="Q305" s="43"/>
    </row>
    <row r="306" spans="2:17" s="35" customFormat="1" ht="11.25" customHeight="1">
      <c r="B306" s="22" t="s">
        <v>7</v>
      </c>
      <c r="C306" s="16">
        <f>C229</f>
        <v>7515.3700000000008</v>
      </c>
      <c r="D306" s="16">
        <f t="shared" ref="D306:L306" si="148">D229</f>
        <v>7572.58</v>
      </c>
      <c r="E306" s="16">
        <f t="shared" si="148"/>
        <v>7572.58</v>
      </c>
      <c r="F306" s="16">
        <f t="shared" si="148"/>
        <v>7572.58</v>
      </c>
      <c r="G306" s="16">
        <f t="shared" si="148"/>
        <v>7572.58</v>
      </c>
      <c r="H306" s="16">
        <f t="shared" si="148"/>
        <v>7572.58</v>
      </c>
      <c r="I306" s="16">
        <f t="shared" si="148"/>
        <v>7572.58</v>
      </c>
      <c r="J306" s="16">
        <f t="shared" si="148"/>
        <v>7117.29</v>
      </c>
      <c r="K306" s="16">
        <f t="shared" si="148"/>
        <v>7117.29</v>
      </c>
      <c r="L306" s="16">
        <f t="shared" si="148"/>
        <v>7117.29</v>
      </c>
      <c r="M306" s="15">
        <f t="shared" si="145"/>
        <v>0</v>
      </c>
      <c r="N306" s="16">
        <f t="shared" si="147"/>
        <v>0</v>
      </c>
      <c r="O306" s="42"/>
      <c r="P306" s="42"/>
      <c r="Q306" s="43"/>
    </row>
    <row r="307" spans="2:17" s="35" customFormat="1" ht="11.25" customHeight="1">
      <c r="B307" s="22" t="s">
        <v>8</v>
      </c>
      <c r="C307" s="16">
        <f>SUM(C230,C246)</f>
        <v>11342.35</v>
      </c>
      <c r="D307" s="16">
        <f t="shared" ref="D307:L307" si="149">SUM(D230,D246)</f>
        <v>11571.79</v>
      </c>
      <c r="E307" s="16">
        <f t="shared" si="149"/>
        <v>11063.869999999999</v>
      </c>
      <c r="F307" s="16">
        <f t="shared" si="149"/>
        <v>11078.77</v>
      </c>
      <c r="G307" s="16">
        <f t="shared" si="149"/>
        <v>10936.42</v>
      </c>
      <c r="H307" s="16">
        <f t="shared" si="149"/>
        <v>10936.42</v>
      </c>
      <c r="I307" s="16">
        <f t="shared" si="149"/>
        <v>10004.269999999999</v>
      </c>
      <c r="J307" s="16">
        <f t="shared" si="149"/>
        <v>10004.269999999999</v>
      </c>
      <c r="K307" s="16">
        <f t="shared" si="149"/>
        <v>10030.284999999998</v>
      </c>
      <c r="L307" s="16">
        <f t="shared" si="149"/>
        <v>9683.4449999999979</v>
      </c>
      <c r="M307" s="15">
        <f t="shared" si="145"/>
        <v>-3.4579276660633318</v>
      </c>
      <c r="N307" s="16">
        <f t="shared" si="147"/>
        <v>-346.84000000000015</v>
      </c>
      <c r="O307" s="42"/>
      <c r="P307" s="42"/>
      <c r="Q307" s="43"/>
    </row>
    <row r="308" spans="2:17" s="35" customFormat="1" ht="11.25" customHeight="1">
      <c r="B308" s="22" t="s">
        <v>27</v>
      </c>
      <c r="C308" s="16">
        <f>SUM(C231,C249,C251,C268,C270,C284,C293)</f>
        <v>4698.03</v>
      </c>
      <c r="D308" s="16">
        <f t="shared" ref="D308:L308" si="150">SUM(D231,D249,D251,D268,D270,D284,D293)</f>
        <v>3382.55</v>
      </c>
      <c r="E308" s="16">
        <f t="shared" si="150"/>
        <v>3105.55</v>
      </c>
      <c r="F308" s="16">
        <f t="shared" si="150"/>
        <v>2995.88</v>
      </c>
      <c r="G308" s="16">
        <f t="shared" si="150"/>
        <v>2995.6000000000004</v>
      </c>
      <c r="H308" s="16">
        <f t="shared" si="150"/>
        <v>2490.0800000000004</v>
      </c>
      <c r="I308" s="16">
        <f t="shared" si="150"/>
        <v>2490.0800000000004</v>
      </c>
      <c r="J308" s="16">
        <f t="shared" si="150"/>
        <v>2490.0800000000004</v>
      </c>
      <c r="K308" s="16">
        <f t="shared" si="150"/>
        <v>2490.0800000000004</v>
      </c>
      <c r="L308" s="16">
        <f t="shared" si="150"/>
        <v>2447.4800000000005</v>
      </c>
      <c r="M308" s="15">
        <f t="shared" si="145"/>
        <v>-1.7107884084045399</v>
      </c>
      <c r="N308" s="16">
        <f t="shared" si="147"/>
        <v>-42.599999999999909</v>
      </c>
      <c r="O308" s="42"/>
      <c r="P308" s="42"/>
      <c r="Q308" s="43"/>
    </row>
    <row r="309" spans="2:17" s="35" customFormat="1" ht="11.25" customHeight="1">
      <c r="B309" s="22" t="s">
        <v>28</v>
      </c>
      <c r="C309" s="16">
        <f>SUM(C232,C250,C269)</f>
        <v>26572.930000000004</v>
      </c>
      <c r="D309" s="16">
        <f t="shared" ref="D309:L309" si="151">SUM(D232,D250,D269)</f>
        <v>26633.880000000005</v>
      </c>
      <c r="E309" s="16">
        <f t="shared" si="151"/>
        <v>26669.86</v>
      </c>
      <c r="F309" s="16">
        <f t="shared" si="151"/>
        <v>26669.86</v>
      </c>
      <c r="G309" s="16">
        <f t="shared" si="151"/>
        <v>26669.86</v>
      </c>
      <c r="H309" s="16">
        <f t="shared" si="151"/>
        <v>26669.86</v>
      </c>
      <c r="I309" s="16">
        <f t="shared" si="151"/>
        <v>26669.86</v>
      </c>
      <c r="J309" s="16">
        <f t="shared" si="151"/>
        <v>26669.86</v>
      </c>
      <c r="K309" s="16">
        <f t="shared" si="151"/>
        <v>26284.010000000002</v>
      </c>
      <c r="L309" s="16">
        <f t="shared" si="151"/>
        <v>26284.010000000002</v>
      </c>
      <c r="M309" s="15">
        <f t="shared" si="145"/>
        <v>0</v>
      </c>
      <c r="N309" s="16">
        <f t="shared" si="147"/>
        <v>0</v>
      </c>
      <c r="O309" s="42"/>
      <c r="P309" s="42"/>
      <c r="Q309" s="43"/>
    </row>
    <row r="310" spans="2:17" s="35" customFormat="1" ht="11.25" customHeight="1">
      <c r="B310" s="22" t="s">
        <v>9</v>
      </c>
      <c r="C310" s="16" t="str">
        <f>C271</f>
        <v>-</v>
      </c>
      <c r="D310" s="16" t="str">
        <f t="shared" ref="D310:L310" si="152">D271</f>
        <v>-</v>
      </c>
      <c r="E310" s="16" t="str">
        <f t="shared" si="152"/>
        <v>-</v>
      </c>
      <c r="F310" s="16" t="str">
        <f t="shared" si="152"/>
        <v>-</v>
      </c>
      <c r="G310" s="16">
        <f t="shared" si="152"/>
        <v>11.39</v>
      </c>
      <c r="H310" s="16">
        <f t="shared" si="152"/>
        <v>11.39</v>
      </c>
      <c r="I310" s="16">
        <f t="shared" si="152"/>
        <v>11.39</v>
      </c>
      <c r="J310" s="16">
        <f t="shared" si="152"/>
        <v>11.39</v>
      </c>
      <c r="K310" s="16">
        <f t="shared" si="152"/>
        <v>11.39</v>
      </c>
      <c r="L310" s="16">
        <f t="shared" si="152"/>
        <v>11.39</v>
      </c>
      <c r="M310" s="15">
        <f t="shared" si="145"/>
        <v>0</v>
      </c>
      <c r="N310" s="16">
        <f t="shared" si="147"/>
        <v>0</v>
      </c>
      <c r="O310" s="42"/>
      <c r="P310" s="42"/>
      <c r="Q310" s="43"/>
    </row>
    <row r="311" spans="2:17" s="35" customFormat="1" ht="11.25" customHeight="1">
      <c r="B311" s="22" t="s">
        <v>10</v>
      </c>
      <c r="C311" s="16">
        <f>SUM(C233,C252,C272)</f>
        <v>19707.314750000001</v>
      </c>
      <c r="D311" s="16">
        <f t="shared" ref="D311:L311" si="153">SUM(D233,D252,D272)</f>
        <v>21166.898749999997</v>
      </c>
      <c r="E311" s="16">
        <f t="shared" si="153"/>
        <v>22757.853349999998</v>
      </c>
      <c r="F311" s="16">
        <f t="shared" si="153"/>
        <v>23009.240349999993</v>
      </c>
      <c r="G311" s="16">
        <f t="shared" si="153"/>
        <v>23027.710849999996</v>
      </c>
      <c r="H311" s="16">
        <f t="shared" si="153"/>
        <v>23004.257649999992</v>
      </c>
      <c r="I311" s="16">
        <f t="shared" si="153"/>
        <v>23050.310649999999</v>
      </c>
      <c r="J311" s="16">
        <f t="shared" si="153"/>
        <v>23130.718250000002</v>
      </c>
      <c r="K311" s="16">
        <f t="shared" si="153"/>
        <v>23589.341500000002</v>
      </c>
      <c r="L311" s="16">
        <f t="shared" si="153"/>
        <v>25223.4905</v>
      </c>
      <c r="M311" s="15">
        <f t="shared" si="145"/>
        <v>6.9274888406698265</v>
      </c>
      <c r="N311" s="16">
        <f t="shared" si="147"/>
        <v>1634.1489999999976</v>
      </c>
      <c r="O311" s="42"/>
      <c r="P311" s="42"/>
      <c r="Q311" s="43"/>
    </row>
    <row r="312" spans="2:17" s="35" customFormat="1" ht="11.25" customHeight="1">
      <c r="B312" s="22" t="s">
        <v>11</v>
      </c>
      <c r="C312" s="16">
        <f>SUM(C234,C253,C273,C294)</f>
        <v>3829.3831500000965</v>
      </c>
      <c r="D312" s="16">
        <f t="shared" ref="D312:L312" si="154">SUM(D234,D253,D273,D294)</f>
        <v>4233.2897000000976</v>
      </c>
      <c r="E312" s="16">
        <f t="shared" si="154"/>
        <v>4532.3108400000965</v>
      </c>
      <c r="F312" s="16">
        <f t="shared" si="154"/>
        <v>4638.4240800001462</v>
      </c>
      <c r="G312" s="16">
        <f t="shared" si="154"/>
        <v>4645.6996200001468</v>
      </c>
      <c r="H312" s="16">
        <f t="shared" si="154"/>
        <v>4681.0928210001275</v>
      </c>
      <c r="I312" s="16">
        <f t="shared" si="154"/>
        <v>4685.7275560001281</v>
      </c>
      <c r="J312" s="16">
        <f t="shared" si="154"/>
        <v>4688.1933000001272</v>
      </c>
      <c r="K312" s="16">
        <f t="shared" si="154"/>
        <v>4714.3990750001267</v>
      </c>
      <c r="L312" s="16">
        <f t="shared" si="154"/>
        <v>7823.5569600000299</v>
      </c>
      <c r="M312" s="15">
        <f t="shared" si="145"/>
        <v>65.950248070584053</v>
      </c>
      <c r="N312" s="16">
        <f t="shared" si="147"/>
        <v>3109.1578849999032</v>
      </c>
      <c r="O312" s="42"/>
      <c r="P312" s="42"/>
      <c r="Q312" s="43"/>
    </row>
    <row r="313" spans="2:17" s="35" customFormat="1" ht="11.25" customHeight="1">
      <c r="B313" s="22" t="s">
        <v>12</v>
      </c>
      <c r="C313" s="16">
        <f>C235</f>
        <v>531.91999999999996</v>
      </c>
      <c r="D313" s="16">
        <f t="shared" ref="D313:L313" si="155">D235</f>
        <v>998.52</v>
      </c>
      <c r="E313" s="16">
        <f t="shared" si="155"/>
        <v>1949.92</v>
      </c>
      <c r="F313" s="16">
        <f t="shared" si="155"/>
        <v>2299.4275000000002</v>
      </c>
      <c r="G313" s="16">
        <f t="shared" si="155"/>
        <v>2299.4275000000002</v>
      </c>
      <c r="H313" s="16">
        <f t="shared" si="155"/>
        <v>2304.0129999999999</v>
      </c>
      <c r="I313" s="16">
        <f t="shared" si="155"/>
        <v>2304.0129999999999</v>
      </c>
      <c r="J313" s="16">
        <f t="shared" si="155"/>
        <v>2304.0129999999999</v>
      </c>
      <c r="K313" s="16">
        <f t="shared" si="155"/>
        <v>2304.0129999999999</v>
      </c>
      <c r="L313" s="16">
        <f t="shared" si="155"/>
        <v>2304.0129999999999</v>
      </c>
      <c r="M313" s="15">
        <f t="shared" si="145"/>
        <v>0</v>
      </c>
      <c r="N313" s="16">
        <f t="shared" si="147"/>
        <v>0</v>
      </c>
      <c r="O313" s="42"/>
      <c r="P313" s="42"/>
      <c r="Q313" s="43"/>
    </row>
    <row r="314" spans="2:17" s="35" customFormat="1" ht="11.25" customHeight="1">
      <c r="B314" s="22" t="s">
        <v>29</v>
      </c>
      <c r="C314" s="16">
        <f>SUM(C236,C254,C274)</f>
        <v>820.35191000000009</v>
      </c>
      <c r="D314" s="16">
        <f t="shared" ref="D314:L314" si="156">SUM(D236,D254,D274)</f>
        <v>886.28791000000001</v>
      </c>
      <c r="E314" s="16">
        <f t="shared" si="156"/>
        <v>973.93041000000005</v>
      </c>
      <c r="F314" s="16">
        <f t="shared" si="156"/>
        <v>949.94041000000016</v>
      </c>
      <c r="G314" s="16">
        <f t="shared" si="156"/>
        <v>987.46341000000007</v>
      </c>
      <c r="H314" s="16">
        <f t="shared" si="156"/>
        <v>882.09399999999994</v>
      </c>
      <c r="I314" s="16">
        <f t="shared" si="156"/>
        <v>870.40099999999984</v>
      </c>
      <c r="J314" s="16">
        <f t="shared" si="156"/>
        <v>872.12700000000007</v>
      </c>
      <c r="K314" s="16">
        <f t="shared" si="156"/>
        <v>878.74799999999993</v>
      </c>
      <c r="L314" s="16">
        <f t="shared" si="156"/>
        <v>980.86400000000015</v>
      </c>
      <c r="M314" s="15">
        <f t="shared" si="145"/>
        <v>11.620623887621949</v>
      </c>
      <c r="N314" s="16">
        <f t="shared" si="147"/>
        <v>102.11600000000021</v>
      </c>
      <c r="O314" s="42"/>
      <c r="P314" s="42"/>
      <c r="Q314" s="43"/>
    </row>
    <row r="315" spans="2:17" s="35" customFormat="1" ht="11.25" customHeight="1">
      <c r="B315" s="22" t="s">
        <v>13</v>
      </c>
      <c r="C315" s="16">
        <f>SUM(C237,C255,C275,C297)</f>
        <v>7214.6911999999993</v>
      </c>
      <c r="D315" s="16">
        <f t="shared" ref="D315:L315" si="157">SUM(D237,D255,D275,D297)</f>
        <v>7296.6786999999986</v>
      </c>
      <c r="E315" s="16">
        <f t="shared" si="157"/>
        <v>7238.2111999999979</v>
      </c>
      <c r="F315" s="16">
        <f t="shared" si="157"/>
        <v>7178.9416999999994</v>
      </c>
      <c r="G315" s="16">
        <f t="shared" si="157"/>
        <v>7168.8631999999989</v>
      </c>
      <c r="H315" s="16">
        <f t="shared" si="157"/>
        <v>6154.0750099999996</v>
      </c>
      <c r="I315" s="16">
        <f t="shared" si="157"/>
        <v>5966.3070100000004</v>
      </c>
      <c r="J315" s="16">
        <f t="shared" si="157"/>
        <v>5802.2220100000013</v>
      </c>
      <c r="K315" s="16">
        <f t="shared" si="157"/>
        <v>5728.8888999999999</v>
      </c>
      <c r="L315" s="16">
        <f t="shared" si="157"/>
        <v>5688.3101999999999</v>
      </c>
      <c r="M315" s="15">
        <f t="shared" si="145"/>
        <v>-0.70831710491017219</v>
      </c>
      <c r="N315" s="16">
        <f t="shared" si="147"/>
        <v>-40.578700000000026</v>
      </c>
      <c r="O315" s="42"/>
      <c r="P315" s="42"/>
      <c r="Q315" s="43"/>
    </row>
    <row r="316" spans="2:17" s="35" customFormat="1" ht="11.25" customHeight="1">
      <c r="B316" s="22" t="s">
        <v>14</v>
      </c>
      <c r="C316" s="16">
        <f>SUM(C238,C256,C296)</f>
        <v>0</v>
      </c>
      <c r="D316" s="16">
        <f t="shared" ref="D316:L316" si="158">SUM(D238,D256,D296)</f>
        <v>0</v>
      </c>
      <c r="E316" s="16">
        <f t="shared" si="158"/>
        <v>0</v>
      </c>
      <c r="F316" s="16">
        <f t="shared" si="158"/>
        <v>0</v>
      </c>
      <c r="G316" s="16">
        <f t="shared" si="158"/>
        <v>0</v>
      </c>
      <c r="H316" s="16">
        <f t="shared" si="158"/>
        <v>508.07149999999996</v>
      </c>
      <c r="I316" s="16">
        <f t="shared" si="158"/>
        <v>496.13949999999994</v>
      </c>
      <c r="J316" s="16">
        <f t="shared" si="158"/>
        <v>496.13949999999994</v>
      </c>
      <c r="K316" s="16">
        <f t="shared" si="158"/>
        <v>489.61150000000004</v>
      </c>
      <c r="L316" s="16">
        <f t="shared" si="158"/>
        <v>489.61150000000004</v>
      </c>
      <c r="M316" s="15">
        <f t="shared" si="145"/>
        <v>0</v>
      </c>
      <c r="N316" s="16">
        <f t="shared" si="147"/>
        <v>0</v>
      </c>
      <c r="O316" s="42"/>
      <c r="P316" s="42"/>
      <c r="Q316" s="43"/>
    </row>
    <row r="317" spans="2:17" s="35" customFormat="1" ht="11.25" customHeight="1">
      <c r="B317" s="22" t="s">
        <v>15</v>
      </c>
      <c r="C317" s="16">
        <f>SUM(C239,C257,C296)</f>
        <v>0</v>
      </c>
      <c r="D317" s="16">
        <f t="shared" ref="D317:L317" si="159">SUM(D239,D257,D296)</f>
        <v>0</v>
      </c>
      <c r="E317" s="16">
        <f t="shared" si="159"/>
        <v>0</v>
      </c>
      <c r="F317" s="16">
        <f t="shared" si="159"/>
        <v>0</v>
      </c>
      <c r="G317" s="16">
        <f t="shared" si="159"/>
        <v>0</v>
      </c>
      <c r="H317" s="16">
        <f t="shared" si="159"/>
        <v>160.27550000000002</v>
      </c>
      <c r="I317" s="16">
        <f t="shared" si="159"/>
        <v>160.27550000000002</v>
      </c>
      <c r="J317" s="16">
        <f t="shared" si="159"/>
        <v>160.27550000000002</v>
      </c>
      <c r="K317" s="16">
        <f t="shared" si="159"/>
        <v>160.27550000000002</v>
      </c>
      <c r="L317" s="16">
        <f t="shared" si="159"/>
        <v>160.27550000000002</v>
      </c>
      <c r="M317" s="15">
        <f t="shared" si="145"/>
        <v>0</v>
      </c>
      <c r="N317" s="16">
        <f t="shared" si="147"/>
        <v>0</v>
      </c>
      <c r="O317" s="42"/>
      <c r="P317" s="42"/>
      <c r="Q317" s="43"/>
    </row>
    <row r="318" spans="2:17" s="35" customFormat="1" ht="11.25" customHeight="1">
      <c r="B318" s="65" t="s">
        <v>114</v>
      </c>
      <c r="C318" s="66">
        <f>SUM(C304,C310:C314,C317)</f>
        <v>41576.501790000097</v>
      </c>
      <c r="D318" s="66">
        <f t="shared" ref="D318" si="160">SUM(D304,D310:D314,D317)</f>
        <v>43989.890140000083</v>
      </c>
      <c r="E318" s="66">
        <f t="shared" ref="E318" si="161">SUM(E304,E310:E314,E317)</f>
        <v>47141.856380000085</v>
      </c>
      <c r="F318" s="66">
        <f t="shared" ref="F318" si="162">SUM(F304,F310:F314,F317)</f>
        <v>47882.907120000134</v>
      </c>
      <c r="G318" s="66">
        <f t="shared" ref="G318" si="163">SUM(G304,G310:G314,G317)</f>
        <v>47963.796160000136</v>
      </c>
      <c r="H318" s="66">
        <f t="shared" ref="H318" si="164">SUM(H304,H310:H314,H317)</f>
        <v>48071.889601000112</v>
      </c>
      <c r="I318" s="66">
        <f t="shared" ref="I318" si="165">SUM(I304,I310:I314,I317)</f>
        <v>48114.984336000125</v>
      </c>
      <c r="J318" s="66">
        <f t="shared" ref="J318" si="166">SUM(J304,J310:J314,J317)</f>
        <v>48196.746680000128</v>
      </c>
      <c r="K318" s="66">
        <f t="shared" ref="K318" si="167">SUM(K304,K310:K314,K317)</f>
        <v>48707.008305000127</v>
      </c>
      <c r="L318" s="66">
        <f>SUM(L304,L310:L314,L317)</f>
        <v>53590.764190000031</v>
      </c>
      <c r="M318" s="67">
        <f>((L318/K318)-1)*100</f>
        <v>10.026803236236859</v>
      </c>
      <c r="N318" s="66">
        <f>SUM(N304,N310:N314,N317)</f>
        <v>4883.7558849998959</v>
      </c>
      <c r="O318" s="42"/>
      <c r="P318" s="42"/>
      <c r="Q318" s="43"/>
    </row>
    <row r="319" spans="2:17" s="35" customFormat="1" ht="11.25" customHeight="1">
      <c r="B319" s="65" t="s">
        <v>115</v>
      </c>
      <c r="C319" s="66">
        <f>SUM(C305:C309,C315:C316)</f>
        <v>59794.311200000011</v>
      </c>
      <c r="D319" s="66">
        <f t="shared" ref="D319:L319" si="168">SUM(D305:D309,D315:D316)</f>
        <v>58908.418700000002</v>
      </c>
      <c r="E319" s="66">
        <f t="shared" si="168"/>
        <v>58101.011200000001</v>
      </c>
      <c r="F319" s="66">
        <f t="shared" si="168"/>
        <v>57946.971699999995</v>
      </c>
      <c r="G319" s="66">
        <f t="shared" si="168"/>
        <v>57794.263200000001</v>
      </c>
      <c r="H319" s="66">
        <f t="shared" si="168"/>
        <v>57659.97651</v>
      </c>
      <c r="I319" s="66">
        <f t="shared" si="168"/>
        <v>56528.126509999995</v>
      </c>
      <c r="J319" s="66">
        <f t="shared" si="168"/>
        <v>55908.751509999995</v>
      </c>
      <c r="K319" s="66">
        <f t="shared" si="168"/>
        <v>55469.055399999997</v>
      </c>
      <c r="L319" s="66">
        <f t="shared" si="168"/>
        <v>55039.036700000004</v>
      </c>
      <c r="M319" s="67">
        <f t="shared" ref="M319:M320" si="169">((L319/K319)-1)*100</f>
        <v>-0.77524071195917976</v>
      </c>
      <c r="N319" s="66">
        <f t="shared" ref="N319" si="170">SUM(N305:N309,N315:N316)</f>
        <v>-430.01870000000008</v>
      </c>
      <c r="O319" s="42"/>
      <c r="P319" s="42"/>
      <c r="Q319" s="43"/>
    </row>
    <row r="320" spans="2:17" s="35" customFormat="1" ht="11.25" customHeight="1">
      <c r="B320" s="54" t="s">
        <v>32</v>
      </c>
      <c r="C320" s="66">
        <f t="shared" ref="C320:L320" si="171">SUM(C318:C319)</f>
        <v>101370.81299000011</v>
      </c>
      <c r="D320" s="66">
        <f t="shared" si="171"/>
        <v>102898.30884000009</v>
      </c>
      <c r="E320" s="66">
        <f t="shared" si="171"/>
        <v>105242.86758000008</v>
      </c>
      <c r="F320" s="66">
        <f t="shared" si="171"/>
        <v>105829.87882000013</v>
      </c>
      <c r="G320" s="66">
        <f t="shared" si="171"/>
        <v>105758.05936000013</v>
      </c>
      <c r="H320" s="66">
        <f t="shared" si="171"/>
        <v>105731.86611100011</v>
      </c>
      <c r="I320" s="66">
        <f t="shared" si="171"/>
        <v>104643.11084600011</v>
      </c>
      <c r="J320" s="66">
        <f t="shared" si="171"/>
        <v>104105.49819000013</v>
      </c>
      <c r="K320" s="66">
        <f t="shared" si="171"/>
        <v>104176.06370500012</v>
      </c>
      <c r="L320" s="66">
        <f t="shared" si="171"/>
        <v>108629.80089000004</v>
      </c>
      <c r="M320" s="67">
        <f t="shared" si="169"/>
        <v>4.2752020249217315</v>
      </c>
      <c r="N320" s="66">
        <f t="shared" ref="N320" si="172">SUM(N318:N319)</f>
        <v>4453.7371849998963</v>
      </c>
      <c r="O320" s="42"/>
      <c r="P320" s="42"/>
      <c r="Q320" s="43"/>
    </row>
    <row r="321" spans="2:17" s="35" customFormat="1" ht="11.25" customHeight="1">
      <c r="B321" s="41"/>
      <c r="C321" s="145"/>
      <c r="D321" s="145"/>
      <c r="E321" s="145"/>
      <c r="F321" s="145"/>
      <c r="G321" s="145"/>
      <c r="H321" s="145"/>
      <c r="I321" s="145"/>
      <c r="J321" s="145"/>
      <c r="K321" s="145"/>
      <c r="L321" s="145"/>
      <c r="M321" s="42"/>
      <c r="N321" s="43"/>
      <c r="O321" s="42"/>
      <c r="P321" s="42"/>
      <c r="Q321" s="43"/>
    </row>
    <row r="322" spans="2:17">
      <c r="B322" s="34" t="s">
        <v>116</v>
      </c>
    </row>
    <row r="323" spans="2:17">
      <c r="B323" s="82"/>
      <c r="C323" s="83">
        <v>2010</v>
      </c>
      <c r="D323" s="83">
        <v>2011</v>
      </c>
      <c r="E323" s="83">
        <v>2012</v>
      </c>
      <c r="F323" s="83">
        <v>2013</v>
      </c>
      <c r="G323" s="83">
        <v>2014</v>
      </c>
      <c r="H323" s="83">
        <v>2015</v>
      </c>
      <c r="I323" s="83">
        <v>2016</v>
      </c>
      <c r="J323" s="83">
        <v>2017</v>
      </c>
      <c r="K323" s="83">
        <v>2018</v>
      </c>
      <c r="L323" s="83">
        <v>2019</v>
      </c>
    </row>
    <row r="324" spans="2:17">
      <c r="B324" s="63" t="s">
        <v>6</v>
      </c>
      <c r="C324" s="15">
        <f>ROUND((C227/$C$242*100),1)</f>
        <v>17.399999999999999</v>
      </c>
      <c r="D324" s="15">
        <f t="shared" ref="D324:D333" si="173">ROUND((D227/$D$242*100),1)</f>
        <v>17.100000000000001</v>
      </c>
      <c r="E324" s="15">
        <f t="shared" ref="E324:E333" si="174">ROUND((E227/$E$242*100),1)</f>
        <v>16.899999999999999</v>
      </c>
      <c r="F324" s="15">
        <f t="shared" ref="F324:F333" si="175">ROUND((F227/$F$242*100),1)</f>
        <v>16.899999999999999</v>
      </c>
      <c r="G324" s="15">
        <f t="shared" ref="G324:G333" si="176">ROUND((G227/$G$242*100),1)</f>
        <v>16.899999999999999</v>
      </c>
      <c r="H324" s="15">
        <f t="shared" ref="H324:H333" si="177">ROUND((H227/$H$242*100),1)</f>
        <v>16.899999999999999</v>
      </c>
      <c r="I324" s="15">
        <f t="shared" ref="I324:I333" si="178">ROUND((I227/$I$242*100),1)</f>
        <v>17.100000000000001</v>
      </c>
      <c r="J324" s="15">
        <f t="shared" ref="J324:J333" si="179">ROUND((J227/$J$242*100),1)</f>
        <v>17.2</v>
      </c>
      <c r="K324" s="15">
        <f t="shared" ref="K324:K333" si="180">ROUND((K227/$K$242*100),1)</f>
        <v>17.3</v>
      </c>
      <c r="L324" s="15">
        <f t="shared" ref="L324:L333" si="181">ROUND((L227/$L$242*100),1)</f>
        <v>16.600000000000001</v>
      </c>
    </row>
    <row r="325" spans="2:17">
      <c r="B325" s="63" t="s">
        <v>25</v>
      </c>
      <c r="C325" s="15">
        <f t="shared" ref="C325:C333" si="182">ROUND((C228/$C$242*100),1)</f>
        <v>2.5</v>
      </c>
      <c r="D325" s="15">
        <f t="shared" si="173"/>
        <v>2.5</v>
      </c>
      <c r="E325" s="15">
        <f t="shared" si="174"/>
        <v>2.5</v>
      </c>
      <c r="F325" s="15">
        <f t="shared" si="175"/>
        <v>2.4</v>
      </c>
      <c r="G325" s="15">
        <f t="shared" si="176"/>
        <v>2.4</v>
      </c>
      <c r="H325" s="15">
        <f t="shared" si="177"/>
        <v>3.3</v>
      </c>
      <c r="I325" s="15">
        <f t="shared" si="178"/>
        <v>3.3</v>
      </c>
      <c r="J325" s="15">
        <f t="shared" si="179"/>
        <v>3.4</v>
      </c>
      <c r="K325" s="15">
        <f t="shared" si="180"/>
        <v>3.4</v>
      </c>
      <c r="L325" s="15">
        <f t="shared" si="181"/>
        <v>3.2</v>
      </c>
    </row>
    <row r="326" spans="2:17">
      <c r="B326" s="63" t="s">
        <v>7</v>
      </c>
      <c r="C326" s="15">
        <f t="shared" si="182"/>
        <v>7.8</v>
      </c>
      <c r="D326" s="15">
        <f t="shared" si="173"/>
        <v>7.8</v>
      </c>
      <c r="E326" s="15">
        <f t="shared" si="174"/>
        <v>7.6</v>
      </c>
      <c r="F326" s="15">
        <f t="shared" si="175"/>
        <v>7.5</v>
      </c>
      <c r="G326" s="15">
        <f t="shared" si="176"/>
        <v>7.5</v>
      </c>
      <c r="H326" s="15">
        <f t="shared" si="177"/>
        <v>7.5</v>
      </c>
      <c r="I326" s="15">
        <f t="shared" si="178"/>
        <v>7.6</v>
      </c>
      <c r="J326" s="15">
        <f t="shared" si="179"/>
        <v>7.2</v>
      </c>
      <c r="K326" s="15">
        <f t="shared" si="180"/>
        <v>7.2</v>
      </c>
      <c r="L326" s="15">
        <f t="shared" si="181"/>
        <v>6.9</v>
      </c>
    </row>
    <row r="327" spans="2:17">
      <c r="B327" s="63" t="s">
        <v>8</v>
      </c>
      <c r="C327" s="15">
        <f t="shared" si="182"/>
        <v>11.3</v>
      </c>
      <c r="D327" s="15">
        <f t="shared" si="173"/>
        <v>11.4</v>
      </c>
      <c r="E327" s="15">
        <f t="shared" si="174"/>
        <v>10.6</v>
      </c>
      <c r="F327" s="15">
        <f t="shared" si="175"/>
        <v>10.5</v>
      </c>
      <c r="G327" s="15">
        <f t="shared" si="176"/>
        <v>10.4</v>
      </c>
      <c r="H327" s="15">
        <f t="shared" si="177"/>
        <v>10.4</v>
      </c>
      <c r="I327" s="15">
        <f t="shared" si="178"/>
        <v>9.6</v>
      </c>
      <c r="J327" s="15">
        <f t="shared" si="179"/>
        <v>9.6</v>
      </c>
      <c r="K327" s="15">
        <f t="shared" si="180"/>
        <v>9.6999999999999993</v>
      </c>
      <c r="L327" s="15">
        <f t="shared" si="181"/>
        <v>8.9</v>
      </c>
    </row>
    <row r="328" spans="2:17">
      <c r="B328" s="63" t="s">
        <v>27</v>
      </c>
      <c r="C328" s="15">
        <f t="shared" si="182"/>
        <v>2.2000000000000002</v>
      </c>
      <c r="D328" s="15">
        <f t="shared" si="173"/>
        <v>0.8</v>
      </c>
      <c r="E328" s="15">
        <f t="shared" si="174"/>
        <v>0.5</v>
      </c>
      <c r="F328" s="15">
        <f t="shared" si="175"/>
        <v>0.5</v>
      </c>
      <c r="G328" s="15">
        <f t="shared" si="176"/>
        <v>0.5</v>
      </c>
      <c r="H328" s="15">
        <f t="shared" si="177"/>
        <v>0</v>
      </c>
      <c r="I328" s="15">
        <f t="shared" si="178"/>
        <v>0</v>
      </c>
      <c r="J328" s="15">
        <f t="shared" si="179"/>
        <v>0</v>
      </c>
      <c r="K328" s="15">
        <f t="shared" si="180"/>
        <v>0</v>
      </c>
      <c r="L328" s="15">
        <f t="shared" si="181"/>
        <v>0</v>
      </c>
    </row>
    <row r="329" spans="2:17">
      <c r="B329" s="63" t="s">
        <v>28</v>
      </c>
      <c r="C329" s="15">
        <f t="shared" si="182"/>
        <v>25.8</v>
      </c>
      <c r="D329" s="15">
        <f t="shared" si="173"/>
        <v>25.5</v>
      </c>
      <c r="E329" s="15">
        <f t="shared" si="174"/>
        <v>25</v>
      </c>
      <c r="F329" s="15">
        <f t="shared" si="175"/>
        <v>24.8</v>
      </c>
      <c r="G329" s="15">
        <f t="shared" si="176"/>
        <v>24.8</v>
      </c>
      <c r="H329" s="15">
        <f t="shared" si="177"/>
        <v>24.8</v>
      </c>
      <c r="I329" s="15">
        <f t="shared" si="178"/>
        <v>25.1</v>
      </c>
      <c r="J329" s="15">
        <f t="shared" si="179"/>
        <v>25.2</v>
      </c>
      <c r="K329" s="15">
        <f t="shared" si="180"/>
        <v>24.9</v>
      </c>
      <c r="L329" s="15">
        <f t="shared" si="181"/>
        <v>23.8</v>
      </c>
    </row>
    <row r="330" spans="2:17">
      <c r="B330" s="63" t="s">
        <v>10</v>
      </c>
      <c r="C330" s="15">
        <f t="shared" si="182"/>
        <v>20.3</v>
      </c>
      <c r="D330" s="15">
        <f t="shared" si="173"/>
        <v>21.5</v>
      </c>
      <c r="E330" s="15">
        <f t="shared" si="174"/>
        <v>22.6</v>
      </c>
      <c r="F330" s="15">
        <f t="shared" si="175"/>
        <v>22.7</v>
      </c>
      <c r="G330" s="15">
        <f t="shared" si="176"/>
        <v>22.7</v>
      </c>
      <c r="H330" s="15">
        <f t="shared" si="177"/>
        <v>22.7</v>
      </c>
      <c r="I330" s="15">
        <f t="shared" si="178"/>
        <v>23</v>
      </c>
      <c r="J330" s="15">
        <f t="shared" si="179"/>
        <v>23.2</v>
      </c>
      <c r="K330" s="15">
        <f t="shared" si="180"/>
        <v>23.5</v>
      </c>
      <c r="L330" s="15">
        <f t="shared" si="181"/>
        <v>24</v>
      </c>
    </row>
    <row r="331" spans="2:17">
      <c r="B331" s="63" t="s">
        <v>11</v>
      </c>
      <c r="C331" s="15">
        <f t="shared" si="182"/>
        <v>3.8</v>
      </c>
      <c r="D331" s="15">
        <f t="shared" si="173"/>
        <v>4.0999999999999996</v>
      </c>
      <c r="E331" s="15">
        <f t="shared" si="174"/>
        <v>4.3</v>
      </c>
      <c r="F331" s="15">
        <f t="shared" si="175"/>
        <v>4.4000000000000004</v>
      </c>
      <c r="G331" s="15">
        <f t="shared" si="176"/>
        <v>4.4000000000000004</v>
      </c>
      <c r="H331" s="15">
        <f t="shared" si="177"/>
        <v>4.4000000000000004</v>
      </c>
      <c r="I331" s="15">
        <f t="shared" si="178"/>
        <v>4.5</v>
      </c>
      <c r="J331" s="15">
        <f t="shared" si="179"/>
        <v>4.5</v>
      </c>
      <c r="K331" s="15">
        <f t="shared" si="180"/>
        <v>4.5</v>
      </c>
      <c r="L331" s="15">
        <f t="shared" si="181"/>
        <v>7.3</v>
      </c>
    </row>
    <row r="332" spans="2:17">
      <c r="B332" s="63" t="s">
        <v>12</v>
      </c>
      <c r="C332" s="15">
        <f t="shared" si="182"/>
        <v>0.6</v>
      </c>
      <c r="D332" s="15">
        <f t="shared" si="173"/>
        <v>1</v>
      </c>
      <c r="E332" s="15">
        <f t="shared" si="174"/>
        <v>2</v>
      </c>
      <c r="F332" s="15">
        <f t="shared" si="175"/>
        <v>2.2999999999999998</v>
      </c>
      <c r="G332" s="15">
        <f t="shared" si="176"/>
        <v>2.2999999999999998</v>
      </c>
      <c r="H332" s="15">
        <f t="shared" si="177"/>
        <v>2.2999999999999998</v>
      </c>
      <c r="I332" s="15">
        <f t="shared" si="178"/>
        <v>2.2999999999999998</v>
      </c>
      <c r="J332" s="15">
        <f t="shared" si="179"/>
        <v>2.2999999999999998</v>
      </c>
      <c r="K332" s="15">
        <f t="shared" si="180"/>
        <v>2.2999999999999998</v>
      </c>
      <c r="L332" s="15">
        <f t="shared" si="181"/>
        <v>2.2000000000000002</v>
      </c>
    </row>
    <row r="333" spans="2:17">
      <c r="B333" s="22" t="s">
        <v>29</v>
      </c>
      <c r="C333" s="15">
        <f t="shared" si="182"/>
        <v>0.8</v>
      </c>
      <c r="D333" s="15">
        <f t="shared" si="173"/>
        <v>0.9</v>
      </c>
      <c r="E333" s="15">
        <f t="shared" si="174"/>
        <v>1</v>
      </c>
      <c r="F333" s="15">
        <f t="shared" si="175"/>
        <v>0.9</v>
      </c>
      <c r="G333" s="15">
        <f t="shared" si="176"/>
        <v>1</v>
      </c>
      <c r="H333" s="15">
        <f t="shared" si="177"/>
        <v>0.9</v>
      </c>
      <c r="I333" s="15">
        <f t="shared" si="178"/>
        <v>0.9</v>
      </c>
      <c r="J333" s="15">
        <f t="shared" si="179"/>
        <v>0.9</v>
      </c>
      <c r="K333" s="15">
        <f t="shared" si="180"/>
        <v>0.9</v>
      </c>
      <c r="L333" s="15">
        <f t="shared" si="181"/>
        <v>0.9</v>
      </c>
    </row>
    <row r="334" spans="2:17">
      <c r="B334" s="22" t="s">
        <v>13</v>
      </c>
      <c r="C334" s="15">
        <f t="shared" ref="C334:L334" si="183">100-SUM(C324:C333,C335:C336)</f>
        <v>7.5000000000000142</v>
      </c>
      <c r="D334" s="15">
        <f t="shared" si="183"/>
        <v>7.4000000000000057</v>
      </c>
      <c r="E334" s="15">
        <f t="shared" si="183"/>
        <v>7</v>
      </c>
      <c r="F334" s="15">
        <f t="shared" si="183"/>
        <v>7.0999999999999943</v>
      </c>
      <c r="G334" s="15">
        <f t="shared" si="183"/>
        <v>7.0999999999999943</v>
      </c>
      <c r="H334" s="15">
        <f t="shared" si="183"/>
        <v>6.1999999999999886</v>
      </c>
      <c r="I334" s="15">
        <f t="shared" si="183"/>
        <v>6</v>
      </c>
      <c r="J334" s="15">
        <f t="shared" si="183"/>
        <v>5.9000000000000057</v>
      </c>
      <c r="K334" s="15">
        <f t="shared" si="183"/>
        <v>5.7000000000000028</v>
      </c>
      <c r="L334" s="15">
        <f t="shared" si="183"/>
        <v>5.6999999999999886</v>
      </c>
    </row>
    <row r="335" spans="2:17">
      <c r="B335" s="63" t="s">
        <v>14</v>
      </c>
      <c r="C335" s="15" t="str">
        <f>IF(C238="-","-",ROUND((C238/$C$242*100),1))</f>
        <v>-</v>
      </c>
      <c r="D335" s="15" t="str">
        <f>IF(D238="-","-",ROUND((D238/$D$242*100),1))</f>
        <v>-</v>
      </c>
      <c r="E335" s="15" t="str">
        <f>IF(E238="-","-",ROUND((E238/$E$242*100),1))</f>
        <v>-</v>
      </c>
      <c r="F335" s="15" t="str">
        <f>IF(F238="-","-",ROUND((F238/$F$242*100),1))</f>
        <v>-</v>
      </c>
      <c r="G335" s="15" t="str">
        <f>IF(G238="-","-",ROUND((G238/$G$242*100),1))</f>
        <v>-</v>
      </c>
      <c r="H335" s="15">
        <f>ROUND((H238/$H$242*100),1)</f>
        <v>0.5</v>
      </c>
      <c r="I335" s="15">
        <f>ROUND((I238/$I$242*100),1)</f>
        <v>0.5</v>
      </c>
      <c r="J335" s="15">
        <f>ROUND((J238/$J$242*100),1)</f>
        <v>0.5</v>
      </c>
      <c r="K335" s="15">
        <f>ROUND((K238/$K$242*100),1)</f>
        <v>0.5</v>
      </c>
      <c r="L335" s="15">
        <f>ROUND((L238/$L$242*100),1)</f>
        <v>0.4</v>
      </c>
    </row>
    <row r="336" spans="2:17">
      <c r="B336" s="64" t="s">
        <v>15</v>
      </c>
      <c r="C336" s="15" t="str">
        <f>IF(C239="-","-",ROUND((C239/$C$242*100),1))</f>
        <v>-</v>
      </c>
      <c r="D336" s="15" t="str">
        <f>IF(D239="-","-",ROUND((D239/$D$242*100),1))</f>
        <v>-</v>
      </c>
      <c r="E336" s="15" t="str">
        <f>IF(E239="-","-",ROUND((E239/$E$242*100),1))</f>
        <v>-</v>
      </c>
      <c r="F336" s="15" t="str">
        <f>IF(F239="-","-",ROUND((F239/$F$242*100),1))</f>
        <v>-</v>
      </c>
      <c r="G336" s="15" t="str">
        <f>IF(G239="-","-",ROUND((G239/$G$242*100),1))</f>
        <v>-</v>
      </c>
      <c r="H336" s="15">
        <f>ROUND((H239/$H$242*100),1)</f>
        <v>0.1</v>
      </c>
      <c r="I336" s="15">
        <f>ROUND((I239/$I$242*100),1)</f>
        <v>0.1</v>
      </c>
      <c r="J336" s="15">
        <f>ROUND((J239/$J$242*100),1)</f>
        <v>0.1</v>
      </c>
      <c r="K336" s="15">
        <f>ROUND((K239/$K$242*100),1)</f>
        <v>0.1</v>
      </c>
      <c r="L336" s="15">
        <f>ROUND((L239/$L$242*100),1)</f>
        <v>0.1</v>
      </c>
    </row>
    <row r="337" spans="2:13">
      <c r="B337" s="65" t="s">
        <v>52</v>
      </c>
      <c r="C337" s="67">
        <f>SUM(C324,C330:C333,C336)</f>
        <v>42.9</v>
      </c>
      <c r="D337" s="67">
        <f t="shared" ref="D337:G337" si="184">SUM(D324,D330:D333,D336)</f>
        <v>44.6</v>
      </c>
      <c r="E337" s="67">
        <f t="shared" si="184"/>
        <v>46.8</v>
      </c>
      <c r="F337" s="67">
        <f t="shared" si="184"/>
        <v>47.199999999999989</v>
      </c>
      <c r="G337" s="67">
        <f t="shared" si="184"/>
        <v>47.29999999999999</v>
      </c>
      <c r="H337" s="67">
        <f>SUM(H324,H330:H333,H336)</f>
        <v>47.29999999999999</v>
      </c>
      <c r="I337" s="67">
        <f t="shared" ref="I337:K337" si="185">SUM(I324,I330:I333,I336)</f>
        <v>47.9</v>
      </c>
      <c r="J337" s="67">
        <f t="shared" si="185"/>
        <v>48.199999999999996</v>
      </c>
      <c r="K337" s="67">
        <f t="shared" si="185"/>
        <v>48.599999999999994</v>
      </c>
      <c r="L337" s="67">
        <f>SUM(L324,L330:L333,L336)</f>
        <v>51.1</v>
      </c>
    </row>
    <row r="338" spans="2:13">
      <c r="B338" s="65" t="s">
        <v>53</v>
      </c>
      <c r="C338" s="67">
        <f>SUM(C325:C329,C334:C335)</f>
        <v>57.100000000000016</v>
      </c>
      <c r="D338" s="67">
        <f t="shared" ref="D338:G338" si="186">SUM(D325:D329,D334:D335)</f>
        <v>55.400000000000006</v>
      </c>
      <c r="E338" s="67">
        <f t="shared" si="186"/>
        <v>53.2</v>
      </c>
      <c r="F338" s="67">
        <f t="shared" si="186"/>
        <v>52.8</v>
      </c>
      <c r="G338" s="67">
        <f t="shared" si="186"/>
        <v>52.699999999999996</v>
      </c>
      <c r="H338" s="67">
        <f>SUM(H325:H329,H334:H335)</f>
        <v>52.699999999999989</v>
      </c>
      <c r="I338" s="67">
        <f t="shared" ref="I338:L338" si="187">SUM(I325:I329,I334:I335)</f>
        <v>52.1</v>
      </c>
      <c r="J338" s="67">
        <f t="shared" si="187"/>
        <v>51.800000000000004</v>
      </c>
      <c r="K338" s="67">
        <f t="shared" si="187"/>
        <v>51.4</v>
      </c>
      <c r="L338" s="67">
        <f t="shared" si="187"/>
        <v>48.899999999999984</v>
      </c>
    </row>
    <row r="339" spans="2:13">
      <c r="B339" s="65" t="s">
        <v>54</v>
      </c>
      <c r="C339" s="67">
        <f>SUM(C337:C338)</f>
        <v>100.00000000000001</v>
      </c>
      <c r="D339" s="67">
        <f t="shared" ref="D339:G339" si="188">SUM(D337:D338)</f>
        <v>100</v>
      </c>
      <c r="E339" s="67">
        <f t="shared" si="188"/>
        <v>100</v>
      </c>
      <c r="F339" s="67">
        <f t="shared" si="188"/>
        <v>99.999999999999986</v>
      </c>
      <c r="G339" s="67">
        <f t="shared" si="188"/>
        <v>99.999999999999986</v>
      </c>
      <c r="H339" s="67">
        <f>SUM(H337:H338)</f>
        <v>99.999999999999972</v>
      </c>
      <c r="I339" s="67">
        <f t="shared" ref="I339:L339" si="189">SUM(I337:I338)</f>
        <v>100</v>
      </c>
      <c r="J339" s="67">
        <f t="shared" si="189"/>
        <v>100</v>
      </c>
      <c r="K339" s="67">
        <f t="shared" si="189"/>
        <v>100</v>
      </c>
      <c r="L339" s="67">
        <f t="shared" si="189"/>
        <v>99.999999999999986</v>
      </c>
    </row>
    <row r="340" spans="2:13">
      <c r="B340" s="68" t="s">
        <v>56</v>
      </c>
    </row>
    <row r="341" spans="2:13">
      <c r="B341" s="68" t="s">
        <v>57</v>
      </c>
    </row>
    <row r="342" spans="2:13">
      <c r="B342" s="68"/>
    </row>
    <row r="343" spans="2:13">
      <c r="B343" s="34" t="s">
        <v>91</v>
      </c>
    </row>
    <row r="344" spans="2:13">
      <c r="B344" s="82"/>
      <c r="C344" s="83">
        <v>2010</v>
      </c>
      <c r="D344" s="83">
        <v>2011</v>
      </c>
      <c r="E344" s="83">
        <v>2012</v>
      </c>
      <c r="F344" s="83">
        <v>2013</v>
      </c>
      <c r="G344" s="83">
        <v>2014</v>
      </c>
      <c r="H344" s="83">
        <v>2015</v>
      </c>
      <c r="I344" s="83">
        <v>2016</v>
      </c>
      <c r="J344" s="83">
        <v>2017</v>
      </c>
      <c r="K344" s="83">
        <v>2018</v>
      </c>
      <c r="L344" s="83">
        <v>2019</v>
      </c>
      <c r="M344" s="122" t="s">
        <v>107</v>
      </c>
    </row>
    <row r="345" spans="2:13">
      <c r="B345" s="115" t="s">
        <v>76</v>
      </c>
      <c r="C345" s="16">
        <v>0</v>
      </c>
      <c r="D345" s="16">
        <v>5.6000000000000006E-4</v>
      </c>
      <c r="E345" s="16">
        <v>1.58E-3</v>
      </c>
      <c r="F345" s="16">
        <v>1.1000000000000001E-3</v>
      </c>
      <c r="G345" s="16">
        <v>5.5999999999999999E-3</v>
      </c>
      <c r="H345" s="16">
        <v>6.2300000000000003E-3</v>
      </c>
      <c r="I345" s="16">
        <v>3.9700000000000004E-3</v>
      </c>
      <c r="J345" s="16">
        <v>1.711E-2</v>
      </c>
      <c r="K345" s="16">
        <v>7.8899999999999994E-3</v>
      </c>
      <c r="L345" s="16">
        <v>1.2719999999999999E-2</v>
      </c>
      <c r="M345" s="15">
        <f>((L345/K345)-1)*100</f>
        <v>61.216730038022817</v>
      </c>
    </row>
    <row r="346" spans="2:13">
      <c r="B346" s="115" t="s">
        <v>77</v>
      </c>
      <c r="C346" s="16">
        <v>1983.2739999999999</v>
      </c>
      <c r="D346" s="16">
        <v>3986.9997699999999</v>
      </c>
      <c r="E346" s="16">
        <v>4910.520955</v>
      </c>
      <c r="F346" s="16">
        <v>4879.0747930000098</v>
      </c>
      <c r="G346" s="16">
        <v>5962.7619610000102</v>
      </c>
      <c r="H346" s="16">
        <v>9130.8855050000002</v>
      </c>
      <c r="I346" s="16">
        <v>12135.331732999999</v>
      </c>
      <c r="J346" s="16">
        <v>15564.216642000001</v>
      </c>
      <c r="K346" s="16">
        <v>15513.896062999998</v>
      </c>
      <c r="L346" s="16">
        <v>13058.458453711191</v>
      </c>
      <c r="M346" s="15">
        <f t="shared" ref="M346:M359" si="190">((L346/K346)-1)*100</f>
        <v>-15.827343430158237</v>
      </c>
    </row>
    <row r="347" spans="2:13">
      <c r="B347" s="115" t="s">
        <v>78</v>
      </c>
      <c r="C347" s="16">
        <v>3189.06</v>
      </c>
      <c r="D347" s="16">
        <v>3929.8308790000001</v>
      </c>
      <c r="E347" s="16">
        <v>2870.6081570000001</v>
      </c>
      <c r="F347" s="16">
        <v>5323.46641</v>
      </c>
      <c r="G347" s="16">
        <v>6344.7284030000001</v>
      </c>
      <c r="H347" s="16">
        <v>5810.6983620000001</v>
      </c>
      <c r="I347" s="16">
        <v>9701.608037</v>
      </c>
      <c r="J347" s="16">
        <v>8190.1813360000006</v>
      </c>
      <c r="K347" s="16">
        <v>8324.1034359999903</v>
      </c>
      <c r="L347" s="16">
        <v>4483.9260936129976</v>
      </c>
      <c r="M347" s="15">
        <f t="shared" si="190"/>
        <v>-46.133224699960316</v>
      </c>
    </row>
    <row r="348" spans="2:13">
      <c r="B348" s="115" t="s">
        <v>79</v>
      </c>
      <c r="C348" s="16">
        <v>33.918999999999997</v>
      </c>
      <c r="D348" s="16">
        <v>15.614409999999999</v>
      </c>
      <c r="E348" s="16">
        <v>4.6427500000000004</v>
      </c>
      <c r="F348" s="16">
        <v>1.1239300000000001</v>
      </c>
      <c r="G348" s="16">
        <v>2.5326</v>
      </c>
      <c r="H348" s="16">
        <v>14.139290000000001</v>
      </c>
      <c r="I348" s="16">
        <v>7.9168100000000008</v>
      </c>
      <c r="J348" s="16">
        <v>8.1806099999999997</v>
      </c>
      <c r="K348" s="16">
        <v>180.10076999999998</v>
      </c>
      <c r="L348" s="16">
        <v>1215.1516272646988</v>
      </c>
      <c r="M348" s="15">
        <f>((L348/K348)-1)*100</f>
        <v>574.7065141724263</v>
      </c>
    </row>
    <row r="349" spans="2:13">
      <c r="B349" s="14" t="s">
        <v>80</v>
      </c>
      <c r="C349" s="71">
        <f>SUM(C345:C348)</f>
        <v>5206.2529999999997</v>
      </c>
      <c r="D349" s="71">
        <f>SUM(D345:D348)</f>
        <v>7932.4456190000001</v>
      </c>
      <c r="E349" s="71">
        <f t="shared" ref="E349:L349" si="191">SUM(E345:E348)</f>
        <v>7785.7734420000006</v>
      </c>
      <c r="F349" s="71">
        <f t="shared" si="191"/>
        <v>10203.666233000009</v>
      </c>
      <c r="G349" s="71">
        <f t="shared" si="191"/>
        <v>12310.028564000011</v>
      </c>
      <c r="H349" s="71">
        <f t="shared" si="191"/>
        <v>14955.729386999999</v>
      </c>
      <c r="I349" s="71">
        <f t="shared" si="191"/>
        <v>21844.860549999998</v>
      </c>
      <c r="J349" s="71">
        <f t="shared" si="191"/>
        <v>23762.595698000001</v>
      </c>
      <c r="K349" s="71">
        <f t="shared" si="191"/>
        <v>24018.108158999992</v>
      </c>
      <c r="L349" s="71">
        <f t="shared" si="191"/>
        <v>18757.548894588886</v>
      </c>
      <c r="M349" s="124">
        <f t="shared" si="190"/>
        <v>-21.902471375289757</v>
      </c>
    </row>
    <row r="350" spans="2:13">
      <c r="B350" s="115" t="s">
        <v>76</v>
      </c>
      <c r="C350" s="16">
        <v>264.495</v>
      </c>
      <c r="D350" s="16">
        <v>305.7133</v>
      </c>
      <c r="E350" s="16">
        <v>286.21886000000001</v>
      </c>
      <c r="F350" s="16">
        <v>287.39902000000001</v>
      </c>
      <c r="G350" s="16">
        <v>234.51143999999999</v>
      </c>
      <c r="H350" s="16">
        <v>264.05766</v>
      </c>
      <c r="I350" s="16">
        <v>278.28510999999997</v>
      </c>
      <c r="J350" s="16">
        <v>233.13106999999999</v>
      </c>
      <c r="K350" s="16">
        <v>210.44004000000001</v>
      </c>
      <c r="L350" s="16">
        <v>213.71945651173931</v>
      </c>
      <c r="M350" s="15">
        <f t="shared" si="190"/>
        <v>1.5583614751923047</v>
      </c>
    </row>
    <row r="351" spans="2:13">
      <c r="B351" s="115" t="s">
        <v>77</v>
      </c>
      <c r="C351" s="16">
        <v>3514.1950000000002</v>
      </c>
      <c r="D351" s="16">
        <v>2462.5921660000004</v>
      </c>
      <c r="E351" s="16">
        <v>3027.7288429999999</v>
      </c>
      <c r="F351" s="16">
        <v>3171.2084360000003</v>
      </c>
      <c r="G351" s="16">
        <v>2395.2653879999998</v>
      </c>
      <c r="H351" s="16">
        <v>1806.6752649999999</v>
      </c>
      <c r="I351" s="16">
        <v>4333.8223339999995</v>
      </c>
      <c r="J351" s="16">
        <v>3099.0964599999998</v>
      </c>
      <c r="K351" s="16">
        <v>3467.2583050000003</v>
      </c>
      <c r="L351" s="16">
        <v>3212.5194988032076</v>
      </c>
      <c r="M351" s="15">
        <f t="shared" si="190"/>
        <v>-7.3469809223455806</v>
      </c>
    </row>
    <row r="352" spans="2:13">
      <c r="B352" s="115" t="s">
        <v>78</v>
      </c>
      <c r="C352" s="16">
        <v>5823.348</v>
      </c>
      <c r="D352" s="16">
        <v>6743.869447</v>
      </c>
      <c r="E352" s="16">
        <v>10767.619210000001</v>
      </c>
      <c r="F352" s="16">
        <v>8100.1192170000004</v>
      </c>
      <c r="G352" s="16">
        <v>7247.4240899999995</v>
      </c>
      <c r="H352" s="16">
        <v>8077.1108450000002</v>
      </c>
      <c r="I352" s="16">
        <v>4615.5146349999995</v>
      </c>
      <c r="J352" s="16">
        <v>5505.1060750000006</v>
      </c>
      <c r="K352" s="16">
        <v>5668.9747180000004</v>
      </c>
      <c r="L352" s="16">
        <v>8395.2544840115479</v>
      </c>
      <c r="M352" s="15">
        <f t="shared" si="190"/>
        <v>48.09123168877656</v>
      </c>
    </row>
    <row r="353" spans="2:14">
      <c r="B353" s="115" t="s">
        <v>79</v>
      </c>
      <c r="C353" s="16">
        <v>3936.8969999999999</v>
      </c>
      <c r="D353" s="16">
        <v>4510.3970399999998</v>
      </c>
      <c r="E353" s="16">
        <v>4904.1601200000005</v>
      </c>
      <c r="F353" s="16">
        <v>5377.0720099999999</v>
      </c>
      <c r="G353" s="16">
        <v>5838.9516700000004</v>
      </c>
      <c r="H353" s="16">
        <v>4941.0487800000001</v>
      </c>
      <c r="I353" s="16">
        <v>4959.1947799999998</v>
      </c>
      <c r="J353" s="16">
        <v>5756.2685700000002</v>
      </c>
      <c r="K353" s="16">
        <v>3569.1239500000001</v>
      </c>
      <c r="L353" s="16">
        <v>397.69246362268535</v>
      </c>
      <c r="M353" s="15">
        <f t="shared" si="190"/>
        <v>-88.857420779049008</v>
      </c>
    </row>
    <row r="354" spans="2:14">
      <c r="B354" s="14" t="s">
        <v>81</v>
      </c>
      <c r="C354" s="71">
        <f>SUM(C350:C353)</f>
        <v>13538.935000000001</v>
      </c>
      <c r="D354" s="71">
        <f>SUM(D350:D353)</f>
        <v>14022.571953000001</v>
      </c>
      <c r="E354" s="71">
        <f t="shared" ref="E354:L354" si="192">SUM(E350:E353)</f>
        <v>18985.727033000003</v>
      </c>
      <c r="F354" s="71">
        <f t="shared" si="192"/>
        <v>16935.798683000001</v>
      </c>
      <c r="G354" s="71">
        <f t="shared" si="192"/>
        <v>15716.152587999999</v>
      </c>
      <c r="H354" s="71">
        <f t="shared" si="192"/>
        <v>15088.89255</v>
      </c>
      <c r="I354" s="71">
        <f t="shared" si="192"/>
        <v>14186.816858999999</v>
      </c>
      <c r="J354" s="71">
        <f t="shared" si="192"/>
        <v>14593.602175</v>
      </c>
      <c r="K354" s="71">
        <f t="shared" si="192"/>
        <v>12915.797012999999</v>
      </c>
      <c r="L354" s="71">
        <f t="shared" si="192"/>
        <v>12219.185902949181</v>
      </c>
      <c r="M354" s="124">
        <f t="shared" si="190"/>
        <v>-5.3934814038163248</v>
      </c>
    </row>
    <row r="355" spans="2:14">
      <c r="B355" s="115" t="s">
        <v>76</v>
      </c>
      <c r="C355" s="16">
        <f>C345-C350</f>
        <v>-264.495</v>
      </c>
      <c r="D355" s="16">
        <f>D345-D350</f>
        <v>-305.71274</v>
      </c>
      <c r="E355" s="16">
        <f t="shared" ref="E355:L355" si="193">E345-E350</f>
        <v>-286.21728000000002</v>
      </c>
      <c r="F355" s="16">
        <f t="shared" si="193"/>
        <v>-287.39792</v>
      </c>
      <c r="G355" s="16">
        <f t="shared" si="193"/>
        <v>-234.50584000000001</v>
      </c>
      <c r="H355" s="16">
        <f t="shared" si="193"/>
        <v>-264.05142999999998</v>
      </c>
      <c r="I355" s="16">
        <f t="shared" si="193"/>
        <v>-278.28113999999999</v>
      </c>
      <c r="J355" s="16">
        <f t="shared" si="193"/>
        <v>-233.11395999999999</v>
      </c>
      <c r="K355" s="16">
        <f t="shared" si="193"/>
        <v>-210.43215000000001</v>
      </c>
      <c r="L355" s="16">
        <f t="shared" si="193"/>
        <v>-213.70673651173931</v>
      </c>
      <c r="M355" s="15">
        <f t="shared" si="190"/>
        <v>1.5561246281707852</v>
      </c>
      <c r="N355" s="130"/>
    </row>
    <row r="356" spans="2:14">
      <c r="B356" s="115" t="s">
        <v>77</v>
      </c>
      <c r="C356" s="16">
        <f t="shared" ref="C356" si="194">C346-C351</f>
        <v>-1530.9210000000003</v>
      </c>
      <c r="D356" s="16">
        <f t="shared" ref="D356:L358" si="195">D346-D351</f>
        <v>1524.4076039999995</v>
      </c>
      <c r="E356" s="16">
        <f t="shared" si="195"/>
        <v>1882.7921120000001</v>
      </c>
      <c r="F356" s="16">
        <f t="shared" si="195"/>
        <v>1707.8663570000094</v>
      </c>
      <c r="G356" s="16">
        <f t="shared" si="195"/>
        <v>3567.4965730000104</v>
      </c>
      <c r="H356" s="16">
        <f t="shared" si="195"/>
        <v>7324.2102400000003</v>
      </c>
      <c r="I356" s="16">
        <f t="shared" si="195"/>
        <v>7801.5093989999996</v>
      </c>
      <c r="J356" s="16">
        <f t="shared" si="195"/>
        <v>12465.120182000002</v>
      </c>
      <c r="K356" s="16">
        <f t="shared" si="195"/>
        <v>12046.637757999997</v>
      </c>
      <c r="L356" s="16">
        <f t="shared" si="195"/>
        <v>9845.9389549079842</v>
      </c>
      <c r="M356" s="15">
        <f t="shared" si="190"/>
        <v>-18.26815786529782</v>
      </c>
      <c r="N356" s="130"/>
    </row>
    <row r="357" spans="2:14">
      <c r="B357" s="115" t="s">
        <v>78</v>
      </c>
      <c r="C357" s="16">
        <f t="shared" ref="C357" si="196">C347-C352</f>
        <v>-2634.288</v>
      </c>
      <c r="D357" s="16">
        <f t="shared" si="195"/>
        <v>-2814.0385679999999</v>
      </c>
      <c r="E357" s="16">
        <f t="shared" si="195"/>
        <v>-7897.0110530000002</v>
      </c>
      <c r="F357" s="16">
        <f t="shared" si="195"/>
        <v>-2776.6528070000004</v>
      </c>
      <c r="G357" s="16">
        <f t="shared" si="195"/>
        <v>-902.69568699999945</v>
      </c>
      <c r="H357" s="16">
        <f t="shared" si="195"/>
        <v>-2266.4124830000001</v>
      </c>
      <c r="I357" s="16">
        <f t="shared" si="195"/>
        <v>5086.0934020000004</v>
      </c>
      <c r="J357" s="16">
        <f t="shared" si="195"/>
        <v>2685.075261</v>
      </c>
      <c r="K357" s="16">
        <f t="shared" si="195"/>
        <v>2655.1287179999899</v>
      </c>
      <c r="L357" s="16">
        <f t="shared" si="195"/>
        <v>-3911.3283903985503</v>
      </c>
      <c r="M357" s="15">
        <f t="shared" si="190"/>
        <v>-247.31219484322438</v>
      </c>
      <c r="N357" s="130"/>
    </row>
    <row r="358" spans="2:14">
      <c r="B358" s="115" t="s">
        <v>79</v>
      </c>
      <c r="C358" s="16">
        <f t="shared" ref="C358" si="197">C348-C353</f>
        <v>-3902.9780000000001</v>
      </c>
      <c r="D358" s="16">
        <f t="shared" si="195"/>
        <v>-4494.7826299999997</v>
      </c>
      <c r="E358" s="16">
        <f t="shared" si="195"/>
        <v>-4899.5173700000005</v>
      </c>
      <c r="F358" s="16">
        <f t="shared" si="195"/>
        <v>-5375.9480800000001</v>
      </c>
      <c r="G358" s="16">
        <f t="shared" si="195"/>
        <v>-5836.4190700000008</v>
      </c>
      <c r="H358" s="16">
        <f t="shared" si="195"/>
        <v>-4926.90949</v>
      </c>
      <c r="I358" s="16">
        <f t="shared" si="195"/>
        <v>-4951.2779700000001</v>
      </c>
      <c r="J358" s="16">
        <f t="shared" si="195"/>
        <v>-5748.0879599999998</v>
      </c>
      <c r="K358" s="16">
        <f t="shared" si="195"/>
        <v>-3389.0231800000001</v>
      </c>
      <c r="L358" s="16">
        <f t="shared" si="195"/>
        <v>817.45916364201344</v>
      </c>
      <c r="M358" s="15">
        <f t="shared" si="190"/>
        <v>-124.12078998061067</v>
      </c>
      <c r="N358" s="130"/>
    </row>
    <row r="359" spans="2:14">
      <c r="B359" s="50" t="s">
        <v>70</v>
      </c>
      <c r="C359" s="24">
        <f>SUM(C355:C358)</f>
        <v>-8332.6820000000007</v>
      </c>
      <c r="D359" s="24">
        <f>SUM(D355:D358)</f>
        <v>-6090.1263340000005</v>
      </c>
      <c r="E359" s="24">
        <f t="shared" ref="E359:L359" si="198">SUM(E355:E358)</f>
        <v>-11199.953591000001</v>
      </c>
      <c r="F359" s="24">
        <f t="shared" si="198"/>
        <v>-6732.132449999991</v>
      </c>
      <c r="G359" s="24">
        <f t="shared" si="198"/>
        <v>-3406.1240239999897</v>
      </c>
      <c r="H359" s="24">
        <f t="shared" si="198"/>
        <v>-133.16316299999926</v>
      </c>
      <c r="I359" s="24">
        <f t="shared" si="198"/>
        <v>7658.0436909999999</v>
      </c>
      <c r="J359" s="24">
        <f t="shared" si="198"/>
        <v>9168.993523000001</v>
      </c>
      <c r="K359" s="24">
        <f t="shared" si="198"/>
        <v>11102.311145999985</v>
      </c>
      <c r="L359" s="24">
        <f t="shared" si="198"/>
        <v>6538.3629916397076</v>
      </c>
      <c r="M359" s="25">
        <f t="shared" si="190"/>
        <v>-41.108090868130709</v>
      </c>
      <c r="N359" s="130"/>
    </row>
    <row r="360" spans="2:14">
      <c r="C360" s="129"/>
      <c r="D360" s="129"/>
      <c r="E360" s="129"/>
      <c r="F360" s="129"/>
      <c r="G360" s="129"/>
      <c r="H360" s="129"/>
      <c r="I360" s="129"/>
      <c r="J360" s="129"/>
      <c r="K360" s="129"/>
      <c r="L360" s="129"/>
    </row>
    <row r="361" spans="2:14">
      <c r="B361" s="34" t="s">
        <v>86</v>
      </c>
    </row>
    <row r="362" spans="2:14">
      <c r="B362" s="82"/>
      <c r="C362" s="83"/>
      <c r="D362" s="83">
        <v>2010</v>
      </c>
      <c r="E362" s="83">
        <v>2011</v>
      </c>
      <c r="F362" s="83">
        <v>2012</v>
      </c>
      <c r="G362" s="83">
        <v>2013</v>
      </c>
      <c r="H362" s="83">
        <v>2014</v>
      </c>
      <c r="I362" s="83">
        <v>2015</v>
      </c>
      <c r="J362" s="83">
        <v>2016</v>
      </c>
      <c r="K362" s="83">
        <v>2017</v>
      </c>
      <c r="L362" s="83">
        <v>2018</v>
      </c>
      <c r="M362" s="83">
        <v>2019</v>
      </c>
      <c r="N362" s="122" t="s">
        <v>108</v>
      </c>
    </row>
    <row r="363" spans="2:14">
      <c r="B363" s="63" t="s">
        <v>87</v>
      </c>
      <c r="C363" s="63" t="s">
        <v>88</v>
      </c>
      <c r="D363" s="16">
        <v>18789.34</v>
      </c>
      <c r="E363" s="16">
        <v>19668.271000000001</v>
      </c>
      <c r="F363" s="16">
        <v>20105.767</v>
      </c>
      <c r="G363" s="16">
        <v>20636.399000000001</v>
      </c>
      <c r="H363" s="16">
        <v>21090.433000000001</v>
      </c>
      <c r="I363" s="16">
        <v>21180.746999999999</v>
      </c>
      <c r="J363" s="16">
        <v>21615.888999999999</v>
      </c>
      <c r="K363" s="16">
        <v>21724.85</v>
      </c>
      <c r="L363" s="16">
        <v>21726.609999999997</v>
      </c>
      <c r="M363" s="16">
        <v>21740.627999999997</v>
      </c>
      <c r="N363" s="16">
        <f>M363-L363</f>
        <v>14.018000000000029</v>
      </c>
    </row>
    <row r="364" spans="2:14"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</row>
    <row r="365" spans="2:14">
      <c r="B365" s="63" t="s">
        <v>89</v>
      </c>
      <c r="C365" s="63" t="s">
        <v>88</v>
      </c>
      <c r="D365" s="16">
        <v>17481.268000000004</v>
      </c>
      <c r="E365" s="16">
        <v>18081.532000000003</v>
      </c>
      <c r="F365" s="16">
        <v>18450.847000000005</v>
      </c>
      <c r="G365" s="16">
        <v>18724.147000000004</v>
      </c>
      <c r="H365" s="16">
        <v>18863.264500000005</v>
      </c>
      <c r="I365" s="16">
        <v>19003.567500000005</v>
      </c>
      <c r="J365" s="16">
        <v>19091.544500000007</v>
      </c>
      <c r="K365" s="16">
        <v>19116.907210000008</v>
      </c>
      <c r="L365" s="16">
        <v>19192.410210000005</v>
      </c>
      <c r="M365" s="16">
        <v>19294.688710000006</v>
      </c>
      <c r="N365" s="16">
        <f t="shared" ref="N365:N367" si="199">M365-L365</f>
        <v>102.27850000000035</v>
      </c>
    </row>
    <row r="366" spans="2:14">
      <c r="B366" s="63"/>
      <c r="C366" s="63" t="s">
        <v>59</v>
      </c>
      <c r="D366" s="16">
        <v>1280.502</v>
      </c>
      <c r="E366" s="16">
        <v>1540.836</v>
      </c>
      <c r="F366" s="16">
        <v>1543.8410000000001</v>
      </c>
      <c r="G366" s="16">
        <v>1543.8410000000001</v>
      </c>
      <c r="H366" s="16">
        <v>1545.2919999999999</v>
      </c>
      <c r="I366" s="16">
        <v>1674.0020000000002</v>
      </c>
      <c r="J366" s="16">
        <v>1800.9359999999999</v>
      </c>
      <c r="K366" s="16">
        <v>1809.2189999999998</v>
      </c>
      <c r="L366" s="16">
        <v>1853.9419999999998</v>
      </c>
      <c r="M366" s="16">
        <v>1873.2958000000003</v>
      </c>
      <c r="N366" s="16">
        <f t="shared" si="199"/>
        <v>19.353800000000547</v>
      </c>
    </row>
    <row r="367" spans="2:14">
      <c r="B367" s="63"/>
      <c r="C367" s="63" t="s">
        <v>60</v>
      </c>
      <c r="D367" s="16">
        <v>1289.05</v>
      </c>
      <c r="E367" s="16">
        <v>1289.05</v>
      </c>
      <c r="F367" s="16">
        <v>1289.05</v>
      </c>
      <c r="G367" s="16">
        <v>1289.05</v>
      </c>
      <c r="H367" s="16">
        <v>1289.135</v>
      </c>
      <c r="I367" s="16">
        <v>1346.9589999999998</v>
      </c>
      <c r="J367" s="16">
        <v>1354.1649999999997</v>
      </c>
      <c r="K367" s="16">
        <v>1355.0969999999998</v>
      </c>
      <c r="L367" s="16">
        <v>1481.8359999999998</v>
      </c>
      <c r="M367" s="16">
        <v>1548.636</v>
      </c>
      <c r="N367" s="16">
        <f t="shared" si="199"/>
        <v>66.800000000000182</v>
      </c>
    </row>
    <row r="368" spans="2:14">
      <c r="B368" s="63"/>
      <c r="C368" s="63" t="s">
        <v>32</v>
      </c>
      <c r="D368" s="16">
        <f>SUM(D365:D367)</f>
        <v>20050.820000000003</v>
      </c>
      <c r="E368" s="16">
        <f t="shared" ref="E368:L368" si="200">SUM(E365:E367)</f>
        <v>20911.418000000001</v>
      </c>
      <c r="F368" s="16">
        <f t="shared" si="200"/>
        <v>21283.738000000005</v>
      </c>
      <c r="G368" s="16">
        <f t="shared" si="200"/>
        <v>21557.038000000004</v>
      </c>
      <c r="H368" s="16">
        <f t="shared" si="200"/>
        <v>21697.691500000004</v>
      </c>
      <c r="I368" s="16">
        <f t="shared" si="200"/>
        <v>22024.528500000004</v>
      </c>
      <c r="J368" s="16">
        <f t="shared" si="200"/>
        <v>22246.64550000001</v>
      </c>
      <c r="K368" s="16">
        <f t="shared" si="200"/>
        <v>22281.223210000011</v>
      </c>
      <c r="L368" s="16">
        <f t="shared" si="200"/>
        <v>22528.188210000004</v>
      </c>
      <c r="M368" s="16">
        <f t="shared" ref="M368:N368" si="201">SUM(M365:M367)</f>
        <v>22716.620510000004</v>
      </c>
      <c r="N368" s="16">
        <f t="shared" si="201"/>
        <v>188.43230000000108</v>
      </c>
    </row>
    <row r="369" spans="2:14" ht="12.75" customHeight="1">
      <c r="B369" s="120" t="s">
        <v>90</v>
      </c>
      <c r="C369" s="120"/>
      <c r="D369" s="121">
        <f>SUM(D363,D368)</f>
        <v>38840.160000000003</v>
      </c>
      <c r="E369" s="121">
        <f t="shared" ref="E369:L369" si="202">SUM(E363,E368)</f>
        <v>40579.688999999998</v>
      </c>
      <c r="F369" s="121">
        <f t="shared" si="202"/>
        <v>41389.505000000005</v>
      </c>
      <c r="G369" s="121">
        <f t="shared" si="202"/>
        <v>42193.437000000005</v>
      </c>
      <c r="H369" s="121">
        <f t="shared" si="202"/>
        <v>42788.124500000005</v>
      </c>
      <c r="I369" s="121">
        <f t="shared" si="202"/>
        <v>43205.275500000003</v>
      </c>
      <c r="J369" s="121">
        <f t="shared" si="202"/>
        <v>43862.534500000009</v>
      </c>
      <c r="K369" s="121">
        <f t="shared" si="202"/>
        <v>44006.07321000001</v>
      </c>
      <c r="L369" s="121">
        <f t="shared" si="202"/>
        <v>44254.798210000001</v>
      </c>
      <c r="M369" s="121">
        <f t="shared" ref="M369:N369" si="203">SUM(M363,M368)</f>
        <v>44457.248510000005</v>
      </c>
      <c r="N369" s="121">
        <f t="shared" si="203"/>
        <v>202.45030000000111</v>
      </c>
    </row>
    <row r="370" spans="2:14">
      <c r="B370" s="68" t="s">
        <v>109</v>
      </c>
    </row>
    <row r="371" spans="2:14">
      <c r="M371" s="141"/>
    </row>
  </sheetData>
  <pageMargins left="0.7" right="0.7" top="0.75" bottom="0.75" header="0.3" footer="0.3"/>
  <pageSetup paperSize="9" orientation="portrait" r:id="rId1"/>
  <ignoredErrors>
    <ignoredError sqref="E211:L211 H334:L334 C136 D136:L136 M67" formula="1"/>
    <ignoredError sqref="H242:L242 C349:L349 C21:J21 C79:K79 C249:K249 C284:L287 C268:L268 C293:L29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BALANCE</vt:lpstr>
      <vt:lpstr>RESUMEN</vt:lpstr>
      <vt:lpstr>DEMANDA</vt:lpstr>
      <vt:lpstr>PRODUCCION PENINSULAR</vt:lpstr>
      <vt:lpstr>PRODUCCION NACIONAL</vt:lpstr>
      <vt:lpstr>Data 1</vt:lpstr>
      <vt:lpstr>BALANCE!Área_de_impresión</vt:lpstr>
      <vt:lpstr>DEMANDA!Área_de_impresión</vt:lpstr>
      <vt:lpstr>'PRODUCCION NACIONAL'!Área_de_impresión</vt:lpstr>
      <vt:lpstr>'PRODUCCION PENINSULAR'!Área_de_impresión</vt:lpstr>
      <vt:lpstr>RESUMEN!Área_de_impresión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Penas, Marta</dc:creator>
  <cp:lastModifiedBy>Sevilla Penas, Marta</cp:lastModifiedBy>
  <cp:lastPrinted>2018-12-13T11:21:15Z</cp:lastPrinted>
  <dcterms:created xsi:type="dcterms:W3CDTF">2018-10-29T09:21:57Z</dcterms:created>
  <dcterms:modified xsi:type="dcterms:W3CDTF">2019-12-19T10:01:33Z</dcterms:modified>
</cp:coreProperties>
</file>