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ml.chartshapes+xml"/>
  <Override PartName="/xl/charts/chart7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drawings/drawing42.xml" ContentType="application/vnd.openxmlformats-officedocument.drawing+xml"/>
  <Override PartName="/xl/charts/chart20.xml" ContentType="application/vnd.openxmlformats-officedocument.drawingml.chart+xml"/>
  <Override PartName="/xl/drawings/drawing43.xml" ContentType="application/vnd.openxmlformats-officedocument.drawing+xml"/>
  <Override PartName="/xl/charts/chart21.xml" ContentType="application/vnd.openxmlformats-officedocument.drawingml.chart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3.xml" ContentType="application/vnd.openxmlformats-officedocument.drawingml.chart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TRIPTICO\2018\ENVIOS\"/>
    </mc:Choice>
  </mc:AlternateContent>
  <bookViews>
    <workbookView xWindow="14400" yWindow="-15" windowWidth="14400" windowHeight="12150" tabRatio="595"/>
  </bookViews>
  <sheets>
    <sheet name="Indice" sheetId="55" r:id="rId1"/>
    <sheet name="C1" sheetId="105" r:id="rId2"/>
    <sheet name="C1 CC.AA." sheetId="51" state="hidden" r:id="rId3"/>
    <sheet name="C1 SISTEMAS" sheetId="101" state="hidden" r:id="rId4"/>
    <sheet name="C2" sheetId="106" r:id="rId5"/>
    <sheet name="C2 CC.AA." sheetId="52" state="hidden" r:id="rId6"/>
    <sheet name="C2 SISTEMAS" sheetId="102" state="hidden" r:id="rId7"/>
    <sheet name="C3" sheetId="56" r:id="rId8"/>
    <sheet name="C4" sheetId="57" r:id="rId9"/>
    <sheet name="C5" sheetId="58" r:id="rId10"/>
    <sheet name="C6" sheetId="61" r:id="rId11"/>
    <sheet name="C7" sheetId="62" r:id="rId12"/>
    <sheet name="C8" sheetId="59" r:id="rId13"/>
    <sheet name="C9" sheetId="64" r:id="rId14"/>
    <sheet name="C10" sheetId="63" r:id="rId15"/>
    <sheet name="C11" sheetId="60" r:id="rId16"/>
    <sheet name="C12" sheetId="66" r:id="rId17"/>
    <sheet name="C13" sheetId="67" r:id="rId18"/>
    <sheet name="C14" sheetId="68" r:id="rId19"/>
    <sheet name="C15" sheetId="69" r:id="rId20"/>
    <sheet name="C16" sheetId="71" r:id="rId21"/>
    <sheet name="C17" sheetId="70" r:id="rId22"/>
    <sheet name="C18" sheetId="72" r:id="rId23"/>
    <sheet name="C19" sheetId="76" r:id="rId24"/>
    <sheet name="C20" sheetId="77" r:id="rId25"/>
    <sheet name="C21" sheetId="78" r:id="rId26"/>
    <sheet name="C22" sheetId="79" r:id="rId27"/>
    <sheet name="C23" sheetId="80" r:id="rId28"/>
    <sheet name="C24" sheetId="81" r:id="rId29"/>
    <sheet name="C25" sheetId="82" r:id="rId30"/>
    <sheet name="C26" sheetId="85" r:id="rId31"/>
    <sheet name="C27  BALANCE SNP" sheetId="103" state="hidden" r:id="rId32"/>
    <sheet name="C28 POTENCIA SNP" sheetId="104" state="hidden" r:id="rId33"/>
    <sheet name="C27" sheetId="86" r:id="rId34"/>
    <sheet name="C28" sheetId="88" r:id="rId35"/>
    <sheet name="C29" sheetId="89" r:id="rId36"/>
    <sheet name="C30" sheetId="91" r:id="rId37"/>
    <sheet name="C31" sheetId="92" r:id="rId38"/>
    <sheet name="C32" sheetId="94" r:id="rId39"/>
    <sheet name="C33" sheetId="95" r:id="rId40"/>
    <sheet name="C34" sheetId="96" r:id="rId41"/>
    <sheet name="C35" sheetId="97" r:id="rId42"/>
    <sheet name="C36" sheetId="99" r:id="rId43"/>
    <sheet name="C37" sheetId="100" r:id="rId44"/>
    <sheet name="C38" sheetId="90" r:id="rId45"/>
    <sheet name="Data 1" sheetId="54" r:id="rId46"/>
    <sheet name="Data 2" sheetId="98" r:id="rId47"/>
    <sheet name="Data 3" sheetId="73" r:id="rId48"/>
    <sheet name="Data 4" sheetId="74" r:id="rId49"/>
    <sheet name="Data 5" sheetId="87" r:id="rId50"/>
  </sheets>
  <definedNames>
    <definedName name="_xlnm.Print_Area" localSheetId="2">'C1 CC.AA.'!$A$1:$P$55</definedName>
    <definedName name="_xlnm.Print_Area" localSheetId="3">'C1 SISTEMAS'!$A$1:$L$36</definedName>
    <definedName name="_xlnm.Print_Area" localSheetId="14">'C10'!$C$1:$F$22</definedName>
    <definedName name="_xlnm.Print_Area" localSheetId="19">'C15'!$C$1:$F$22</definedName>
    <definedName name="_xlnm.Print_Area" localSheetId="20">'C16'!$C$1:$F$22</definedName>
    <definedName name="_xlnm.Print_Area" localSheetId="21">'C17'!$C$1:$F$22</definedName>
    <definedName name="_xlnm.Print_Area" localSheetId="22">'C18'!$C$1:$F$22</definedName>
    <definedName name="_xlnm.Print_Area" localSheetId="5">'C2 CC.AA.'!$A$1:$P$44</definedName>
    <definedName name="_xlnm.Print_Area" localSheetId="6">'C2 SISTEMAS'!$B$2:$L$26</definedName>
    <definedName name="_xlnm.Print_Area" localSheetId="24">'C20'!$C$1:$F$22</definedName>
    <definedName name="_xlnm.Print_Area" localSheetId="26">'C22'!$C$1:$F$22</definedName>
    <definedName name="_xlnm.Print_Area" localSheetId="27">'C23'!$C$1:$F$22</definedName>
    <definedName name="_xlnm.Print_Area" localSheetId="30">'C26'!$A$1:$F$30</definedName>
    <definedName name="_xlnm.Print_Area" localSheetId="31">'C27  BALANCE SNP'!$A$1:$P$31</definedName>
    <definedName name="_xlnm.Print_Area" localSheetId="34">'C28'!$C$1:$F$22</definedName>
    <definedName name="_xlnm.Print_Area" localSheetId="32">'C28 POTENCIA SNP'!$A$1:$P$26</definedName>
    <definedName name="_xlnm.Print_Area" localSheetId="35">'C29'!$C$1:$F$22</definedName>
    <definedName name="_xlnm.Print_Area" localSheetId="7">'C3'!$A$1:$E$22</definedName>
    <definedName name="_xlnm.Print_Area" localSheetId="36">'C30'!$C$1:$F$22</definedName>
    <definedName name="_xlnm.Print_Area" localSheetId="37">'C31'!$C$1:$F$22</definedName>
    <definedName name="_xlnm.Print_Area" localSheetId="8">'C4'!$B$2:$L$15</definedName>
    <definedName name="_xlnm.Print_Area" localSheetId="11">'C7'!$C$1:$F$22</definedName>
    <definedName name="_xlnm.Print_Area" localSheetId="12">'C8'!$C$1:$F$22</definedName>
    <definedName name="_xlnm.Print_Area" localSheetId="45">'Data 1'!$A$1:$G$3</definedName>
    <definedName name="_xlnm.Print_Area" localSheetId="0">Indice!$A$1:$F$48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#N/A</definedName>
    <definedName name="ccc" localSheetId="3">'C1 SISTEMAS'!ccc</definedName>
    <definedName name="ccc" localSheetId="4">#N/A</definedName>
    <definedName name="ccc" localSheetId="5">#N/A</definedName>
    <definedName name="ccc" localSheetId="6">#N/A</definedName>
    <definedName name="ccc" localSheetId="30">'C26'!ccc</definedName>
    <definedName name="ccc" localSheetId="31">'C27  BALANCE SNP'!ccc</definedName>
    <definedName name="ccc" localSheetId="32">'C28 POTENCIA SNP'!ccc</definedName>
    <definedName name="ccc" localSheetId="7">'C3'!ccc</definedName>
    <definedName name="ccc" localSheetId="8">'C4'!ccc</definedName>
    <definedName name="ccc" localSheetId="45">#N/A</definedName>
    <definedName name="ccc" localSheetId="0">#N/A</definedName>
    <definedName name="ccc">#N/A</definedName>
    <definedName name="CUADRO_ANTERIOR" localSheetId="1">#N/A</definedName>
    <definedName name="CUADRO_ANTERIOR" localSheetId="2">'C1 CC.AA.'!CUADRO_ANTERIOR</definedName>
    <definedName name="CUADRO_ANTERIOR" localSheetId="3">'C1 SISTEMAS'!CUADRO_ANTERIOR</definedName>
    <definedName name="CUADRO_ANTERIOR" localSheetId="4">#N/A</definedName>
    <definedName name="CUADRO_ANTERIOR" localSheetId="5">'C2 CC.AA.'!CUADRO_ANTERIOR</definedName>
    <definedName name="CUADRO_ANTERIOR" localSheetId="6">#N/A</definedName>
    <definedName name="CUADRO_ANTERIOR" localSheetId="30">'C26'!CUADRO_ANTERIOR</definedName>
    <definedName name="CUADRO_ANTERIOR" localSheetId="31">'C27  BALANCE SNP'!CUADRO_ANTERIOR</definedName>
    <definedName name="CUADRO_ANTERIOR" localSheetId="32">'C28 POTENCIA SNP'!CUADRO_ANTERIOR</definedName>
    <definedName name="CUADRO_ANTERIOR" localSheetId="7">'C3'!CUADRO_ANTERIOR</definedName>
    <definedName name="CUADRO_ANTERIOR" localSheetId="8">'C4'!CUADRO_ANTERIOR</definedName>
    <definedName name="CUADRO_ANTERIOR" localSheetId="45">#N/A</definedName>
    <definedName name="CUADRO_ANTERIOR" localSheetId="0">#N/A</definedName>
    <definedName name="CUADRO_ANTERIOR">#N/A</definedName>
    <definedName name="CUADRO_PROXIMO" localSheetId="1">#N/A</definedName>
    <definedName name="CUADRO_PROXIMO" localSheetId="2">'C1 CC.AA.'!CUADRO_PROXIMO</definedName>
    <definedName name="CUADRO_PROXIMO" localSheetId="3">'C1 SISTEMAS'!CUADRO_PROXIMO</definedName>
    <definedName name="CUADRO_PROXIMO" localSheetId="4">#N/A</definedName>
    <definedName name="CUADRO_PROXIMO" localSheetId="5">'C2 CC.AA.'!CUADRO_PROXIMO</definedName>
    <definedName name="CUADRO_PROXIMO" localSheetId="6">#N/A</definedName>
    <definedName name="CUADRO_PROXIMO" localSheetId="30">'C26'!CUADRO_PROXIMO</definedName>
    <definedName name="CUADRO_PROXIMO" localSheetId="31">'C27  BALANCE SNP'!CUADRO_PROXIMO</definedName>
    <definedName name="CUADRO_PROXIMO" localSheetId="32">'C28 POTENCIA SNP'!CUADRO_PROXIMO</definedName>
    <definedName name="CUADRO_PROXIMO" localSheetId="7">'C3'!CUADRO_PROXIMO</definedName>
    <definedName name="CUADRO_PROXIMO" localSheetId="8">'C4'!CUADRO_PROXIMO</definedName>
    <definedName name="CUADRO_PROXIMO" localSheetId="45">#N/A</definedName>
    <definedName name="CUADRO_PROXIMO" localSheetId="0">#N/A</definedName>
    <definedName name="CUADRO_PROXIMO">#N/A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#N/A</definedName>
    <definedName name="FINALIZAR" localSheetId="2">'C1 CC.AA.'!FINALIZAR</definedName>
    <definedName name="FINALIZAR" localSheetId="3">'C1 SISTEMAS'!FINALIZAR</definedName>
    <definedName name="FINALIZAR" localSheetId="4">#N/A</definedName>
    <definedName name="FINALIZAR" localSheetId="5">'C2 CC.AA.'!FINALIZAR</definedName>
    <definedName name="FINALIZAR" localSheetId="6">#N/A</definedName>
    <definedName name="FINALIZAR" localSheetId="30">'C26'!FINALIZAR</definedName>
    <definedName name="FINALIZAR" localSheetId="31">'C27  BALANCE SNP'!FINALIZAR</definedName>
    <definedName name="FINALIZAR" localSheetId="32">'C28 POTENCIA SNP'!FINALIZAR</definedName>
    <definedName name="FINALIZAR" localSheetId="7">'C3'!FINALIZAR</definedName>
    <definedName name="FINALIZAR" localSheetId="8">'C4'!FINALIZAR</definedName>
    <definedName name="FINALIZAR" localSheetId="45">#N/A</definedName>
    <definedName name="FINALIZAR" localSheetId="0">#N/A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#N/A</definedName>
    <definedName name="IMPRESION" localSheetId="2">'C1 CC.AA.'!IMPRESION</definedName>
    <definedName name="IMPRESION" localSheetId="3">'C1 SISTEMAS'!IMPRESION</definedName>
    <definedName name="IMPRESION" localSheetId="4">#N/A</definedName>
    <definedName name="IMPRESION" localSheetId="5">'C2 CC.AA.'!IMPRESION</definedName>
    <definedName name="IMPRESION" localSheetId="6">#N/A</definedName>
    <definedName name="IMPRESION" localSheetId="30">'C26'!IMPRESION</definedName>
    <definedName name="IMPRESION" localSheetId="31">'C27  BALANCE SNP'!IMPRESION</definedName>
    <definedName name="IMPRESION" localSheetId="32">'C28 POTENCIA SNP'!IMPRESION</definedName>
    <definedName name="IMPRESION" localSheetId="7">'C3'!IMPRESION</definedName>
    <definedName name="IMPRESION" localSheetId="8">'C4'!IMPRESION</definedName>
    <definedName name="IMPRESION" localSheetId="45">#N/A</definedName>
    <definedName name="IMPRESION" localSheetId="0">#N/A</definedName>
    <definedName name="IMPRESION">#N/A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#N/A</definedName>
    <definedName name="nnn" localSheetId="3">'C1 SISTEMAS'!nnn</definedName>
    <definedName name="nnn" localSheetId="4">#N/A</definedName>
    <definedName name="nnn" localSheetId="5">#N/A</definedName>
    <definedName name="nnn" localSheetId="6">#N/A</definedName>
    <definedName name="nnn" localSheetId="30">'C26'!nnn</definedName>
    <definedName name="nnn" localSheetId="31">'C27  BALANCE SNP'!nnn</definedName>
    <definedName name="nnn" localSheetId="32">'C28 POTENCIA SNP'!nnn</definedName>
    <definedName name="nnn" localSheetId="7">'C3'!nnn</definedName>
    <definedName name="nnn" localSheetId="8">'C4'!nnn</definedName>
    <definedName name="nnn" localSheetId="45">#N/A</definedName>
    <definedName name="nnn" localSheetId="0">#N/A</definedName>
    <definedName name="nnn">#N/A</definedName>
    <definedName name="nnnn" localSheetId="1">#N/A</definedName>
    <definedName name="nnnn" localSheetId="3">'C1 SISTEMAS'!nnnn</definedName>
    <definedName name="nnnn" localSheetId="4">#N/A</definedName>
    <definedName name="nnnn" localSheetId="5">#N/A</definedName>
    <definedName name="nnnn" localSheetId="6">#N/A</definedName>
    <definedName name="nnnn" localSheetId="30">'C26'!nnnn</definedName>
    <definedName name="nnnn" localSheetId="31">'C27  BALANCE SNP'!nnnn</definedName>
    <definedName name="nnnn" localSheetId="32">'C28 POTENCIA SNP'!nnnn</definedName>
    <definedName name="nnnn" localSheetId="7">'C3'!nnnn</definedName>
    <definedName name="nnnn" localSheetId="8">'C4'!nnnn</definedName>
    <definedName name="nnnn" localSheetId="45">#N/A</definedName>
    <definedName name="nnnn" localSheetId="0">#N/A</definedName>
    <definedName name="nnnn">#N/A</definedName>
    <definedName name="nu" localSheetId="1">#N/A</definedName>
    <definedName name="nu" localSheetId="3">#N/A</definedName>
    <definedName name="nu" localSheetId="4">#N/A</definedName>
    <definedName name="nu" localSheetId="5">#N/A</definedName>
    <definedName name="nu" localSheetId="6">#N/A</definedName>
    <definedName name="nu" localSheetId="31">'C27  BALANCE SNP'!nu</definedName>
    <definedName name="nu" localSheetId="32">#N/A</definedName>
    <definedName name="nu" localSheetId="7">'C3'!nu</definedName>
    <definedName name="nu" localSheetId="8">'C4'!nu</definedName>
    <definedName name="nu" localSheetId="45">#N/A</definedName>
    <definedName name="nu" localSheetId="0">#N/A</definedName>
    <definedName name="nu">#N/A</definedName>
    <definedName name="PRINCIPAL" localSheetId="1">#N/A</definedName>
    <definedName name="PRINCIPAL" localSheetId="2">'C1 CC.AA.'!PRINCIPAL</definedName>
    <definedName name="PRINCIPAL" localSheetId="3">'C1 SISTEMAS'!PRINCIPAL</definedName>
    <definedName name="PRINCIPAL" localSheetId="4">#N/A</definedName>
    <definedName name="PRINCIPAL" localSheetId="5">'C2 CC.AA.'!PRINCIPAL</definedName>
    <definedName name="PRINCIPAL" localSheetId="6">#N/A</definedName>
    <definedName name="PRINCIPAL" localSheetId="30">'C26'!PRINCIPAL</definedName>
    <definedName name="PRINCIPAL" localSheetId="31">'C27  BALANCE SNP'!PRINCIPAL</definedName>
    <definedName name="PRINCIPAL" localSheetId="32">'C28 POTENCIA SNP'!PRINCIPAL</definedName>
    <definedName name="PRINCIPAL" localSheetId="7">'C3'!PRINCIPAL</definedName>
    <definedName name="PRINCIPAL" localSheetId="8">'C4'!PRINCIPAL</definedName>
    <definedName name="PRINCIPAL" localSheetId="45">#N/A</definedName>
    <definedName name="PRINCIPAL" localSheetId="0">#N/A</definedName>
    <definedName name="PRINCIPAL">#N/A</definedName>
    <definedName name="rosa" localSheetId="1">#N/A</definedName>
    <definedName name="rosa" localSheetId="3">#N/A</definedName>
    <definedName name="rosa" localSheetId="4">#N/A</definedName>
    <definedName name="rosa" localSheetId="5">#N/A</definedName>
    <definedName name="rosa" localSheetId="6">#N/A</definedName>
    <definedName name="rosa" localSheetId="31">'C27  BALANCE SNP'!rosa</definedName>
    <definedName name="rosa" localSheetId="32">#N/A</definedName>
    <definedName name="rosa" localSheetId="7">'C3'!rosa</definedName>
    <definedName name="rosa" localSheetId="8">'C4'!rosa</definedName>
    <definedName name="rosa" localSheetId="45">#N/A</definedName>
    <definedName name="rosa" localSheetId="0">#N/A</definedName>
    <definedName name="rosa">#N/A</definedName>
    <definedName name="rosa2" localSheetId="1">#N/A</definedName>
    <definedName name="rosa2" localSheetId="3">#N/A</definedName>
    <definedName name="rosa2" localSheetId="4">#N/A</definedName>
    <definedName name="rosa2" localSheetId="5">#N/A</definedName>
    <definedName name="rosa2" localSheetId="6">#N/A</definedName>
    <definedName name="rosa2" localSheetId="31">'C27  BALANCE SNP'!rosa2</definedName>
    <definedName name="rosa2" localSheetId="32">#N/A</definedName>
    <definedName name="rosa2" localSheetId="7">'C3'!rosa2</definedName>
    <definedName name="rosa2" localSheetId="8">'C4'!rosa2</definedName>
    <definedName name="rosa2" localSheetId="45">#N/A</definedName>
    <definedName name="rosa2" localSheetId="0">#N/A</definedName>
    <definedName name="rosa2">#N/A</definedName>
    <definedName name="VV" localSheetId="1">#N/A</definedName>
    <definedName name="VV" localSheetId="3">#N/A</definedName>
    <definedName name="VV" localSheetId="4">#N/A</definedName>
    <definedName name="VV" localSheetId="5">#N/A</definedName>
    <definedName name="VV" localSheetId="6">#N/A</definedName>
    <definedName name="VV" localSheetId="30">'C26'!VV</definedName>
    <definedName name="VV" localSheetId="31">'C27  BALANCE SNP'!VV</definedName>
    <definedName name="VV" localSheetId="32">#N/A</definedName>
    <definedName name="VV" localSheetId="7">'C3'!VV</definedName>
    <definedName name="VV" localSheetId="8">'C4'!VV</definedName>
    <definedName name="VV" localSheetId="45">#N/A</definedName>
    <definedName name="VV" localSheetId="0">#N/A</definedName>
    <definedName name="VV">#N/A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#N/A</definedName>
    <definedName name="x" localSheetId="3">#N/A</definedName>
    <definedName name="x" localSheetId="4">#N/A</definedName>
    <definedName name="x" localSheetId="5">#N/A</definedName>
    <definedName name="x" localSheetId="6">#N/A</definedName>
    <definedName name="x" localSheetId="31">'C27  BALANCE SNP'!x</definedName>
    <definedName name="x" localSheetId="32">#N/A</definedName>
    <definedName name="x" localSheetId="45">#N/A</definedName>
    <definedName name="x" localSheetId="0">#N/A</definedName>
    <definedName name="x">#N/A</definedName>
    <definedName name="XX" localSheetId="1">#N/A</definedName>
    <definedName name="XX" localSheetId="3">'C1 SISTEMAS'!XX</definedName>
    <definedName name="XX" localSheetId="4">#N/A</definedName>
    <definedName name="XX" localSheetId="5">#N/A</definedName>
    <definedName name="XX" localSheetId="6">#N/A</definedName>
    <definedName name="XX" localSheetId="30">'C26'!XX</definedName>
    <definedName name="XX" localSheetId="31">'C27  BALANCE SNP'!XX</definedName>
    <definedName name="XX" localSheetId="32">'C28 POTENCIA SNP'!XX</definedName>
    <definedName name="XX" localSheetId="7">'C3'!XX</definedName>
    <definedName name="XX" localSheetId="8">'C4'!XX</definedName>
    <definedName name="XX" localSheetId="45">#N/A</definedName>
    <definedName name="XX" localSheetId="0">#N/A</definedName>
    <definedName name="XX">#N/A</definedName>
    <definedName name="xxx" localSheetId="1">#N/A</definedName>
    <definedName name="xxx" localSheetId="3">'C1 SISTEMAS'!xxx</definedName>
    <definedName name="xxx" localSheetId="4">#N/A</definedName>
    <definedName name="xxx" localSheetId="5">#N/A</definedName>
    <definedName name="xxx" localSheetId="6">#N/A</definedName>
    <definedName name="xxx" localSheetId="30">'C26'!xxx</definedName>
    <definedName name="xxx" localSheetId="31">'C27  BALANCE SNP'!xxx</definedName>
    <definedName name="xxx" localSheetId="32">'C28 POTENCIA SNP'!xxx</definedName>
    <definedName name="xxx" localSheetId="7">'C3'!xxx</definedName>
    <definedName name="xxx" localSheetId="8">'C4'!xxx</definedName>
    <definedName name="xxx" localSheetId="45">#N/A</definedName>
    <definedName name="xxx" localSheetId="0">#N/A</definedName>
    <definedName name="xxx">#N/A</definedName>
    <definedName name="XXXX" localSheetId="1">#N/A</definedName>
    <definedName name="XXXX" localSheetId="3">#N/A</definedName>
    <definedName name="XXXX" localSheetId="4">#N/A</definedName>
    <definedName name="XXXX" localSheetId="5">#N/A</definedName>
    <definedName name="XXXX" localSheetId="6">#N/A</definedName>
    <definedName name="XXXX" localSheetId="31">'C27  BALANCE SNP'!XXXX</definedName>
    <definedName name="XXXX" localSheetId="32">#N/A</definedName>
    <definedName name="XXXX" localSheetId="45">#N/A</definedName>
    <definedName name="XXXX" localSheetId="0">#N/A</definedName>
    <definedName name="XXXX">#N/A</definedName>
    <definedName name="xxxxx" localSheetId="1">#N/A</definedName>
    <definedName name="xxxxx" localSheetId="3">#N/A</definedName>
    <definedName name="xxxxx" localSheetId="4">#N/A</definedName>
    <definedName name="xxxxx" localSheetId="5">#N/A</definedName>
    <definedName name="xxxxx" localSheetId="6">#N/A</definedName>
    <definedName name="xxxxx" localSheetId="31">'C27  BALANCE SNP'!xxxxx</definedName>
    <definedName name="xxxxx" localSheetId="32">#N/A</definedName>
    <definedName name="xxxxx" localSheetId="45">#N/A</definedName>
    <definedName name="xxxxx" localSheetId="0">#N/A</definedName>
    <definedName name="xxxxx">#N/A</definedName>
    <definedName name="Z_10318EB3_7543_41D7_B07B_A27B32D1F538_.wvu.PrintArea" localSheetId="1" hidden="1">'C1'!#REF!,'C1'!$B$3:$J$25</definedName>
    <definedName name="Z_10318EB3_7543_41D7_B07B_A27B32D1F538_.wvu.PrintArea" localSheetId="4" hidden="1">'C2'!#REF!,'C2'!$B$3:$J$25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D373" i="74" l="1"/>
  <c r="E9" i="55" l="1"/>
  <c r="E8" i="55"/>
  <c r="F108" i="54" l="1"/>
  <c r="F109" i="54"/>
  <c r="F110" i="54"/>
  <c r="F111" i="54"/>
  <c r="F112" i="54"/>
  <c r="F113" i="54"/>
  <c r="F114" i="54"/>
  <c r="F115" i="54"/>
  <c r="F116" i="54"/>
  <c r="F117" i="54"/>
  <c r="F118" i="54"/>
  <c r="F119" i="54"/>
  <c r="F120" i="54"/>
  <c r="F121" i="54"/>
  <c r="F122" i="54"/>
  <c r="F123" i="54"/>
  <c r="F124" i="54"/>
  <c r="F125" i="54"/>
  <c r="F107" i="54"/>
  <c r="D125" i="54"/>
  <c r="D124" i="54"/>
  <c r="D123" i="54"/>
  <c r="D122" i="54"/>
  <c r="D121" i="54"/>
  <c r="D120" i="54"/>
  <c r="D119" i="54"/>
  <c r="D118" i="54"/>
  <c r="D117" i="54"/>
  <c r="D116" i="54"/>
  <c r="D115" i="54"/>
  <c r="D114" i="54"/>
  <c r="D113" i="54"/>
  <c r="D112" i="54"/>
  <c r="D111" i="54"/>
  <c r="D110" i="54"/>
  <c r="D109" i="54"/>
  <c r="D108" i="54"/>
  <c r="D107" i="54"/>
  <c r="F410" i="87" l="1"/>
  <c r="F408" i="87"/>
  <c r="F409" i="87"/>
  <c r="F411" i="87"/>
  <c r="F412" i="87"/>
  <c r="F413" i="87"/>
  <c r="F414" i="87"/>
  <c r="F415" i="87"/>
  <c r="F416" i="87"/>
  <c r="F407" i="87"/>
  <c r="E416" i="87"/>
  <c r="E415" i="87"/>
  <c r="E414" i="87"/>
  <c r="E413" i="87"/>
  <c r="E412" i="87"/>
  <c r="E410" i="87"/>
  <c r="E409" i="87"/>
  <c r="E408" i="87"/>
  <c r="E407" i="87"/>
  <c r="E421" i="87"/>
  <c r="G362" i="87"/>
  <c r="G363" i="87"/>
  <c r="G364" i="87"/>
  <c r="G365" i="87"/>
  <c r="G366" i="87"/>
  <c r="G367" i="87"/>
  <c r="G368" i="87"/>
  <c r="G369" i="87"/>
  <c r="G370" i="87"/>
  <c r="G371" i="87"/>
  <c r="G361" i="87"/>
  <c r="G377" i="87"/>
  <c r="E372" i="87"/>
  <c r="E371" i="87"/>
  <c r="E370" i="87"/>
  <c r="E369" i="87"/>
  <c r="E368" i="87"/>
  <c r="E367" i="87"/>
  <c r="E366" i="87"/>
  <c r="E365" i="87"/>
  <c r="E364" i="87"/>
  <c r="E363" i="87"/>
  <c r="E362" i="87"/>
  <c r="E361" i="87"/>
  <c r="E377" i="87"/>
  <c r="E378" i="87"/>
  <c r="E379" i="87"/>
  <c r="E380" i="87"/>
  <c r="E381" i="87"/>
  <c r="E382" i="87"/>
  <c r="E383" i="87"/>
  <c r="E384" i="87"/>
  <c r="E385" i="87"/>
  <c r="E386" i="87"/>
  <c r="E387" i="87"/>
  <c r="E388" i="87"/>
  <c r="E417" i="87" l="1"/>
  <c r="E373" i="87"/>
  <c r="E389" i="87"/>
  <c r="O16" i="104"/>
  <c r="L21" i="104"/>
  <c r="L12" i="104"/>
  <c r="L11" i="104"/>
  <c r="J12" i="104"/>
  <c r="J11" i="104"/>
  <c r="H21" i="104"/>
  <c r="H16" i="104"/>
  <c r="F16" i="104"/>
  <c r="H13" i="104"/>
  <c r="H12" i="104"/>
  <c r="H11" i="104"/>
  <c r="G16" i="104"/>
  <c r="F12" i="104"/>
  <c r="F11" i="104"/>
  <c r="E160" i="87"/>
  <c r="F160" i="87"/>
  <c r="E161" i="87"/>
  <c r="F161" i="87"/>
  <c r="G161" i="87"/>
  <c r="H161" i="87"/>
  <c r="N16" i="104" s="1"/>
  <c r="E162" i="87"/>
  <c r="F162" i="87"/>
  <c r="G162" i="87"/>
  <c r="E163" i="87"/>
  <c r="F163" i="87"/>
  <c r="E164" i="87"/>
  <c r="F164" i="87"/>
  <c r="E165" i="87"/>
  <c r="F165" i="87"/>
  <c r="E166" i="87"/>
  <c r="F166" i="87"/>
  <c r="E167" i="87"/>
  <c r="F167" i="87"/>
  <c r="E168" i="87"/>
  <c r="F168" i="87"/>
  <c r="E154" i="87"/>
  <c r="F154" i="87"/>
  <c r="E155" i="87"/>
  <c r="F155" i="87"/>
  <c r="E156" i="87"/>
  <c r="F156" i="87"/>
  <c r="G156" i="87"/>
  <c r="H156" i="87"/>
  <c r="N11" i="104" s="1"/>
  <c r="E157" i="87"/>
  <c r="F157" i="87"/>
  <c r="G157" i="87"/>
  <c r="H157" i="87"/>
  <c r="N12" i="104" s="1"/>
  <c r="E158" i="87"/>
  <c r="F158" i="87"/>
  <c r="G158" i="87"/>
  <c r="H158" i="87"/>
  <c r="N13" i="104" s="1"/>
  <c r="D168" i="87"/>
  <c r="D167" i="87"/>
  <c r="D166" i="87"/>
  <c r="D164" i="87"/>
  <c r="D165" i="87"/>
  <c r="D163" i="87"/>
  <c r="D162" i="87"/>
  <c r="D161" i="87"/>
  <c r="D160" i="87"/>
  <c r="D158" i="87"/>
  <c r="D157" i="87"/>
  <c r="D156" i="87"/>
  <c r="F417" i="87" l="1"/>
  <c r="F364" i="87"/>
  <c r="F368" i="87"/>
  <c r="F372" i="87"/>
  <c r="F365" i="87"/>
  <c r="F369" i="87"/>
  <c r="F361" i="87"/>
  <c r="F362" i="87"/>
  <c r="F366" i="87"/>
  <c r="F370" i="87"/>
  <c r="F363" i="87"/>
  <c r="F367" i="87"/>
  <c r="F371" i="87"/>
  <c r="D155" i="87"/>
  <c r="D154" i="87"/>
  <c r="F373" i="87" l="1"/>
  <c r="I158" i="87"/>
  <c r="O13" i="104" s="1"/>
  <c r="H145" i="87"/>
  <c r="L14" i="104" s="1"/>
  <c r="G145" i="87"/>
  <c r="F145" i="87"/>
  <c r="F150" i="87" s="1"/>
  <c r="E145" i="87"/>
  <c r="E150" i="87" s="1"/>
  <c r="D145" i="87"/>
  <c r="D150" i="87" s="1"/>
  <c r="I144" i="87"/>
  <c r="M12" i="104" s="1"/>
  <c r="I143" i="87"/>
  <c r="M11" i="104" s="1"/>
  <c r="H138" i="87"/>
  <c r="G138" i="87"/>
  <c r="G139" i="87" s="1"/>
  <c r="F138" i="87"/>
  <c r="F139" i="87" s="1"/>
  <c r="E138" i="87"/>
  <c r="E139" i="87" s="1"/>
  <c r="D138" i="87"/>
  <c r="D139" i="87" s="1"/>
  <c r="I137" i="87"/>
  <c r="K12" i="104" s="1"/>
  <c r="I136" i="87"/>
  <c r="K11" i="104" s="1"/>
  <c r="H124" i="87"/>
  <c r="H14" i="104" s="1"/>
  <c r="G124" i="87"/>
  <c r="F124" i="87"/>
  <c r="F132" i="87" s="1"/>
  <c r="E124" i="87"/>
  <c r="E132" i="87" s="1"/>
  <c r="D124" i="87"/>
  <c r="D132" i="87" s="1"/>
  <c r="I123" i="87"/>
  <c r="I13" i="104" s="1"/>
  <c r="I122" i="87"/>
  <c r="I12" i="104" s="1"/>
  <c r="I121" i="87"/>
  <c r="I11" i="104" s="1"/>
  <c r="H139" i="87" l="1"/>
  <c r="I139" i="87" s="1"/>
  <c r="K24" i="104" s="1"/>
  <c r="J14" i="104"/>
  <c r="I145" i="87"/>
  <c r="M14" i="104" s="1"/>
  <c r="I138" i="87"/>
  <c r="K14" i="104" s="1"/>
  <c r="I124" i="87"/>
  <c r="I14" i="104" s="1"/>
  <c r="H107" i="87" l="1"/>
  <c r="F14" i="104" s="1"/>
  <c r="G107" i="87"/>
  <c r="F107" i="87"/>
  <c r="F116" i="87" s="1"/>
  <c r="E107" i="87"/>
  <c r="E116" i="87" s="1"/>
  <c r="D107" i="87"/>
  <c r="D116" i="87" s="1"/>
  <c r="I106" i="87"/>
  <c r="G12" i="104" s="1"/>
  <c r="I105" i="87"/>
  <c r="G11" i="104" s="1"/>
  <c r="L23" i="103"/>
  <c r="L22" i="103"/>
  <c r="L19" i="103"/>
  <c r="L12" i="103"/>
  <c r="L11" i="103"/>
  <c r="J12" i="103"/>
  <c r="J11" i="103"/>
  <c r="H18" i="103"/>
  <c r="H19" i="103"/>
  <c r="H20" i="103"/>
  <c r="H17" i="103"/>
  <c r="H15" i="103"/>
  <c r="H12" i="103"/>
  <c r="H13" i="103"/>
  <c r="H11" i="103"/>
  <c r="H9" i="103"/>
  <c r="F25" i="103"/>
  <c r="F22" i="103"/>
  <c r="F23" i="103"/>
  <c r="F19" i="103"/>
  <c r="F20" i="103"/>
  <c r="F21" i="103"/>
  <c r="F18" i="103"/>
  <c r="F15" i="103"/>
  <c r="F16" i="103"/>
  <c r="F12" i="103"/>
  <c r="F11" i="103"/>
  <c r="I107" i="87" l="1"/>
  <c r="G14" i="104" s="1"/>
  <c r="F10" i="103" l="1"/>
  <c r="J24" i="104"/>
  <c r="E84" i="87" l="1"/>
  <c r="F84" i="87"/>
  <c r="G84" i="87"/>
  <c r="H84" i="87"/>
  <c r="E85" i="87"/>
  <c r="F85" i="87"/>
  <c r="G85" i="87"/>
  <c r="H85" i="87"/>
  <c r="E92" i="87"/>
  <c r="F92" i="87"/>
  <c r="G92" i="87"/>
  <c r="H92" i="87"/>
  <c r="E98" i="87"/>
  <c r="F98" i="87"/>
  <c r="G98" i="87"/>
  <c r="H98" i="87"/>
  <c r="E99" i="87"/>
  <c r="F99" i="87"/>
  <c r="G99" i="87"/>
  <c r="H99" i="87"/>
  <c r="D99" i="87"/>
  <c r="D98" i="87"/>
  <c r="D92" i="87"/>
  <c r="D85" i="87"/>
  <c r="D84" i="87"/>
  <c r="I99" i="87" l="1"/>
  <c r="K27" i="101" s="1"/>
  <c r="I98" i="87"/>
  <c r="K25" i="101" s="1"/>
  <c r="I92" i="87"/>
  <c r="K19" i="101" s="1"/>
  <c r="I85" i="87"/>
  <c r="K12" i="101" s="1"/>
  <c r="I84" i="87"/>
  <c r="K11" i="101" s="1"/>
  <c r="J12" i="101"/>
  <c r="J19" i="101"/>
  <c r="J25" i="101"/>
  <c r="J11" i="101"/>
  <c r="J27" i="101"/>
  <c r="E268" i="54" l="1"/>
  <c r="E267" i="54"/>
  <c r="E266" i="54"/>
  <c r="G266" i="54" s="1"/>
  <c r="E265" i="54"/>
  <c r="G265" i="54" s="1"/>
  <c r="E264" i="54"/>
  <c r="E263" i="54"/>
  <c r="E262" i="54"/>
  <c r="E261" i="54"/>
  <c r="E260" i="54"/>
  <c r="E259" i="54"/>
  <c r="E258" i="54"/>
  <c r="G259" i="54" s="1"/>
  <c r="E257" i="54"/>
  <c r="G257" i="54" s="1"/>
  <c r="E256" i="54"/>
  <c r="G267" i="54" l="1"/>
  <c r="G256" i="54"/>
  <c r="G261" i="54"/>
  <c r="G264" i="54"/>
  <c r="G263" i="54"/>
  <c r="G258" i="54"/>
  <c r="G262" i="54"/>
  <c r="E269" i="54"/>
  <c r="F263" i="54" s="1"/>
  <c r="E69" i="87"/>
  <c r="F69" i="87"/>
  <c r="G69" i="87"/>
  <c r="H69" i="87"/>
  <c r="D69" i="87"/>
  <c r="D72" i="87"/>
  <c r="D91" i="87" s="1"/>
  <c r="E62" i="87"/>
  <c r="E83" i="87" s="1"/>
  <c r="F62" i="87"/>
  <c r="F83" i="87" s="1"/>
  <c r="G62" i="87"/>
  <c r="H62" i="87"/>
  <c r="N9" i="103" s="1"/>
  <c r="E63" i="87"/>
  <c r="E86" i="87" s="1"/>
  <c r="F63" i="87"/>
  <c r="F86" i="87" s="1"/>
  <c r="G63" i="87"/>
  <c r="H63" i="87"/>
  <c r="E64" i="87"/>
  <c r="F64" i="87"/>
  <c r="G64" i="87"/>
  <c r="H64" i="87"/>
  <c r="N11" i="103" s="1"/>
  <c r="E65" i="87"/>
  <c r="F65" i="87"/>
  <c r="G65" i="87"/>
  <c r="H65" i="87"/>
  <c r="E66" i="87"/>
  <c r="F66" i="87"/>
  <c r="G66" i="87"/>
  <c r="H66" i="87"/>
  <c r="N13" i="103" s="1"/>
  <c r="E67" i="87"/>
  <c r="E68" i="87"/>
  <c r="E88" i="87" s="1"/>
  <c r="F68" i="87"/>
  <c r="F88" i="87" s="1"/>
  <c r="G68" i="87"/>
  <c r="H68" i="87"/>
  <c r="E70" i="87"/>
  <c r="E89" i="87" s="1"/>
  <c r="F70" i="87"/>
  <c r="F89" i="87" s="1"/>
  <c r="G70" i="87"/>
  <c r="G89" i="87" s="1"/>
  <c r="H70" i="87"/>
  <c r="E71" i="87"/>
  <c r="E90" i="87" s="1"/>
  <c r="F71" i="87"/>
  <c r="F90" i="87" s="1"/>
  <c r="G71" i="87"/>
  <c r="G90" i="87" s="1"/>
  <c r="H71" i="87"/>
  <c r="N18" i="103" s="1"/>
  <c r="E72" i="87"/>
  <c r="E91" i="87" s="1"/>
  <c r="F72" i="87"/>
  <c r="F91" i="87" s="1"/>
  <c r="G72" i="87"/>
  <c r="H72" i="87"/>
  <c r="E73" i="87"/>
  <c r="E93" i="87" s="1"/>
  <c r="F73" i="87"/>
  <c r="F93" i="87" s="1"/>
  <c r="G73" i="87"/>
  <c r="G93" i="87" s="1"/>
  <c r="H73" i="87"/>
  <c r="N20" i="103" s="1"/>
  <c r="E74" i="87"/>
  <c r="E94" i="87" s="1"/>
  <c r="F74" i="87"/>
  <c r="F94" i="87" s="1"/>
  <c r="G74" i="87"/>
  <c r="H74" i="87"/>
  <c r="E75" i="87"/>
  <c r="E95" i="87" s="1"/>
  <c r="F75" i="87"/>
  <c r="F95" i="87" s="1"/>
  <c r="G75" i="87"/>
  <c r="G95" i="87" s="1"/>
  <c r="H75" i="87"/>
  <c r="N22" i="103" s="1"/>
  <c r="E76" i="87"/>
  <c r="E96" i="87" s="1"/>
  <c r="F76" i="87"/>
  <c r="F96" i="87" s="1"/>
  <c r="G76" i="87"/>
  <c r="H76" i="87"/>
  <c r="E78" i="87"/>
  <c r="F78" i="87"/>
  <c r="G78" i="87"/>
  <c r="H78" i="87"/>
  <c r="N25" i="103" s="1"/>
  <c r="D65" i="87"/>
  <c r="D78" i="87"/>
  <c r="D76" i="87"/>
  <c r="D96" i="87" s="1"/>
  <c r="D75" i="87"/>
  <c r="D95" i="87" s="1"/>
  <c r="D74" i="87"/>
  <c r="D94" i="87" s="1"/>
  <c r="D73" i="87"/>
  <c r="D93" i="87" s="1"/>
  <c r="D71" i="87"/>
  <c r="D90" i="87" s="1"/>
  <c r="D70" i="87"/>
  <c r="D89" i="87" s="1"/>
  <c r="D68" i="87"/>
  <c r="D88" i="87" s="1"/>
  <c r="D66" i="87"/>
  <c r="D64" i="87"/>
  <c r="D63" i="87"/>
  <c r="D86" i="87" s="1"/>
  <c r="D62" i="87"/>
  <c r="D83" i="87" s="1"/>
  <c r="F266" i="54" l="1"/>
  <c r="D266" i="54"/>
  <c r="F264" i="54"/>
  <c r="D264" i="54" s="1"/>
  <c r="F259" i="54"/>
  <c r="F265" i="54"/>
  <c r="G260" i="54"/>
  <c r="F256" i="54"/>
  <c r="F261" i="54"/>
  <c r="F257" i="54"/>
  <c r="F258" i="54"/>
  <c r="D258" i="54" s="1"/>
  <c r="F267" i="54"/>
  <c r="F262" i="54"/>
  <c r="H67" i="87"/>
  <c r="H87" i="87" s="1"/>
  <c r="J14" i="101" s="1"/>
  <c r="H94" i="87"/>
  <c r="J21" i="101" s="1"/>
  <c r="N21" i="103"/>
  <c r="H89" i="87"/>
  <c r="N17" i="103"/>
  <c r="I65" i="87"/>
  <c r="O12" i="103" s="1"/>
  <c r="N12" i="103"/>
  <c r="H86" i="87"/>
  <c r="J13" i="101" s="1"/>
  <c r="N10" i="103"/>
  <c r="H96" i="87"/>
  <c r="J23" i="101" s="1"/>
  <c r="N23" i="103"/>
  <c r="H91" i="87"/>
  <c r="J18" i="101" s="1"/>
  <c r="N19" i="103"/>
  <c r="H88" i="87"/>
  <c r="J15" i="101" s="1"/>
  <c r="N15" i="103"/>
  <c r="I69" i="87"/>
  <c r="O16" i="103" s="1"/>
  <c r="N16" i="103"/>
  <c r="H13" i="101"/>
  <c r="I75" i="87"/>
  <c r="H95" i="87"/>
  <c r="I73" i="87"/>
  <c r="H93" i="87"/>
  <c r="I71" i="87"/>
  <c r="H90" i="87"/>
  <c r="H16" i="101"/>
  <c r="H21" i="101"/>
  <c r="I76" i="87"/>
  <c r="G96" i="87"/>
  <c r="I74" i="87"/>
  <c r="G94" i="87"/>
  <c r="I72" i="87"/>
  <c r="G91" i="87"/>
  <c r="I91" i="87" s="1"/>
  <c r="K18" i="101" s="1"/>
  <c r="I68" i="87"/>
  <c r="G88" i="87"/>
  <c r="I88" i="87" s="1"/>
  <c r="K15" i="101" s="1"/>
  <c r="E87" i="87"/>
  <c r="E97" i="87" s="1"/>
  <c r="E100" i="87" s="1"/>
  <c r="H17" i="101"/>
  <c r="H22" i="101"/>
  <c r="H10" i="101"/>
  <c r="H83" i="87"/>
  <c r="J10" i="101" s="1"/>
  <c r="H18" i="101"/>
  <c r="H23" i="101"/>
  <c r="I78" i="87"/>
  <c r="E77" i="87"/>
  <c r="E79" i="87" s="1"/>
  <c r="I66" i="87"/>
  <c r="O13" i="103" s="1"/>
  <c r="I64" i="87"/>
  <c r="O11" i="103" s="1"/>
  <c r="I63" i="87"/>
  <c r="G86" i="87"/>
  <c r="I62" i="87"/>
  <c r="G83" i="87"/>
  <c r="I70" i="87"/>
  <c r="H15" i="101"/>
  <c r="H20" i="101"/>
  <c r="H26" i="101"/>
  <c r="D263" i="54"/>
  <c r="D259" i="54"/>
  <c r="D262" i="54"/>
  <c r="F268" i="54"/>
  <c r="D268" i="54" s="1"/>
  <c r="D257" i="54"/>
  <c r="D265" i="54"/>
  <c r="H77" i="87"/>
  <c r="H79" i="87" s="1"/>
  <c r="G67" i="87"/>
  <c r="F67" i="87"/>
  <c r="D67" i="87"/>
  <c r="F260" i="54" l="1"/>
  <c r="H14" i="101"/>
  <c r="N14" i="103"/>
  <c r="N24" i="103" s="1"/>
  <c r="N26" i="103" s="1"/>
  <c r="I23" i="101"/>
  <c r="O23" i="103"/>
  <c r="I22" i="101"/>
  <c r="O22" i="103"/>
  <c r="I10" i="101"/>
  <c r="O9" i="103"/>
  <c r="I93" i="87"/>
  <c r="K20" i="101" s="1"/>
  <c r="J20" i="101"/>
  <c r="I86" i="87"/>
  <c r="K13" i="101" s="1"/>
  <c r="I15" i="101"/>
  <c r="O15" i="103"/>
  <c r="I21" i="101"/>
  <c r="O21" i="103"/>
  <c r="I20" i="101"/>
  <c r="O20" i="103"/>
  <c r="I89" i="87"/>
  <c r="K16" i="101" s="1"/>
  <c r="J16" i="101"/>
  <c r="I18" i="101"/>
  <c r="O19" i="103"/>
  <c r="I17" i="101"/>
  <c r="O18" i="103"/>
  <c r="I94" i="87"/>
  <c r="K21" i="101" s="1"/>
  <c r="I16" i="101"/>
  <c r="O17" i="103"/>
  <c r="I13" i="101"/>
  <c r="O10" i="103"/>
  <c r="I26" i="101"/>
  <c r="O25" i="103"/>
  <c r="I96" i="87"/>
  <c r="K23" i="101" s="1"/>
  <c r="I90" i="87"/>
  <c r="K17" i="101" s="1"/>
  <c r="J17" i="101"/>
  <c r="I95" i="87"/>
  <c r="K22" i="101" s="1"/>
  <c r="J22" i="101"/>
  <c r="F77" i="87"/>
  <c r="F79" i="87" s="1"/>
  <c r="F87" i="87"/>
  <c r="F97" i="87" s="1"/>
  <c r="F100" i="87" s="1"/>
  <c r="G77" i="87"/>
  <c r="G79" i="87" s="1"/>
  <c r="I79" i="87" s="1"/>
  <c r="G87" i="87"/>
  <c r="I87" i="87" s="1"/>
  <c r="K14" i="101" s="1"/>
  <c r="D77" i="87"/>
  <c r="D79" i="87" s="1"/>
  <c r="D87" i="87"/>
  <c r="D97" i="87" s="1"/>
  <c r="D100" i="87" s="1"/>
  <c r="I83" i="87"/>
  <c r="K10" i="101" s="1"/>
  <c r="H97" i="87"/>
  <c r="I14" i="101"/>
  <c r="D260" i="54"/>
  <c r="I67" i="87"/>
  <c r="O14" i="103" s="1"/>
  <c r="I28" i="101" l="1"/>
  <c r="O26" i="103"/>
  <c r="G97" i="87"/>
  <c r="G100" i="87" s="1"/>
  <c r="I77" i="87"/>
  <c r="H100" i="87"/>
  <c r="F269" i="54"/>
  <c r="G18" i="101"/>
  <c r="G22" i="101"/>
  <c r="G26" i="101"/>
  <c r="G15" i="101"/>
  <c r="G10" i="101"/>
  <c r="I334" i="54"/>
  <c r="G27" i="101" s="1"/>
  <c r="I333" i="54"/>
  <c r="I332" i="54"/>
  <c r="G25" i="101" s="1"/>
  <c r="I330" i="54"/>
  <c r="G23" i="101" s="1"/>
  <c r="I329" i="54"/>
  <c r="I328" i="54"/>
  <c r="G21" i="101" s="1"/>
  <c r="I327" i="54"/>
  <c r="G20" i="101" s="1"/>
  <c r="I326" i="54"/>
  <c r="G19" i="101" s="1"/>
  <c r="I325" i="54"/>
  <c r="I324" i="54"/>
  <c r="G17" i="101" s="1"/>
  <c r="I323" i="54"/>
  <c r="I322" i="54"/>
  <c r="I321" i="54"/>
  <c r="G13" i="101" s="1"/>
  <c r="I320" i="54"/>
  <c r="G12" i="101" s="1"/>
  <c r="I319" i="54"/>
  <c r="G11" i="101" s="1"/>
  <c r="I318" i="54"/>
  <c r="F26" i="101"/>
  <c r="F27" i="101"/>
  <c r="F25" i="101"/>
  <c r="F18" i="101"/>
  <c r="F19" i="101"/>
  <c r="F20" i="101"/>
  <c r="F21" i="101"/>
  <c r="F22" i="101"/>
  <c r="F23" i="101"/>
  <c r="F17" i="101"/>
  <c r="F15" i="101"/>
  <c r="F13" i="101"/>
  <c r="F12" i="101"/>
  <c r="F11" i="101"/>
  <c r="F10" i="101"/>
  <c r="H24" i="101"/>
  <c r="H28" i="101" s="1"/>
  <c r="J24" i="101"/>
  <c r="J28" i="101" s="1"/>
  <c r="I156" i="87" l="1"/>
  <c r="O11" i="104" s="1"/>
  <c r="I24" i="101"/>
  <c r="O24" i="103"/>
  <c r="I97" i="87"/>
  <c r="K24" i="101" s="1"/>
  <c r="I100" i="87"/>
  <c r="K28" i="101" s="1"/>
  <c r="F24" i="101"/>
  <c r="F28" i="101" l="1"/>
  <c r="E45" i="55" l="1"/>
  <c r="E44" i="55"/>
  <c r="E43" i="55"/>
  <c r="E42" i="55"/>
  <c r="E38" i="55"/>
  <c r="E37" i="55"/>
  <c r="E15" i="55"/>
  <c r="E14" i="55"/>
  <c r="E13" i="55"/>
  <c r="E41" i="55"/>
  <c r="E40" i="55"/>
  <c r="E39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2" i="55"/>
  <c r="E11" i="55"/>
  <c r="E10" i="55"/>
  <c r="E430" i="87" l="1"/>
  <c r="E429" i="87"/>
  <c r="E428" i="87"/>
  <c r="E427" i="87"/>
  <c r="E424" i="87"/>
  <c r="E423" i="87"/>
  <c r="E422" i="87"/>
  <c r="E426" i="87"/>
  <c r="E431" i="87" l="1"/>
  <c r="F421" i="87" s="1"/>
  <c r="F430" i="87" l="1"/>
  <c r="F422" i="87"/>
  <c r="F427" i="87"/>
  <c r="F424" i="87"/>
  <c r="F425" i="87"/>
  <c r="F423" i="87"/>
  <c r="F428" i="87"/>
  <c r="F426" i="87"/>
  <c r="F429" i="87"/>
  <c r="J9" i="82"/>
  <c r="F431" i="87" l="1"/>
  <c r="H313" i="54" l="1"/>
  <c r="G313" i="54"/>
  <c r="F313" i="54"/>
  <c r="E313" i="54"/>
  <c r="D313" i="54"/>
  <c r="H13" i="64" l="1"/>
  <c r="K13" i="64" s="1"/>
  <c r="G13" i="64"/>
  <c r="I13" i="64" l="1"/>
  <c r="I12" i="64"/>
  <c r="I11" i="64"/>
  <c r="I9" i="64"/>
  <c r="H12" i="64"/>
  <c r="H11" i="64"/>
  <c r="H9" i="64"/>
  <c r="G12" i="64"/>
  <c r="G11" i="64"/>
  <c r="G9" i="64"/>
  <c r="F13" i="64"/>
  <c r="F12" i="64"/>
  <c r="F11" i="64"/>
  <c r="F9" i="64"/>
  <c r="K12" i="64" l="1"/>
  <c r="K9" i="64"/>
  <c r="K11" i="64"/>
  <c r="E285" i="54"/>
  <c r="E284" i="54"/>
  <c r="E283" i="54"/>
  <c r="E282" i="54"/>
  <c r="E281" i="54"/>
  <c r="E280" i="54"/>
  <c r="E279" i="54"/>
  <c r="E278" i="54"/>
  <c r="E277" i="54"/>
  <c r="E276" i="54"/>
  <c r="E275" i="54"/>
  <c r="E274" i="54"/>
  <c r="E273" i="54"/>
  <c r="E371" i="54" l="1"/>
  <c r="D371" i="54"/>
  <c r="E384" i="54"/>
  <c r="D384" i="54"/>
  <c r="E368" i="54"/>
  <c r="D368" i="54"/>
  <c r="H325" i="87" l="1"/>
  <c r="H324" i="87"/>
  <c r="H323" i="87"/>
  <c r="H322" i="87"/>
  <c r="H321" i="87"/>
  <c r="H320" i="87"/>
  <c r="H319" i="87"/>
  <c r="H318" i="87"/>
  <c r="H317" i="87"/>
  <c r="H316" i="87"/>
  <c r="H315" i="87"/>
  <c r="H314" i="87"/>
  <c r="G386" i="87" l="1"/>
  <c r="G381" i="87"/>
  <c r="F385" i="87"/>
  <c r="G384" i="87"/>
  <c r="G380" i="87"/>
  <c r="G387" i="87"/>
  <c r="G383" i="87"/>
  <c r="G379" i="87"/>
  <c r="G382" i="87"/>
  <c r="G378" i="87"/>
  <c r="G385" i="87"/>
  <c r="H300" i="87"/>
  <c r="H301" i="87"/>
  <c r="H302" i="87"/>
  <c r="H303" i="87"/>
  <c r="H304" i="87"/>
  <c r="H305" i="87"/>
  <c r="H306" i="87"/>
  <c r="H307" i="87"/>
  <c r="H308" i="87"/>
  <c r="H309" i="87"/>
  <c r="H310" i="87"/>
  <c r="H299" i="87"/>
  <c r="F381" i="87" l="1"/>
  <c r="F386" i="87"/>
  <c r="F380" i="87"/>
  <c r="F383" i="87"/>
  <c r="F382" i="87"/>
  <c r="F378" i="87"/>
  <c r="F388" i="87"/>
  <c r="F377" i="87"/>
  <c r="F379" i="87"/>
  <c r="F384" i="87"/>
  <c r="F387" i="87"/>
  <c r="F389" i="87" l="1"/>
  <c r="O342" i="87"/>
  <c r="I20" i="94" s="1"/>
  <c r="L332" i="87"/>
  <c r="F10" i="94" s="1"/>
  <c r="M332" i="87"/>
  <c r="G10" i="94" s="1"/>
  <c r="N332" i="87"/>
  <c r="H10" i="94" s="1"/>
  <c r="O332" i="87"/>
  <c r="I10" i="94" s="1"/>
  <c r="L333" i="87"/>
  <c r="F11" i="94" s="1"/>
  <c r="M333" i="87"/>
  <c r="G11" i="94" s="1"/>
  <c r="N333" i="87"/>
  <c r="H11" i="94" s="1"/>
  <c r="O333" i="87"/>
  <c r="I11" i="94" s="1"/>
  <c r="L334" i="87"/>
  <c r="F12" i="94" s="1"/>
  <c r="M334" i="87"/>
  <c r="G12" i="94" s="1"/>
  <c r="N334" i="87"/>
  <c r="H12" i="94" s="1"/>
  <c r="O334" i="87"/>
  <c r="I12" i="94" s="1"/>
  <c r="L335" i="87"/>
  <c r="F13" i="94" s="1"/>
  <c r="M335" i="87"/>
  <c r="G13" i="94" s="1"/>
  <c r="N335" i="87"/>
  <c r="H13" i="94" s="1"/>
  <c r="O335" i="87"/>
  <c r="I13" i="94" s="1"/>
  <c r="L336" i="87"/>
  <c r="F14" i="94" s="1"/>
  <c r="M336" i="87"/>
  <c r="G14" i="94" s="1"/>
  <c r="N336" i="87"/>
  <c r="H14" i="94" s="1"/>
  <c r="O336" i="87"/>
  <c r="I14" i="94" s="1"/>
  <c r="L337" i="87"/>
  <c r="F15" i="94" s="1"/>
  <c r="M337" i="87"/>
  <c r="G15" i="94" s="1"/>
  <c r="N337" i="87"/>
  <c r="H15" i="94" s="1"/>
  <c r="O337" i="87"/>
  <c r="I15" i="94" s="1"/>
  <c r="L338" i="87"/>
  <c r="F16" i="94" s="1"/>
  <c r="M338" i="87"/>
  <c r="G16" i="94" s="1"/>
  <c r="N338" i="87"/>
  <c r="H16" i="94" s="1"/>
  <c r="O338" i="87"/>
  <c r="I16" i="94" s="1"/>
  <c r="L339" i="87"/>
  <c r="F17" i="94" s="1"/>
  <c r="M339" i="87"/>
  <c r="G17" i="94" s="1"/>
  <c r="N339" i="87"/>
  <c r="H17" i="94" s="1"/>
  <c r="O339" i="87"/>
  <c r="I17" i="94" s="1"/>
  <c r="L340" i="87"/>
  <c r="F18" i="94" s="1"/>
  <c r="M340" i="87"/>
  <c r="G18" i="94" s="1"/>
  <c r="N340" i="87"/>
  <c r="H18" i="94" s="1"/>
  <c r="O340" i="87"/>
  <c r="I18" i="94" s="1"/>
  <c r="L341" i="87"/>
  <c r="F19" i="94" s="1"/>
  <c r="M341" i="87"/>
  <c r="G19" i="94" s="1"/>
  <c r="N341" i="87"/>
  <c r="H19" i="94" s="1"/>
  <c r="O341" i="87"/>
  <c r="I19" i="94" s="1"/>
  <c r="L342" i="87"/>
  <c r="F20" i="94" s="1"/>
  <c r="M342" i="87"/>
  <c r="G20" i="94" s="1"/>
  <c r="N342" i="87"/>
  <c r="H20" i="94" s="1"/>
  <c r="M331" i="87"/>
  <c r="G9" i="94" s="1"/>
  <c r="N331" i="87"/>
  <c r="H9" i="94" s="1"/>
  <c r="O331" i="87"/>
  <c r="I9" i="94" s="1"/>
  <c r="L331" i="87"/>
  <c r="F9" i="94" s="1"/>
  <c r="K343" i="87"/>
  <c r="J343" i="87"/>
  <c r="I343" i="87"/>
  <c r="E343" i="87" l="1"/>
  <c r="F343" i="87"/>
  <c r="G343" i="87"/>
  <c r="H343" i="87"/>
  <c r="D343" i="87"/>
  <c r="H19" i="90" l="1"/>
  <c r="J19" i="90"/>
  <c r="K19" i="90"/>
  <c r="G19" i="90"/>
  <c r="H16" i="90"/>
  <c r="I16" i="90"/>
  <c r="J16" i="90"/>
  <c r="K16" i="90"/>
  <c r="G16" i="90"/>
  <c r="H15" i="90"/>
  <c r="I15" i="90"/>
  <c r="J15" i="90"/>
  <c r="K15" i="90"/>
  <c r="G15" i="90"/>
  <c r="G17" i="90" s="1"/>
  <c r="I13" i="90"/>
  <c r="J13" i="90"/>
  <c r="K13" i="90"/>
  <c r="G13" i="90"/>
  <c r="H10" i="90"/>
  <c r="I10" i="90"/>
  <c r="J10" i="90"/>
  <c r="K10" i="90"/>
  <c r="G10" i="90"/>
  <c r="H18" i="90"/>
  <c r="H20" i="90" s="1"/>
  <c r="I18" i="90"/>
  <c r="J18" i="90"/>
  <c r="K18" i="90"/>
  <c r="F49" i="73"/>
  <c r="H12" i="90"/>
  <c r="I12" i="90"/>
  <c r="I43" i="73"/>
  <c r="F43" i="73"/>
  <c r="H9" i="90"/>
  <c r="H11" i="90" s="1"/>
  <c r="I9" i="90"/>
  <c r="J9" i="90"/>
  <c r="K9" i="90"/>
  <c r="F40" i="73"/>
  <c r="H43" i="73" l="1"/>
  <c r="I14" i="90"/>
  <c r="J43" i="73"/>
  <c r="K17" i="90"/>
  <c r="I46" i="73"/>
  <c r="J20" i="90"/>
  <c r="K20" i="90"/>
  <c r="J11" i="90"/>
  <c r="G46" i="73"/>
  <c r="I11" i="90"/>
  <c r="G49" i="73"/>
  <c r="K11" i="90"/>
  <c r="H17" i="90"/>
  <c r="J17" i="90"/>
  <c r="H40" i="73"/>
  <c r="G40" i="73"/>
  <c r="H46" i="73"/>
  <c r="H49" i="73"/>
  <c r="G9" i="90"/>
  <c r="G11" i="90" s="1"/>
  <c r="J12" i="90"/>
  <c r="J14" i="90" s="1"/>
  <c r="K12" i="90"/>
  <c r="I17" i="90"/>
  <c r="G12" i="90"/>
  <c r="G14" i="90" s="1"/>
  <c r="G18" i="90"/>
  <c r="G20" i="90" s="1"/>
  <c r="I19" i="90"/>
  <c r="I20" i="90" s="1"/>
  <c r="I40" i="73"/>
  <c r="I49" i="73"/>
  <c r="J40" i="73"/>
  <c r="G43" i="73"/>
  <c r="H13" i="90"/>
  <c r="H14" i="90" s="1"/>
  <c r="J49" i="73"/>
  <c r="J46" i="73"/>
  <c r="F46" i="73"/>
  <c r="K14" i="90" l="1"/>
  <c r="G11" i="81"/>
  <c r="H11" i="81"/>
  <c r="I11" i="81"/>
  <c r="J11" i="81"/>
  <c r="F11" i="81"/>
  <c r="D10" i="87" l="1"/>
  <c r="D19" i="87" s="1"/>
  <c r="D21" i="87" s="1"/>
  <c r="I55" i="87"/>
  <c r="M23" i="103" s="1"/>
  <c r="I54" i="87"/>
  <c r="M22" i="103" s="1"/>
  <c r="I53" i="87"/>
  <c r="M19" i="103" s="1"/>
  <c r="H52" i="87"/>
  <c r="L14" i="103" s="1"/>
  <c r="L24" i="103" s="1"/>
  <c r="L26" i="103" s="1"/>
  <c r="G52" i="87"/>
  <c r="G57" i="87" s="1"/>
  <c r="G58" i="87" s="1"/>
  <c r="F52" i="87"/>
  <c r="F57" i="87" s="1"/>
  <c r="F58" i="87" s="1"/>
  <c r="L11" i="86" s="1"/>
  <c r="E52" i="87"/>
  <c r="E57" i="87" s="1"/>
  <c r="E58" i="87" s="1"/>
  <c r="L10" i="86" s="1"/>
  <c r="D52" i="87"/>
  <c r="D57" i="87" s="1"/>
  <c r="D58" i="87" s="1"/>
  <c r="L9" i="86" s="1"/>
  <c r="I51" i="87"/>
  <c r="M12" i="103" s="1"/>
  <c r="I50" i="87"/>
  <c r="M11" i="103" s="1"/>
  <c r="H44" i="87"/>
  <c r="G44" i="87"/>
  <c r="G45" i="87" s="1"/>
  <c r="G46" i="87" s="1"/>
  <c r="F44" i="87"/>
  <c r="F45" i="87" s="1"/>
  <c r="F46" i="87" s="1"/>
  <c r="J11" i="86" s="1"/>
  <c r="E44" i="87"/>
  <c r="E45" i="87" s="1"/>
  <c r="E46" i="87" s="1"/>
  <c r="J10" i="86" s="1"/>
  <c r="D44" i="87"/>
  <c r="D45" i="87" s="1"/>
  <c r="D46" i="87" s="1"/>
  <c r="J9" i="86" s="1"/>
  <c r="I43" i="87"/>
  <c r="K12" i="103" s="1"/>
  <c r="I42" i="87"/>
  <c r="K11" i="103" s="1"/>
  <c r="I35" i="87"/>
  <c r="I20" i="103" s="1"/>
  <c r="I34" i="87"/>
  <c r="I19" i="103" s="1"/>
  <c r="I33" i="87"/>
  <c r="I18" i="103" s="1"/>
  <c r="I32" i="87"/>
  <c r="I17" i="103" s="1"/>
  <c r="I30" i="87"/>
  <c r="I15" i="103" s="1"/>
  <c r="H29" i="87"/>
  <c r="H14" i="103" s="1"/>
  <c r="H24" i="103" s="1"/>
  <c r="H26" i="103" s="1"/>
  <c r="G29" i="87"/>
  <c r="G37" i="87" s="1"/>
  <c r="G38" i="87" s="1"/>
  <c r="F29" i="87"/>
  <c r="F37" i="87" s="1"/>
  <c r="F38" i="87" s="1"/>
  <c r="H11" i="86" s="1"/>
  <c r="E29" i="87"/>
  <c r="E37" i="87" s="1"/>
  <c r="E38" i="87" s="1"/>
  <c r="H10" i="86" s="1"/>
  <c r="D29" i="87"/>
  <c r="D37" i="87" s="1"/>
  <c r="D38" i="87" s="1"/>
  <c r="H9" i="86" s="1"/>
  <c r="I28" i="87"/>
  <c r="I13" i="103" s="1"/>
  <c r="I27" i="87"/>
  <c r="I12" i="103" s="1"/>
  <c r="I26" i="87"/>
  <c r="I11" i="103" s="1"/>
  <c r="I25" i="87"/>
  <c r="I9" i="103" s="1"/>
  <c r="I20" i="87"/>
  <c r="G25" i="103" s="1"/>
  <c r="I18" i="87"/>
  <c r="G23" i="103" s="1"/>
  <c r="I17" i="87"/>
  <c r="G22" i="103" s="1"/>
  <c r="I16" i="87"/>
  <c r="G21" i="103" s="1"/>
  <c r="I15" i="87"/>
  <c r="G20" i="103" s="1"/>
  <c r="I14" i="87"/>
  <c r="G19" i="103" s="1"/>
  <c r="I13" i="87"/>
  <c r="G18" i="103" s="1"/>
  <c r="I12" i="87"/>
  <c r="G16" i="103" s="1"/>
  <c r="I11" i="87"/>
  <c r="G15" i="103" s="1"/>
  <c r="H10" i="87"/>
  <c r="F14" i="103" s="1"/>
  <c r="F24" i="103" s="1"/>
  <c r="F26" i="103" s="1"/>
  <c r="G10" i="87"/>
  <c r="G19" i="87" s="1"/>
  <c r="G21" i="87" s="1"/>
  <c r="F10" i="87"/>
  <c r="F19" i="87" s="1"/>
  <c r="F21" i="87" s="1"/>
  <c r="E10" i="87"/>
  <c r="E19" i="87" s="1"/>
  <c r="E21" i="87" s="1"/>
  <c r="I9" i="87"/>
  <c r="G12" i="103" s="1"/>
  <c r="I8" i="87"/>
  <c r="G11" i="103" s="1"/>
  <c r="I7" i="87"/>
  <c r="G10" i="103" s="1"/>
  <c r="H45" i="87" l="1"/>
  <c r="H46" i="87" s="1"/>
  <c r="J13" i="86" s="1"/>
  <c r="J14" i="103"/>
  <c r="J24" i="103" s="1"/>
  <c r="J26" i="103" s="1"/>
  <c r="F11" i="86"/>
  <c r="F80" i="87"/>
  <c r="G80" i="87"/>
  <c r="F10" i="86"/>
  <c r="E80" i="87"/>
  <c r="F9" i="86"/>
  <c r="D80" i="87"/>
  <c r="I11" i="86"/>
  <c r="H12" i="86"/>
  <c r="I12" i="86" s="1"/>
  <c r="L12" i="86"/>
  <c r="M12" i="86" s="1"/>
  <c r="F12" i="86"/>
  <c r="K10" i="86"/>
  <c r="J12" i="86"/>
  <c r="K12" i="86" s="1"/>
  <c r="M11" i="86"/>
  <c r="K11" i="86"/>
  <c r="I10" i="86"/>
  <c r="M10" i="86"/>
  <c r="I52" i="87"/>
  <c r="M14" i="103" s="1"/>
  <c r="I10" i="87"/>
  <c r="G14" i="103" s="1"/>
  <c r="I29" i="87"/>
  <c r="I14" i="103" s="1"/>
  <c r="H57" i="87"/>
  <c r="H19" i="87"/>
  <c r="I19" i="87" s="1"/>
  <c r="G24" i="103" s="1"/>
  <c r="H37" i="87"/>
  <c r="I44" i="87"/>
  <c r="I46" i="87" l="1"/>
  <c r="K26" i="103" s="1"/>
  <c r="I45" i="87"/>
  <c r="K24" i="103" s="1"/>
  <c r="K14" i="103"/>
  <c r="G10" i="86"/>
  <c r="G11" i="86"/>
  <c r="G12" i="86"/>
  <c r="K13" i="86"/>
  <c r="H21" i="87"/>
  <c r="I57" i="87"/>
  <c r="M24" i="103" s="1"/>
  <c r="H58" i="87"/>
  <c r="H38" i="87"/>
  <c r="I37" i="87"/>
  <c r="I24" i="103" s="1"/>
  <c r="H80" i="87" l="1"/>
  <c r="I38" i="87"/>
  <c r="I26" i="103" s="1"/>
  <c r="H13" i="86"/>
  <c r="I13" i="86" s="1"/>
  <c r="I21" i="87"/>
  <c r="G26" i="103" s="1"/>
  <c r="F13" i="86"/>
  <c r="G13" i="86" s="1"/>
  <c r="I58" i="87"/>
  <c r="M26" i="103" s="1"/>
  <c r="L13" i="86"/>
  <c r="M13" i="86" s="1"/>
  <c r="G142" i="54"/>
  <c r="F20" i="61" s="1"/>
  <c r="G141" i="54"/>
  <c r="F19" i="61" s="1"/>
  <c r="G140" i="54"/>
  <c r="F18" i="61" s="1"/>
  <c r="G139" i="54"/>
  <c r="F17" i="61" s="1"/>
  <c r="G138" i="54"/>
  <c r="F16" i="61" s="1"/>
  <c r="G137" i="54"/>
  <c r="F15" i="61" s="1"/>
  <c r="G136" i="54"/>
  <c r="F14" i="61" s="1"/>
  <c r="G135" i="54"/>
  <c r="F13" i="61" s="1"/>
  <c r="G134" i="54"/>
  <c r="F12" i="61" s="1"/>
  <c r="G133" i="54"/>
  <c r="F11" i="61" s="1"/>
  <c r="G132" i="54"/>
  <c r="F10" i="61" s="1"/>
  <c r="G131" i="54"/>
  <c r="F9" i="61" s="1"/>
  <c r="E131" i="54"/>
  <c r="E132" i="54" s="1"/>
  <c r="E133" i="54" s="1"/>
  <c r="E134" i="54" s="1"/>
  <c r="E135" i="54" s="1"/>
  <c r="E136" i="54" s="1"/>
  <c r="E137" i="54" s="1"/>
  <c r="E138" i="54" s="1"/>
  <c r="E139" i="54" s="1"/>
  <c r="E140" i="54" s="1"/>
  <c r="E141" i="54" s="1"/>
  <c r="E142" i="54" s="1"/>
  <c r="H131" i="54"/>
  <c r="H132" i="54" s="1"/>
  <c r="D360" i="54"/>
  <c r="E360" i="54"/>
  <c r="F361" i="54"/>
  <c r="D362" i="54"/>
  <c r="E362" i="54"/>
  <c r="F363" i="54"/>
  <c r="F364" i="54"/>
  <c r="F365" i="54"/>
  <c r="F366" i="54"/>
  <c r="F367" i="54"/>
  <c r="F368" i="54"/>
  <c r="F369" i="54"/>
  <c r="D370" i="54"/>
  <c r="E370" i="54"/>
  <c r="F371" i="54"/>
  <c r="F372" i="54"/>
  <c r="F373" i="54"/>
  <c r="F374" i="54"/>
  <c r="F375" i="54"/>
  <c r="F376" i="54"/>
  <c r="F377" i="54"/>
  <c r="F378" i="54"/>
  <c r="F379" i="54"/>
  <c r="F380" i="54"/>
  <c r="F381" i="54"/>
  <c r="F382" i="54"/>
  <c r="D383" i="54"/>
  <c r="E383" i="54"/>
  <c r="F384" i="54"/>
  <c r="F360" i="54" l="1"/>
  <c r="I157" i="87"/>
  <c r="O12" i="104" s="1"/>
  <c r="H159" i="87"/>
  <c r="I132" i="54"/>
  <c r="G10" i="61" s="1"/>
  <c r="I131" i="54"/>
  <c r="G9" i="61" s="1"/>
  <c r="F383" i="54"/>
  <c r="F362" i="54"/>
  <c r="H133" i="54"/>
  <c r="E385" i="54"/>
  <c r="F370" i="54"/>
  <c r="D385" i="54"/>
  <c r="J13" i="82"/>
  <c r="J12" i="82"/>
  <c r="J11" i="82"/>
  <c r="J10" i="82"/>
  <c r="N14" i="104" l="1"/>
  <c r="I159" i="87"/>
  <c r="O14" i="104" s="1"/>
  <c r="I133" i="54"/>
  <c r="G11" i="61" s="1"/>
  <c r="H134" i="54"/>
  <c r="F385" i="54"/>
  <c r="J11" i="78"/>
  <c r="J10" i="78"/>
  <c r="J9" i="78"/>
  <c r="I11" i="78"/>
  <c r="G11" i="78"/>
  <c r="F11" i="78"/>
  <c r="H135" i="54" l="1"/>
  <c r="I134" i="54"/>
  <c r="G12" i="61" s="1"/>
  <c r="I438" i="74"/>
  <c r="I437" i="74"/>
  <c r="I436" i="74"/>
  <c r="I435" i="74"/>
  <c r="I434" i="74"/>
  <c r="I433" i="74"/>
  <c r="I432" i="74"/>
  <c r="I431" i="74"/>
  <c r="I430" i="74"/>
  <c r="I429" i="74"/>
  <c r="I428" i="74"/>
  <c r="I427" i="74"/>
  <c r="I426" i="74"/>
  <c r="I425" i="74"/>
  <c r="I424" i="74"/>
  <c r="I423" i="74"/>
  <c r="I422" i="74"/>
  <c r="I421" i="74"/>
  <c r="I420" i="74"/>
  <c r="I419" i="74"/>
  <c r="I418" i="74"/>
  <c r="I417" i="74"/>
  <c r="I416" i="74"/>
  <c r="I415" i="74"/>
  <c r="I414" i="74"/>
  <c r="I413" i="74"/>
  <c r="I412" i="74"/>
  <c r="I411" i="74"/>
  <c r="I410" i="74"/>
  <c r="I409" i="74"/>
  <c r="I408" i="74"/>
  <c r="I407" i="74"/>
  <c r="I406" i="74"/>
  <c r="I405" i="74"/>
  <c r="I404" i="74"/>
  <c r="I403" i="74"/>
  <c r="I402" i="74"/>
  <c r="I401" i="74"/>
  <c r="I400" i="74"/>
  <c r="I399" i="74"/>
  <c r="I398" i="74"/>
  <c r="I397" i="74"/>
  <c r="I396" i="74"/>
  <c r="I395" i="74"/>
  <c r="I394" i="74"/>
  <c r="I393" i="74"/>
  <c r="I392" i="74"/>
  <c r="I391" i="74"/>
  <c r="I390" i="74"/>
  <c r="I389" i="74"/>
  <c r="I388" i="74"/>
  <c r="I387" i="74"/>
  <c r="I386" i="74"/>
  <c r="I385" i="74"/>
  <c r="I384" i="74"/>
  <c r="I383" i="74"/>
  <c r="I382" i="74"/>
  <c r="I381" i="74"/>
  <c r="I380" i="74"/>
  <c r="I379" i="74"/>
  <c r="I378" i="74"/>
  <c r="H136" i="54" l="1"/>
  <c r="I135" i="54"/>
  <c r="G13" i="61" s="1"/>
  <c r="G356" i="74"/>
  <c r="G326" i="74"/>
  <c r="G295" i="74"/>
  <c r="G265" i="74"/>
  <c r="G234" i="74"/>
  <c r="G203" i="74"/>
  <c r="G173" i="74"/>
  <c r="G142" i="74"/>
  <c r="G112" i="74"/>
  <c r="G81" i="74"/>
  <c r="G53" i="74"/>
  <c r="G22" i="74"/>
  <c r="H137" i="54" l="1"/>
  <c r="I136" i="54"/>
  <c r="G14" i="61" s="1"/>
  <c r="E373" i="74"/>
  <c r="F372" i="74"/>
  <c r="F371" i="74"/>
  <c r="F370" i="74"/>
  <c r="F369" i="74"/>
  <c r="F368" i="74"/>
  <c r="F367" i="74"/>
  <c r="F366" i="74"/>
  <c r="F365" i="74"/>
  <c r="F364" i="74"/>
  <c r="F363" i="74"/>
  <c r="F362" i="74"/>
  <c r="F361" i="74"/>
  <c r="F360" i="74"/>
  <c r="F359" i="74"/>
  <c r="F358" i="74"/>
  <c r="F357" i="74"/>
  <c r="F356" i="74"/>
  <c r="F355" i="74"/>
  <c r="F354" i="74"/>
  <c r="F353" i="74"/>
  <c r="F352" i="74"/>
  <c r="F351" i="74"/>
  <c r="F350" i="74"/>
  <c r="F349" i="74"/>
  <c r="F348" i="74"/>
  <c r="F347" i="74"/>
  <c r="F346" i="74"/>
  <c r="F345" i="74"/>
  <c r="F344" i="74"/>
  <c r="F343" i="74"/>
  <c r="F342" i="74"/>
  <c r="F341" i="74"/>
  <c r="F340" i="74"/>
  <c r="F339" i="74"/>
  <c r="F338" i="74"/>
  <c r="F337" i="74"/>
  <c r="F336" i="74"/>
  <c r="F335" i="74"/>
  <c r="F334" i="74"/>
  <c r="F333" i="74"/>
  <c r="F332" i="74"/>
  <c r="F331" i="74"/>
  <c r="F330" i="74"/>
  <c r="F329" i="74"/>
  <c r="F328" i="74"/>
  <c r="F327" i="74"/>
  <c r="F326" i="74"/>
  <c r="F325" i="74"/>
  <c r="F324" i="74"/>
  <c r="F323" i="74"/>
  <c r="F322" i="74"/>
  <c r="F321" i="74"/>
  <c r="F320" i="74"/>
  <c r="F319" i="74"/>
  <c r="F318" i="74"/>
  <c r="F317" i="74"/>
  <c r="F316" i="74"/>
  <c r="F315" i="74"/>
  <c r="F314" i="74"/>
  <c r="F313" i="74"/>
  <c r="F312" i="74"/>
  <c r="F311" i="74"/>
  <c r="F310" i="74"/>
  <c r="F309" i="74"/>
  <c r="F308" i="74"/>
  <c r="F307" i="74"/>
  <c r="F306" i="74"/>
  <c r="F305" i="74"/>
  <c r="F304" i="74"/>
  <c r="F303" i="74"/>
  <c r="F302" i="74"/>
  <c r="F301" i="74"/>
  <c r="F300" i="74"/>
  <c r="F299" i="74"/>
  <c r="F298" i="74"/>
  <c r="F297" i="74"/>
  <c r="F296" i="74"/>
  <c r="F295" i="74"/>
  <c r="F294" i="74"/>
  <c r="F293" i="74"/>
  <c r="F292" i="74"/>
  <c r="F291" i="74"/>
  <c r="F290" i="74"/>
  <c r="F289" i="74"/>
  <c r="F288" i="74"/>
  <c r="F287" i="74"/>
  <c r="F286" i="74"/>
  <c r="F285" i="74"/>
  <c r="F284" i="74"/>
  <c r="F283" i="74"/>
  <c r="F282" i="74"/>
  <c r="F281" i="74"/>
  <c r="F280" i="74"/>
  <c r="F279" i="74"/>
  <c r="F278" i="74"/>
  <c r="F277" i="74"/>
  <c r="F276" i="74"/>
  <c r="F275" i="74"/>
  <c r="F274" i="74"/>
  <c r="F273" i="74"/>
  <c r="F272" i="74"/>
  <c r="F271" i="74"/>
  <c r="F270" i="74"/>
  <c r="F269" i="74"/>
  <c r="F268" i="74"/>
  <c r="F267" i="74"/>
  <c r="F266" i="74"/>
  <c r="F265" i="74"/>
  <c r="F264" i="74"/>
  <c r="F263" i="74"/>
  <c r="F262" i="74"/>
  <c r="F261" i="74"/>
  <c r="F260" i="74"/>
  <c r="F259" i="74"/>
  <c r="F258" i="74"/>
  <c r="F257" i="74"/>
  <c r="F256" i="74"/>
  <c r="F255" i="74"/>
  <c r="F254" i="74"/>
  <c r="F253" i="74"/>
  <c r="F252" i="74"/>
  <c r="F251" i="74"/>
  <c r="F250" i="74"/>
  <c r="F249" i="74"/>
  <c r="F248" i="74"/>
  <c r="F247" i="74"/>
  <c r="F246" i="74"/>
  <c r="F245" i="74"/>
  <c r="F244" i="74"/>
  <c r="F243" i="74"/>
  <c r="F242" i="74"/>
  <c r="F241" i="74"/>
  <c r="F240" i="74"/>
  <c r="F239" i="74"/>
  <c r="F238" i="74"/>
  <c r="F237" i="74"/>
  <c r="F236" i="74"/>
  <c r="F235" i="74"/>
  <c r="F234" i="74"/>
  <c r="F233" i="74"/>
  <c r="F232" i="74"/>
  <c r="F231" i="74"/>
  <c r="F230" i="74"/>
  <c r="F229" i="74"/>
  <c r="F228" i="74"/>
  <c r="F227" i="74"/>
  <c r="F226" i="74"/>
  <c r="F225" i="74"/>
  <c r="F224" i="74"/>
  <c r="F223" i="74"/>
  <c r="F222" i="74"/>
  <c r="F221" i="74"/>
  <c r="F220" i="74"/>
  <c r="F219" i="74"/>
  <c r="F218" i="74"/>
  <c r="F217" i="74"/>
  <c r="F216" i="74"/>
  <c r="F215" i="74"/>
  <c r="F214" i="74"/>
  <c r="F213" i="74"/>
  <c r="F212" i="74"/>
  <c r="F211" i="74"/>
  <c r="F210" i="74"/>
  <c r="F209" i="74"/>
  <c r="F208" i="74"/>
  <c r="F207" i="74"/>
  <c r="F206" i="74"/>
  <c r="F205" i="74"/>
  <c r="F204" i="74"/>
  <c r="F203" i="74"/>
  <c r="F202" i="74"/>
  <c r="F201" i="74"/>
  <c r="F200" i="74"/>
  <c r="F199" i="74"/>
  <c r="F198" i="74"/>
  <c r="F197" i="74"/>
  <c r="F196" i="74"/>
  <c r="F195" i="74"/>
  <c r="F194" i="74"/>
  <c r="F193" i="74"/>
  <c r="F192" i="74"/>
  <c r="F191" i="74"/>
  <c r="F190" i="74"/>
  <c r="F189" i="74"/>
  <c r="F188" i="74"/>
  <c r="F187" i="74"/>
  <c r="F186" i="74"/>
  <c r="F185" i="74"/>
  <c r="F184" i="74"/>
  <c r="F183" i="74"/>
  <c r="F182" i="74"/>
  <c r="F181" i="74"/>
  <c r="F180" i="74"/>
  <c r="F179" i="74"/>
  <c r="F178" i="74"/>
  <c r="F177" i="74"/>
  <c r="F176" i="74"/>
  <c r="F175" i="74"/>
  <c r="F174" i="74"/>
  <c r="F173" i="74"/>
  <c r="F172" i="74"/>
  <c r="F171" i="74"/>
  <c r="F170" i="74"/>
  <c r="F169" i="74"/>
  <c r="F168" i="74"/>
  <c r="F167" i="74"/>
  <c r="F166" i="74"/>
  <c r="F165" i="74"/>
  <c r="F164" i="74"/>
  <c r="F163" i="74"/>
  <c r="F162" i="74"/>
  <c r="F161" i="74"/>
  <c r="F160" i="74"/>
  <c r="F159" i="74"/>
  <c r="F158" i="74"/>
  <c r="F157" i="74"/>
  <c r="F156" i="74"/>
  <c r="F155" i="74"/>
  <c r="F154" i="74"/>
  <c r="F153" i="74"/>
  <c r="F152" i="74"/>
  <c r="F151" i="74"/>
  <c r="F150" i="74"/>
  <c r="F149" i="74"/>
  <c r="F148" i="74"/>
  <c r="F147" i="74"/>
  <c r="F146" i="74"/>
  <c r="F145" i="74"/>
  <c r="F144" i="74"/>
  <c r="F143" i="74"/>
  <c r="F142" i="74"/>
  <c r="F141" i="74"/>
  <c r="F140" i="74"/>
  <c r="F139" i="74"/>
  <c r="F138" i="74"/>
  <c r="F137" i="74"/>
  <c r="F136" i="74"/>
  <c r="F135" i="74"/>
  <c r="F134" i="74"/>
  <c r="F133" i="74"/>
  <c r="F132" i="74"/>
  <c r="F131" i="74"/>
  <c r="F130" i="74"/>
  <c r="F129" i="74"/>
  <c r="F128" i="74"/>
  <c r="F127" i="74"/>
  <c r="F126" i="74"/>
  <c r="F125" i="74"/>
  <c r="F124" i="74"/>
  <c r="F123" i="74"/>
  <c r="F122" i="74"/>
  <c r="F121" i="74"/>
  <c r="F120" i="74"/>
  <c r="F119" i="74"/>
  <c r="F118" i="74"/>
  <c r="F117" i="74"/>
  <c r="F116" i="74"/>
  <c r="F115" i="74"/>
  <c r="F114" i="74"/>
  <c r="F113" i="74"/>
  <c r="F112" i="74"/>
  <c r="F111" i="74"/>
  <c r="F110" i="74"/>
  <c r="F109" i="74"/>
  <c r="F108" i="74"/>
  <c r="F107" i="74"/>
  <c r="F106" i="74"/>
  <c r="F105" i="74"/>
  <c r="F104" i="74"/>
  <c r="F103" i="74"/>
  <c r="F102" i="74"/>
  <c r="F101" i="74"/>
  <c r="F100" i="74"/>
  <c r="F99" i="74"/>
  <c r="F98" i="74"/>
  <c r="F97" i="74"/>
  <c r="F96" i="74"/>
  <c r="F95" i="74"/>
  <c r="F94" i="74"/>
  <c r="F93" i="74"/>
  <c r="F92" i="74"/>
  <c r="F91" i="74"/>
  <c r="F90" i="74"/>
  <c r="F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H138" i="54" l="1"/>
  <c r="I137" i="54"/>
  <c r="G15" i="61" s="1"/>
  <c r="F373" i="74"/>
  <c r="H139" i="54" l="1"/>
  <c r="I138" i="54"/>
  <c r="G16" i="61" s="1"/>
  <c r="J31" i="73"/>
  <c r="I31" i="73"/>
  <c r="H31" i="73"/>
  <c r="G31" i="73"/>
  <c r="F31" i="73"/>
  <c r="J30" i="73"/>
  <c r="I30" i="73"/>
  <c r="H30" i="73"/>
  <c r="G30" i="73"/>
  <c r="J28" i="73"/>
  <c r="I28" i="73"/>
  <c r="H28" i="73"/>
  <c r="G28" i="73"/>
  <c r="F28" i="73"/>
  <c r="J27" i="73"/>
  <c r="I27" i="73"/>
  <c r="H27" i="73"/>
  <c r="F27" i="73"/>
  <c r="H29" i="73" l="1"/>
  <c r="H9" i="81" s="1"/>
  <c r="J32" i="73"/>
  <c r="J10" i="81" s="1"/>
  <c r="F21" i="73"/>
  <c r="I32" i="73"/>
  <c r="I10" i="81" s="1"/>
  <c r="H140" i="54"/>
  <c r="I139" i="54"/>
  <c r="G17" i="61" s="1"/>
  <c r="F29" i="73"/>
  <c r="F9" i="81" s="1"/>
  <c r="J29" i="73"/>
  <c r="J9" i="81" s="1"/>
  <c r="H32" i="73"/>
  <c r="H10" i="81" s="1"/>
  <c r="F17" i="73"/>
  <c r="J17" i="73"/>
  <c r="F30" i="73"/>
  <c r="F32" i="73" s="1"/>
  <c r="G9" i="73"/>
  <c r="G27" i="73"/>
  <c r="G29" i="73" s="1"/>
  <c r="I29" i="73"/>
  <c r="G32" i="73"/>
  <c r="G10" i="81" s="1"/>
  <c r="I13" i="73"/>
  <c r="H9" i="73"/>
  <c r="F13" i="73"/>
  <c r="J13" i="73"/>
  <c r="G17" i="73"/>
  <c r="H13" i="73"/>
  <c r="I17" i="73"/>
  <c r="G21" i="73"/>
  <c r="J21" i="73"/>
  <c r="I9" i="73"/>
  <c r="I21" i="73"/>
  <c r="F9" i="73"/>
  <c r="J9" i="73"/>
  <c r="G13" i="73"/>
  <c r="H17" i="73"/>
  <c r="H21" i="73"/>
  <c r="J33" i="73" l="1"/>
  <c r="H141" i="54"/>
  <c r="I140" i="54"/>
  <c r="G18" i="61" s="1"/>
  <c r="F10" i="81"/>
  <c r="F33" i="73"/>
  <c r="H33" i="73"/>
  <c r="F23" i="73"/>
  <c r="F50" i="73" s="1"/>
  <c r="H23" i="73"/>
  <c r="G9" i="81"/>
  <c r="G33" i="73"/>
  <c r="I33" i="73"/>
  <c r="I9" i="81"/>
  <c r="J23" i="73"/>
  <c r="G23" i="73"/>
  <c r="G50" i="73" s="1"/>
  <c r="I23" i="73"/>
  <c r="I50" i="73" s="1"/>
  <c r="Y22" i="54"/>
  <c r="Y43" i="54"/>
  <c r="J50" i="73" l="1"/>
  <c r="H50" i="73"/>
  <c r="H142" i="54"/>
  <c r="I141" i="54"/>
  <c r="G19" i="61" s="1"/>
  <c r="D331" i="54"/>
  <c r="D341" i="54" s="1"/>
  <c r="H331" i="54"/>
  <c r="F331" i="54"/>
  <c r="F350" i="54" s="1"/>
  <c r="E331" i="54"/>
  <c r="E350" i="54" s="1"/>
  <c r="G331" i="54"/>
  <c r="G335" i="54" s="1"/>
  <c r="G101" i="87" s="1"/>
  <c r="G159" i="87" s="1"/>
  <c r="I331" i="54" l="1"/>
  <c r="G24" i="101" s="1"/>
  <c r="I142" i="54"/>
  <c r="G20" i="61" s="1"/>
  <c r="H335" i="54"/>
  <c r="H339" i="54"/>
  <c r="H343" i="54"/>
  <c r="H347" i="54"/>
  <c r="H350" i="54"/>
  <c r="H346" i="54"/>
  <c r="H342" i="54"/>
  <c r="H351" i="54"/>
  <c r="H345" i="54"/>
  <c r="H341" i="54"/>
  <c r="H348" i="54"/>
  <c r="H344" i="54"/>
  <c r="H340" i="54"/>
  <c r="G346" i="54"/>
  <c r="E351" i="54"/>
  <c r="E346" i="54"/>
  <c r="G342" i="54"/>
  <c r="E342" i="54"/>
  <c r="G351" i="54"/>
  <c r="D348" i="54"/>
  <c r="F346" i="54"/>
  <c r="D339" i="54"/>
  <c r="D347" i="54"/>
  <c r="D343" i="54"/>
  <c r="E339" i="54"/>
  <c r="E345" i="54"/>
  <c r="E341" i="54"/>
  <c r="F339" i="54"/>
  <c r="F345" i="54"/>
  <c r="F341" i="54"/>
  <c r="G339" i="54"/>
  <c r="G345" i="54"/>
  <c r="G341" i="54"/>
  <c r="D340" i="54"/>
  <c r="F342" i="54"/>
  <c r="F351" i="54"/>
  <c r="D335" i="54"/>
  <c r="D101" i="87" s="1"/>
  <c r="D159" i="87" s="1"/>
  <c r="D169" i="87" s="1"/>
  <c r="E335" i="54"/>
  <c r="E101" i="87" s="1"/>
  <c r="E159" i="87" s="1"/>
  <c r="E169" i="87" s="1"/>
  <c r="D351" i="54"/>
  <c r="D346" i="54"/>
  <c r="D342" i="54"/>
  <c r="E348" i="54"/>
  <c r="E344" i="54"/>
  <c r="E340" i="54"/>
  <c r="F348" i="54"/>
  <c r="F344" i="54"/>
  <c r="F340" i="54"/>
  <c r="G348" i="54"/>
  <c r="G344" i="54"/>
  <c r="G340" i="54"/>
  <c r="D344" i="54"/>
  <c r="F335" i="54"/>
  <c r="F101" i="87" s="1"/>
  <c r="F159" i="87" s="1"/>
  <c r="F169" i="87" s="1"/>
  <c r="D350" i="54"/>
  <c r="D345" i="54"/>
  <c r="E347" i="54"/>
  <c r="E343" i="54"/>
  <c r="F347" i="54"/>
  <c r="F343" i="54"/>
  <c r="G347" i="54"/>
  <c r="G343" i="54"/>
  <c r="G350" i="54"/>
  <c r="I335" i="54" l="1"/>
  <c r="G28" i="101" s="1"/>
  <c r="H101" i="87"/>
  <c r="H349" i="54"/>
  <c r="H353" i="54" s="1"/>
  <c r="H352" i="54"/>
  <c r="E352" i="54"/>
  <c r="F352" i="54"/>
  <c r="F349" i="54"/>
  <c r="F353" i="54" s="1"/>
  <c r="G349" i="54"/>
  <c r="G353" i="54" s="1"/>
  <c r="G352" i="54"/>
  <c r="D352" i="54"/>
  <c r="D349" i="54"/>
  <c r="D353" i="54" s="1"/>
  <c r="E349" i="54"/>
  <c r="E353" i="54" s="1"/>
  <c r="E354" i="54" l="1"/>
  <c r="H354" i="54"/>
  <c r="F354" i="54"/>
  <c r="D354" i="54"/>
  <c r="G354" i="54"/>
  <c r="G290" i="54" l="1"/>
  <c r="F291" i="54"/>
  <c r="F292" i="54"/>
  <c r="F293" i="54"/>
  <c r="F295" i="54"/>
  <c r="F296" i="54"/>
  <c r="F297" i="54"/>
  <c r="F298" i="54"/>
  <c r="F299" i="54"/>
  <c r="F300" i="54"/>
  <c r="F301" i="54"/>
  <c r="F302" i="54"/>
  <c r="F290" i="54"/>
  <c r="E305" i="54"/>
  <c r="G291" i="54"/>
  <c r="G292" i="54"/>
  <c r="G293" i="54"/>
  <c r="G294" i="54"/>
  <c r="G295" i="54"/>
  <c r="G296" i="54"/>
  <c r="G297" i="54"/>
  <c r="G298" i="54"/>
  <c r="G299" i="54"/>
  <c r="G300" i="54"/>
  <c r="G301" i="54"/>
  <c r="F294" i="54" l="1"/>
  <c r="E399" i="87" l="1"/>
  <c r="H127" i="87"/>
  <c r="W73" i="54"/>
  <c r="Y73" i="54"/>
  <c r="X73" i="54"/>
  <c r="H17" i="104" l="1"/>
  <c r="H162" i="87"/>
  <c r="I127" i="87"/>
  <c r="I17" i="104" s="1"/>
  <c r="H16" i="102"/>
  <c r="J16" i="102"/>
  <c r="D296" i="54"/>
  <c r="D300" i="54"/>
  <c r="D291" i="54"/>
  <c r="D302" i="54"/>
  <c r="D299" i="54"/>
  <c r="D297" i="54"/>
  <c r="D292" i="54"/>
  <c r="D298" i="54"/>
  <c r="D293" i="54"/>
  <c r="N17" i="104" l="1"/>
  <c r="I162" i="87"/>
  <c r="O17" i="104" s="1"/>
  <c r="D294" i="54"/>
  <c r="F305" i="54" l="1"/>
  <c r="K20" i="52" l="1"/>
  <c r="M28" i="52"/>
  <c r="N28" i="52"/>
  <c r="M29" i="52"/>
  <c r="N29" i="52"/>
  <c r="M30" i="52"/>
  <c r="N30" i="52"/>
  <c r="M31" i="52"/>
  <c r="N31" i="52"/>
  <c r="M32" i="52"/>
  <c r="N32" i="52"/>
  <c r="M33" i="52"/>
  <c r="N33" i="52"/>
  <c r="M34" i="52"/>
  <c r="N34" i="52"/>
  <c r="M35" i="52"/>
  <c r="N35" i="52"/>
  <c r="M36" i="52"/>
  <c r="N36" i="52"/>
  <c r="M37" i="52"/>
  <c r="N37" i="52"/>
  <c r="M38" i="52"/>
  <c r="N38" i="52"/>
  <c r="M39" i="52"/>
  <c r="N39" i="52"/>
  <c r="M40" i="52"/>
  <c r="N40" i="52"/>
  <c r="L28" i="52"/>
  <c r="L29" i="52"/>
  <c r="L30" i="52"/>
  <c r="L31" i="52"/>
  <c r="L32" i="52"/>
  <c r="L33" i="52"/>
  <c r="L34" i="52"/>
  <c r="L35" i="52"/>
  <c r="L36" i="52"/>
  <c r="L37" i="52"/>
  <c r="L38" i="52"/>
  <c r="L39" i="52"/>
  <c r="L40" i="52"/>
  <c r="K28" i="52"/>
  <c r="K29" i="52"/>
  <c r="K30" i="52"/>
  <c r="K31" i="52"/>
  <c r="K32" i="52"/>
  <c r="K33" i="52"/>
  <c r="K34" i="52"/>
  <c r="K36" i="52"/>
  <c r="K37" i="52"/>
  <c r="K38" i="52"/>
  <c r="J28" i="52"/>
  <c r="J29" i="52"/>
  <c r="J30" i="52"/>
  <c r="J31" i="52"/>
  <c r="J32" i="52"/>
  <c r="J33" i="52"/>
  <c r="J34" i="52"/>
  <c r="J35" i="52"/>
  <c r="J36" i="52"/>
  <c r="J37" i="52"/>
  <c r="J38" i="52"/>
  <c r="J39" i="52"/>
  <c r="J40" i="52"/>
  <c r="I28" i="52"/>
  <c r="I29" i="52"/>
  <c r="I30" i="52"/>
  <c r="I31" i="52"/>
  <c r="I32" i="52"/>
  <c r="I33" i="52"/>
  <c r="I34" i="52"/>
  <c r="I35" i="52"/>
  <c r="I36" i="52"/>
  <c r="I37" i="52"/>
  <c r="I38" i="52"/>
  <c r="I39" i="52"/>
  <c r="I40" i="52"/>
  <c r="H28" i="52"/>
  <c r="H29" i="52"/>
  <c r="H30" i="52"/>
  <c r="H31" i="52"/>
  <c r="H32" i="52"/>
  <c r="H33" i="52"/>
  <c r="H34" i="52"/>
  <c r="H35" i="52"/>
  <c r="H36" i="52"/>
  <c r="H37" i="52"/>
  <c r="H38" i="52"/>
  <c r="H39" i="52"/>
  <c r="H40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N9" i="52"/>
  <c r="N10" i="52"/>
  <c r="N11" i="52"/>
  <c r="N12" i="52"/>
  <c r="N13" i="52"/>
  <c r="N14" i="52"/>
  <c r="N15" i="52"/>
  <c r="N16" i="52"/>
  <c r="N17" i="52"/>
  <c r="N18" i="52"/>
  <c r="N19" i="52"/>
  <c r="N20" i="52"/>
  <c r="N21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L9" i="52"/>
  <c r="L10" i="52"/>
  <c r="L11" i="52"/>
  <c r="L12" i="52"/>
  <c r="L13" i="52"/>
  <c r="L14" i="52"/>
  <c r="L15" i="52"/>
  <c r="L16" i="52"/>
  <c r="L17" i="52"/>
  <c r="L18" i="52"/>
  <c r="L19" i="52"/>
  <c r="L20" i="52"/>
  <c r="L21" i="52"/>
  <c r="K9" i="52"/>
  <c r="K10" i="52"/>
  <c r="K11" i="52"/>
  <c r="K12" i="52"/>
  <c r="K14" i="52"/>
  <c r="K17" i="52"/>
  <c r="K19" i="52"/>
  <c r="K21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I9" i="52"/>
  <c r="I10" i="52"/>
  <c r="H104" i="87"/>
  <c r="I12" i="52"/>
  <c r="H108" i="87"/>
  <c r="I14" i="52"/>
  <c r="H110" i="87"/>
  <c r="H111" i="87"/>
  <c r="I17" i="52"/>
  <c r="H112" i="87"/>
  <c r="H113" i="87"/>
  <c r="H114" i="87"/>
  <c r="H115" i="87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F14" i="52"/>
  <c r="F12" i="52"/>
  <c r="G146" i="87"/>
  <c r="G147" i="87"/>
  <c r="G148" i="87"/>
  <c r="G120" i="87"/>
  <c r="G128" i="87"/>
  <c r="G129" i="87"/>
  <c r="G130" i="87"/>
  <c r="G115" i="87"/>
  <c r="G114" i="87"/>
  <c r="G113" i="87"/>
  <c r="G166" i="87" s="1"/>
  <c r="G112" i="87"/>
  <c r="G165" i="87" s="1"/>
  <c r="G111" i="87"/>
  <c r="G164" i="87" s="1"/>
  <c r="G110" i="87"/>
  <c r="G108" i="87"/>
  <c r="G160" i="87" s="1"/>
  <c r="G104" i="87"/>
  <c r="M8" i="52" l="1"/>
  <c r="K27" i="52"/>
  <c r="G8" i="52"/>
  <c r="I8" i="52"/>
  <c r="N27" i="52"/>
  <c r="O8" i="52"/>
  <c r="G27" i="52"/>
  <c r="I27" i="52"/>
  <c r="L8" i="52"/>
  <c r="N8" i="52"/>
  <c r="F27" i="52"/>
  <c r="H27" i="52"/>
  <c r="J27" i="52"/>
  <c r="L27" i="52"/>
  <c r="M27" i="52"/>
  <c r="H8" i="52"/>
  <c r="J8" i="52"/>
  <c r="G168" i="87"/>
  <c r="G167" i="87"/>
  <c r="F15" i="104"/>
  <c r="I108" i="87"/>
  <c r="G15" i="104" s="1"/>
  <c r="K39" i="52"/>
  <c r="H147" i="87"/>
  <c r="E401" i="87"/>
  <c r="H129" i="87"/>
  <c r="E398" i="87"/>
  <c r="H120" i="87"/>
  <c r="K35" i="52"/>
  <c r="H146" i="87"/>
  <c r="F22" i="104"/>
  <c r="I114" i="87"/>
  <c r="G22" i="104" s="1"/>
  <c r="E400" i="87"/>
  <c r="H128" i="87"/>
  <c r="G155" i="87"/>
  <c r="G116" i="87"/>
  <c r="G163" i="87"/>
  <c r="I113" i="87"/>
  <c r="G21" i="104" s="1"/>
  <c r="F21" i="104"/>
  <c r="H166" i="87"/>
  <c r="F18" i="104"/>
  <c r="I110" i="87"/>
  <c r="G18" i="104" s="1"/>
  <c r="I104" i="87"/>
  <c r="G10" i="104" s="1"/>
  <c r="F10" i="104"/>
  <c r="H116" i="87"/>
  <c r="H155" i="87"/>
  <c r="E402" i="87"/>
  <c r="H130" i="87"/>
  <c r="H165" i="87" s="1"/>
  <c r="F23" i="104"/>
  <c r="I115" i="87"/>
  <c r="G23" i="104" s="1"/>
  <c r="F19" i="104"/>
  <c r="I111" i="87"/>
  <c r="G19" i="104" s="1"/>
  <c r="G154" i="87"/>
  <c r="G132" i="87"/>
  <c r="G150" i="87"/>
  <c r="F20" i="104"/>
  <c r="I112" i="87"/>
  <c r="G20" i="104" s="1"/>
  <c r="E396" i="87"/>
  <c r="H125" i="87"/>
  <c r="H160" i="87" s="1"/>
  <c r="K40" i="52"/>
  <c r="H148" i="87"/>
  <c r="H168" i="87" s="1"/>
  <c r="K15" i="52"/>
  <c r="K16" i="52"/>
  <c r="K8" i="52"/>
  <c r="K18" i="52"/>
  <c r="K13" i="52"/>
  <c r="I13" i="52"/>
  <c r="E349" i="87"/>
  <c r="I21" i="52"/>
  <c r="E353" i="87"/>
  <c r="I20" i="52"/>
  <c r="E352" i="87"/>
  <c r="I16" i="52"/>
  <c r="E355" i="87"/>
  <c r="I19" i="52"/>
  <c r="E351" i="87"/>
  <c r="I15" i="52"/>
  <c r="E354" i="87"/>
  <c r="I11" i="52"/>
  <c r="E346" i="87"/>
  <c r="I18" i="52"/>
  <c r="E356" i="87"/>
  <c r="F10" i="52"/>
  <c r="E241" i="54"/>
  <c r="F18" i="52"/>
  <c r="E251" i="54"/>
  <c r="F11" i="52"/>
  <c r="E242" i="54"/>
  <c r="F15" i="52"/>
  <c r="E247" i="54"/>
  <c r="F19" i="52"/>
  <c r="E244" i="54"/>
  <c r="F8" i="52"/>
  <c r="E248" i="54"/>
  <c r="F16" i="52"/>
  <c r="E249" i="54"/>
  <c r="F20" i="52"/>
  <c r="E245" i="54"/>
  <c r="F9" i="52"/>
  <c r="E240" i="54"/>
  <c r="F13" i="52"/>
  <c r="E243" i="54"/>
  <c r="F17" i="52"/>
  <c r="E250" i="54"/>
  <c r="F21" i="52"/>
  <c r="E246" i="54"/>
  <c r="I45" i="51"/>
  <c r="J45" i="51"/>
  <c r="K45" i="51"/>
  <c r="L45" i="51"/>
  <c r="M45" i="51"/>
  <c r="N45" i="51"/>
  <c r="K46" i="51"/>
  <c r="F46" i="51"/>
  <c r="F45" i="51"/>
  <c r="K30" i="51"/>
  <c r="I31" i="51"/>
  <c r="J31" i="51"/>
  <c r="K31" i="51"/>
  <c r="L31" i="51"/>
  <c r="M31" i="51"/>
  <c r="N31" i="51"/>
  <c r="H32" i="51"/>
  <c r="I32" i="51"/>
  <c r="J32" i="51"/>
  <c r="K32" i="51"/>
  <c r="L32" i="51"/>
  <c r="M32" i="51"/>
  <c r="N32" i="51"/>
  <c r="G33" i="51"/>
  <c r="I33" i="51"/>
  <c r="J33" i="51"/>
  <c r="K33" i="51"/>
  <c r="L33" i="51"/>
  <c r="M33" i="51"/>
  <c r="N33" i="51"/>
  <c r="G34" i="51"/>
  <c r="H34" i="51"/>
  <c r="I34" i="51"/>
  <c r="J34" i="51"/>
  <c r="L34" i="51"/>
  <c r="M34" i="51"/>
  <c r="N34" i="51"/>
  <c r="G35" i="51"/>
  <c r="J35" i="51"/>
  <c r="K35" i="51"/>
  <c r="G36" i="51"/>
  <c r="H36" i="51"/>
  <c r="I36" i="51"/>
  <c r="J36" i="51"/>
  <c r="K36" i="51"/>
  <c r="L36" i="51"/>
  <c r="M36" i="51"/>
  <c r="N36" i="51"/>
  <c r="G37" i="51"/>
  <c r="J37" i="51"/>
  <c r="K37" i="51"/>
  <c r="H39" i="51"/>
  <c r="I39" i="51"/>
  <c r="J39" i="51"/>
  <c r="K39" i="51"/>
  <c r="M39" i="51"/>
  <c r="N39" i="51"/>
  <c r="K40" i="51"/>
  <c r="K41" i="51"/>
  <c r="G42" i="51"/>
  <c r="I42" i="51"/>
  <c r="L42" i="51"/>
  <c r="M42" i="51"/>
  <c r="G43" i="51"/>
  <c r="I43" i="51"/>
  <c r="L43" i="51"/>
  <c r="M43" i="51"/>
  <c r="F31" i="51"/>
  <c r="F32" i="51"/>
  <c r="F33" i="51"/>
  <c r="F35" i="51"/>
  <c r="F36" i="51"/>
  <c r="F37" i="51"/>
  <c r="F38" i="51"/>
  <c r="F39" i="51"/>
  <c r="F40" i="51"/>
  <c r="F41" i="51"/>
  <c r="F42" i="51"/>
  <c r="F43" i="51"/>
  <c r="F30" i="51"/>
  <c r="I23" i="51"/>
  <c r="K23" i="51"/>
  <c r="K24" i="51"/>
  <c r="I8" i="51"/>
  <c r="I9" i="51"/>
  <c r="K9" i="51"/>
  <c r="G10" i="51"/>
  <c r="H10" i="51"/>
  <c r="I10" i="51"/>
  <c r="K10" i="51"/>
  <c r="L10" i="51"/>
  <c r="N10" i="51"/>
  <c r="J11" i="51"/>
  <c r="K11" i="51"/>
  <c r="L11" i="51"/>
  <c r="M11" i="51"/>
  <c r="O11" i="51"/>
  <c r="G12" i="51"/>
  <c r="H12" i="51"/>
  <c r="J12" i="51"/>
  <c r="L12" i="51"/>
  <c r="M12" i="51"/>
  <c r="N12" i="51"/>
  <c r="O12" i="51"/>
  <c r="L13" i="51"/>
  <c r="N13" i="51"/>
  <c r="G14" i="51"/>
  <c r="H14" i="51"/>
  <c r="I14" i="51"/>
  <c r="J14" i="51"/>
  <c r="L14" i="51"/>
  <c r="M14" i="51"/>
  <c r="N14" i="51"/>
  <c r="O14" i="51"/>
  <c r="G17" i="51"/>
  <c r="H17" i="51"/>
  <c r="I17" i="51"/>
  <c r="K17" i="51"/>
  <c r="L17" i="51"/>
  <c r="N17" i="51"/>
  <c r="K19" i="51"/>
  <c r="K20" i="51"/>
  <c r="M20" i="51"/>
  <c r="N20" i="51"/>
  <c r="G21" i="51"/>
  <c r="H21" i="51"/>
  <c r="J21" i="51"/>
  <c r="K21" i="51"/>
  <c r="M21" i="51"/>
  <c r="N21" i="51"/>
  <c r="F10" i="51"/>
  <c r="F12" i="51"/>
  <c r="F14" i="51"/>
  <c r="F21" i="51"/>
  <c r="N46" i="51"/>
  <c r="N43" i="51"/>
  <c r="N42" i="51"/>
  <c r="N41" i="51"/>
  <c r="N40" i="51"/>
  <c r="N38" i="51"/>
  <c r="N37" i="51"/>
  <c r="N35" i="51"/>
  <c r="N30" i="51"/>
  <c r="M46" i="51"/>
  <c r="M41" i="51"/>
  <c r="M40" i="51"/>
  <c r="M38" i="51"/>
  <c r="M37" i="51"/>
  <c r="M35" i="51"/>
  <c r="M30" i="51"/>
  <c r="L46" i="51"/>
  <c r="L41" i="51"/>
  <c r="L40" i="51"/>
  <c r="L39" i="51"/>
  <c r="L38" i="51"/>
  <c r="L37" i="51"/>
  <c r="L35" i="51"/>
  <c r="L30" i="51"/>
  <c r="K43" i="51"/>
  <c r="K42" i="51"/>
  <c r="K38" i="51"/>
  <c r="K34" i="51"/>
  <c r="J46" i="51"/>
  <c r="J43" i="51"/>
  <c r="J42" i="51"/>
  <c r="J41" i="51"/>
  <c r="J40" i="51"/>
  <c r="J38" i="51"/>
  <c r="J30" i="51"/>
  <c r="I46" i="51"/>
  <c r="I41" i="51"/>
  <c r="I40" i="51"/>
  <c r="I38" i="51"/>
  <c r="I37" i="51"/>
  <c r="I35" i="51"/>
  <c r="I30" i="51"/>
  <c r="H46" i="51"/>
  <c r="H45" i="51"/>
  <c r="H43" i="51"/>
  <c r="H42" i="51"/>
  <c r="H41" i="51"/>
  <c r="H40" i="51"/>
  <c r="H38" i="51"/>
  <c r="H37" i="51"/>
  <c r="H35" i="51"/>
  <c r="H33" i="51"/>
  <c r="H31" i="51"/>
  <c r="H30" i="51"/>
  <c r="G46" i="51"/>
  <c r="G45" i="51"/>
  <c r="G41" i="51"/>
  <c r="G40" i="51"/>
  <c r="G39" i="51"/>
  <c r="G38" i="51"/>
  <c r="G32" i="51"/>
  <c r="G31" i="51"/>
  <c r="G30" i="51"/>
  <c r="F34" i="51"/>
  <c r="O24" i="51"/>
  <c r="O23" i="51"/>
  <c r="O21" i="51"/>
  <c r="O20" i="51"/>
  <c r="O19" i="51"/>
  <c r="O18" i="51"/>
  <c r="O17" i="51"/>
  <c r="O16" i="51"/>
  <c r="O15" i="51"/>
  <c r="O13" i="51"/>
  <c r="O10" i="51"/>
  <c r="O9" i="51"/>
  <c r="O8" i="51"/>
  <c r="N24" i="51"/>
  <c r="N23" i="51"/>
  <c r="N19" i="51"/>
  <c r="N18" i="51"/>
  <c r="N16" i="51"/>
  <c r="N15" i="51"/>
  <c r="N11" i="51"/>
  <c r="N9" i="51"/>
  <c r="N8" i="51"/>
  <c r="M24" i="51"/>
  <c r="M23" i="51"/>
  <c r="M19" i="51"/>
  <c r="M18" i="51"/>
  <c r="M17" i="51"/>
  <c r="M16" i="51"/>
  <c r="M15" i="51"/>
  <c r="M13" i="51"/>
  <c r="M10" i="51"/>
  <c r="M9" i="51"/>
  <c r="M8" i="51"/>
  <c r="L24" i="51"/>
  <c r="L23" i="51"/>
  <c r="L20" i="51"/>
  <c r="L19" i="51"/>
  <c r="L18" i="51"/>
  <c r="L16" i="51"/>
  <c r="L15" i="51"/>
  <c r="L9" i="51"/>
  <c r="L8" i="51"/>
  <c r="K18" i="51"/>
  <c r="K16" i="51"/>
  <c r="K15" i="51"/>
  <c r="K14" i="51"/>
  <c r="K13" i="51"/>
  <c r="K12" i="51"/>
  <c r="K8" i="51"/>
  <c r="J24" i="51"/>
  <c r="J23" i="51"/>
  <c r="J20" i="51"/>
  <c r="J19" i="51"/>
  <c r="J18" i="51"/>
  <c r="J17" i="51"/>
  <c r="J16" i="51"/>
  <c r="J15" i="51"/>
  <c r="J13" i="51"/>
  <c r="J9" i="51"/>
  <c r="J8" i="51"/>
  <c r="I21" i="51"/>
  <c r="I20" i="51"/>
  <c r="I19" i="51"/>
  <c r="I18" i="51"/>
  <c r="I16" i="51"/>
  <c r="I15" i="51"/>
  <c r="I13" i="51"/>
  <c r="I12" i="51"/>
  <c r="I11" i="51"/>
  <c r="H24" i="51"/>
  <c r="H23" i="51"/>
  <c r="H20" i="51"/>
  <c r="H19" i="51"/>
  <c r="H18" i="51"/>
  <c r="H16" i="51"/>
  <c r="H15" i="51"/>
  <c r="H13" i="51"/>
  <c r="H11" i="51"/>
  <c r="H9" i="51"/>
  <c r="H8" i="51"/>
  <c r="G24" i="51"/>
  <c r="G23" i="51"/>
  <c r="G20" i="51"/>
  <c r="G19" i="51"/>
  <c r="G18" i="51"/>
  <c r="G16" i="51"/>
  <c r="G15" i="51"/>
  <c r="G13" i="51"/>
  <c r="G11" i="51"/>
  <c r="G9" i="51"/>
  <c r="G8" i="51"/>
  <c r="Y23" i="54"/>
  <c r="F24" i="104" l="1"/>
  <c r="H164" i="87"/>
  <c r="N19" i="104" s="1"/>
  <c r="N20" i="104"/>
  <c r="I165" i="87"/>
  <c r="O20" i="104" s="1"/>
  <c r="N15" i="104"/>
  <c r="I160" i="87"/>
  <c r="O15" i="104" s="1"/>
  <c r="N23" i="104"/>
  <c r="I168" i="87"/>
  <c r="O23" i="104" s="1"/>
  <c r="E403" i="87"/>
  <c r="F396" i="87" s="1"/>
  <c r="I116" i="87"/>
  <c r="G24" i="104" s="1"/>
  <c r="H18" i="104"/>
  <c r="I128" i="87"/>
  <c r="I18" i="104" s="1"/>
  <c r="L23" i="104"/>
  <c r="I148" i="87"/>
  <c r="M23" i="104" s="1"/>
  <c r="L19" i="104"/>
  <c r="H150" i="87"/>
  <c r="I150" i="87" s="1"/>
  <c r="M24" i="104" s="1"/>
  <c r="I146" i="87"/>
  <c r="M19" i="104" s="1"/>
  <c r="G169" i="87"/>
  <c r="N21" i="104"/>
  <c r="I166" i="87"/>
  <c r="O21" i="104" s="1"/>
  <c r="H167" i="87"/>
  <c r="H20" i="104"/>
  <c r="I130" i="87"/>
  <c r="I20" i="104" s="1"/>
  <c r="H19" i="104"/>
  <c r="I129" i="87"/>
  <c r="I19" i="104" s="1"/>
  <c r="I125" i="87"/>
  <c r="I15" i="104" s="1"/>
  <c r="H15" i="104"/>
  <c r="N10" i="104"/>
  <c r="I155" i="87"/>
  <c r="O10" i="104" s="1"/>
  <c r="H163" i="87"/>
  <c r="H154" i="87"/>
  <c r="H132" i="87"/>
  <c r="I132" i="87" s="1"/>
  <c r="I24" i="104" s="1"/>
  <c r="I120" i="87"/>
  <c r="I9" i="104" s="1"/>
  <c r="H9" i="104"/>
  <c r="L22" i="104"/>
  <c r="I147" i="87"/>
  <c r="M22" i="104" s="1"/>
  <c r="E357" i="87"/>
  <c r="X23" i="54"/>
  <c r="F23" i="51"/>
  <c r="X43" i="54"/>
  <c r="X22" i="54"/>
  <c r="X44" i="54"/>
  <c r="I24" i="51"/>
  <c r="Y44" i="54"/>
  <c r="F13" i="51"/>
  <c r="F8" i="51"/>
  <c r="F15" i="51"/>
  <c r="F19" i="51"/>
  <c r="F24" i="51"/>
  <c r="F9" i="51"/>
  <c r="F16" i="51"/>
  <c r="F20" i="51"/>
  <c r="F18" i="51"/>
  <c r="F11" i="51"/>
  <c r="F17" i="51"/>
  <c r="J10" i="51"/>
  <c r="L21" i="51"/>
  <c r="E252" i="54"/>
  <c r="I164" i="87" l="1"/>
  <c r="O19" i="104" s="1"/>
  <c r="F401" i="87"/>
  <c r="F400" i="87"/>
  <c r="F398" i="87"/>
  <c r="I154" i="87"/>
  <c r="O9" i="104" s="1"/>
  <c r="N9" i="104"/>
  <c r="H169" i="87"/>
  <c r="I169" i="87" s="1"/>
  <c r="O24" i="104" s="1"/>
  <c r="N22" i="104"/>
  <c r="I167" i="87"/>
  <c r="O22" i="104" s="1"/>
  <c r="H24" i="104"/>
  <c r="I163" i="87"/>
  <c r="O18" i="104" s="1"/>
  <c r="N18" i="104"/>
  <c r="L24" i="104"/>
  <c r="F402" i="87"/>
  <c r="F397" i="87"/>
  <c r="F395" i="87"/>
  <c r="F393" i="87"/>
  <c r="F394" i="87"/>
  <c r="F399" i="87"/>
  <c r="C11" i="99"/>
  <c r="F354" i="87"/>
  <c r="F352" i="87"/>
  <c r="F349" i="87"/>
  <c r="F353" i="87"/>
  <c r="F351" i="87"/>
  <c r="F355" i="87"/>
  <c r="F346" i="87"/>
  <c r="F347" i="87"/>
  <c r="C11" i="96"/>
  <c r="F350" i="87"/>
  <c r="F348" i="87"/>
  <c r="F356" i="87"/>
  <c r="C11" i="66"/>
  <c r="F249" i="54"/>
  <c r="D249" i="54" s="1"/>
  <c r="F248" i="54"/>
  <c r="D248" i="54" s="1"/>
  <c r="G279" i="54"/>
  <c r="G283" i="54"/>
  <c r="G284" i="54"/>
  <c r="G277" i="54"/>
  <c r="G282" i="54"/>
  <c r="G281" i="54"/>
  <c r="F240" i="54"/>
  <c r="F245" i="54"/>
  <c r="F241" i="54"/>
  <c r="D241" i="54" s="1"/>
  <c r="G274" i="54"/>
  <c r="G275" i="54"/>
  <c r="G278" i="54"/>
  <c r="E286" i="54"/>
  <c r="F282" i="54" s="1"/>
  <c r="D282" i="54" s="1"/>
  <c r="G273" i="54"/>
  <c r="F251" i="54"/>
  <c r="F243" i="54"/>
  <c r="D243" i="54" s="1"/>
  <c r="G280" i="54"/>
  <c r="G276" i="54"/>
  <c r="F242" i="54"/>
  <c r="D242" i="54" s="1"/>
  <c r="F250" i="54"/>
  <c r="F247" i="54"/>
  <c r="D247" i="54" s="1"/>
  <c r="F246" i="54"/>
  <c r="D246" i="54" s="1"/>
  <c r="N24" i="104" l="1"/>
  <c r="F403" i="87"/>
  <c r="F357" i="87"/>
  <c r="F280" i="54"/>
  <c r="D280" i="54" s="1"/>
  <c r="F276" i="54"/>
  <c r="D276" i="54" s="1"/>
  <c r="F244" i="54"/>
  <c r="D244" i="54" s="1"/>
  <c r="F284" i="54"/>
  <c r="F279" i="54"/>
  <c r="D279" i="54" s="1"/>
  <c r="F278" i="54"/>
  <c r="F274" i="54"/>
  <c r="D274" i="54" s="1"/>
  <c r="F281" i="54"/>
  <c r="D281" i="54" s="1"/>
  <c r="F283" i="54"/>
  <c r="D283" i="54" s="1"/>
  <c r="F273" i="54"/>
  <c r="F275" i="54"/>
  <c r="D275" i="54" s="1"/>
  <c r="F285" i="54"/>
  <c r="D285" i="54" s="1"/>
  <c r="K13" i="57"/>
  <c r="K12" i="57"/>
  <c r="K11" i="57"/>
  <c r="K10" i="57"/>
  <c r="J9" i="57"/>
  <c r="I9" i="57"/>
  <c r="H9" i="57"/>
  <c r="F9" i="57"/>
  <c r="F252" i="54" l="1"/>
  <c r="F277" i="54"/>
  <c r="D277" i="54" s="1"/>
  <c r="K9" i="57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Y80" i="54"/>
  <c r="X80" i="54"/>
  <c r="W80" i="54"/>
  <c r="Y79" i="54"/>
  <c r="X79" i="54"/>
  <c r="W79" i="54"/>
  <c r="Y78" i="54"/>
  <c r="X78" i="54"/>
  <c r="W78" i="54"/>
  <c r="Y77" i="54"/>
  <c r="X77" i="54"/>
  <c r="W77" i="54"/>
  <c r="Y76" i="54"/>
  <c r="X76" i="54"/>
  <c r="W76" i="54"/>
  <c r="Y75" i="54"/>
  <c r="X75" i="54"/>
  <c r="W75" i="54"/>
  <c r="Y74" i="54"/>
  <c r="X74" i="54"/>
  <c r="W74" i="54"/>
  <c r="Y72" i="54"/>
  <c r="X72" i="54"/>
  <c r="W72" i="54"/>
  <c r="Y71" i="54"/>
  <c r="X71" i="54"/>
  <c r="W71" i="54"/>
  <c r="Y70" i="54"/>
  <c r="X70" i="54"/>
  <c r="W70" i="54"/>
  <c r="Y69" i="54"/>
  <c r="X69" i="54"/>
  <c r="W69" i="54"/>
  <c r="Y68" i="54"/>
  <c r="X68" i="54"/>
  <c r="W68" i="54"/>
  <c r="Y67" i="54"/>
  <c r="X67" i="54"/>
  <c r="W67" i="54"/>
  <c r="V63" i="54"/>
  <c r="N42" i="52" s="1"/>
  <c r="U63" i="54"/>
  <c r="M42" i="52" s="1"/>
  <c r="T63" i="54"/>
  <c r="L42" i="52" s="1"/>
  <c r="S63" i="54"/>
  <c r="K42" i="52" s="1"/>
  <c r="R63" i="54"/>
  <c r="J42" i="52" s="1"/>
  <c r="Q63" i="54"/>
  <c r="I42" i="52" s="1"/>
  <c r="P63" i="54"/>
  <c r="H42" i="52" s="1"/>
  <c r="O63" i="54"/>
  <c r="G42" i="52" s="1"/>
  <c r="N63" i="54"/>
  <c r="F42" i="52" s="1"/>
  <c r="M63" i="54"/>
  <c r="O23" i="52" s="1"/>
  <c r="L63" i="54"/>
  <c r="N23" i="52" s="1"/>
  <c r="K63" i="54"/>
  <c r="M23" i="52" s="1"/>
  <c r="J63" i="54"/>
  <c r="L23" i="52" s="1"/>
  <c r="I63" i="54"/>
  <c r="K23" i="52" s="1"/>
  <c r="H63" i="54"/>
  <c r="J23" i="52" s="1"/>
  <c r="G63" i="54"/>
  <c r="I23" i="52" s="1"/>
  <c r="F63" i="54"/>
  <c r="H23" i="52" s="1"/>
  <c r="E63" i="54"/>
  <c r="G23" i="52" s="1"/>
  <c r="D63" i="54"/>
  <c r="F23" i="52" s="1"/>
  <c r="Y62" i="54"/>
  <c r="X62" i="54"/>
  <c r="W62" i="54"/>
  <c r="Y61" i="54"/>
  <c r="X61" i="54"/>
  <c r="W61" i="54"/>
  <c r="Y60" i="54"/>
  <c r="X60" i="54"/>
  <c r="W60" i="54"/>
  <c r="Y59" i="54"/>
  <c r="X59" i="54"/>
  <c r="W59" i="54"/>
  <c r="Y58" i="54"/>
  <c r="X58" i="54"/>
  <c r="W58" i="54"/>
  <c r="Y57" i="54"/>
  <c r="X57" i="54"/>
  <c r="W57" i="54"/>
  <c r="Y56" i="54"/>
  <c r="X56" i="54"/>
  <c r="W56" i="54"/>
  <c r="Y55" i="54"/>
  <c r="I16" i="102" s="1"/>
  <c r="X55" i="54"/>
  <c r="W55" i="54"/>
  <c r="K16" i="102" s="1"/>
  <c r="Y54" i="54"/>
  <c r="X54" i="54"/>
  <c r="W54" i="54"/>
  <c r="Y53" i="54"/>
  <c r="X53" i="54"/>
  <c r="W53" i="54"/>
  <c r="Y52" i="54"/>
  <c r="X52" i="54"/>
  <c r="W52" i="54"/>
  <c r="Y51" i="54"/>
  <c r="X51" i="54"/>
  <c r="W51" i="54"/>
  <c r="Y50" i="54"/>
  <c r="X50" i="54"/>
  <c r="W50" i="54"/>
  <c r="Y49" i="54"/>
  <c r="X49" i="54"/>
  <c r="W49" i="54"/>
  <c r="W44" i="54"/>
  <c r="W43" i="54"/>
  <c r="V42" i="54"/>
  <c r="V45" i="54" s="1"/>
  <c r="U42" i="54"/>
  <c r="T42" i="54"/>
  <c r="S42" i="54"/>
  <c r="R42" i="54"/>
  <c r="R45" i="54" s="1"/>
  <c r="Q42" i="54"/>
  <c r="P42" i="54"/>
  <c r="P45" i="54" s="1"/>
  <c r="O42" i="54"/>
  <c r="O45" i="54" s="1"/>
  <c r="N42" i="54"/>
  <c r="M42" i="54"/>
  <c r="M45" i="54" s="1"/>
  <c r="L42" i="54"/>
  <c r="L45" i="54" s="1"/>
  <c r="K42" i="54"/>
  <c r="J42" i="54"/>
  <c r="I42" i="54"/>
  <c r="I45" i="54" s="1"/>
  <c r="H42" i="54"/>
  <c r="H45" i="54" s="1"/>
  <c r="G42" i="54"/>
  <c r="F42" i="54"/>
  <c r="E42" i="54"/>
  <c r="D42" i="54"/>
  <c r="Y41" i="54"/>
  <c r="X41" i="54"/>
  <c r="W41" i="54"/>
  <c r="Y40" i="54"/>
  <c r="X40" i="54"/>
  <c r="W40" i="54"/>
  <c r="Y39" i="54"/>
  <c r="X39" i="54"/>
  <c r="W39" i="54"/>
  <c r="Y38" i="54"/>
  <c r="X38" i="54"/>
  <c r="W38" i="54"/>
  <c r="Y37" i="54"/>
  <c r="X37" i="54"/>
  <c r="W37" i="54"/>
  <c r="Y36" i="54"/>
  <c r="X36" i="54"/>
  <c r="W36" i="54"/>
  <c r="Y35" i="54"/>
  <c r="X35" i="54"/>
  <c r="W35" i="54"/>
  <c r="Y34" i="54"/>
  <c r="X34" i="54"/>
  <c r="W34" i="54"/>
  <c r="Y33" i="54"/>
  <c r="X33" i="54"/>
  <c r="W33" i="54"/>
  <c r="Y32" i="54"/>
  <c r="X32" i="54"/>
  <c r="W32" i="54"/>
  <c r="Y31" i="54"/>
  <c r="X31" i="54"/>
  <c r="W31" i="54"/>
  <c r="Y30" i="54"/>
  <c r="X30" i="54"/>
  <c r="W30" i="54"/>
  <c r="Y29" i="54"/>
  <c r="X29" i="54"/>
  <c r="W29" i="54"/>
  <c r="Y28" i="54"/>
  <c r="X28" i="54"/>
  <c r="W28" i="54"/>
  <c r="W23" i="54"/>
  <c r="W22" i="54"/>
  <c r="V21" i="54"/>
  <c r="V24" i="54" s="1"/>
  <c r="N48" i="51" s="1"/>
  <c r="U21" i="54"/>
  <c r="U24" i="54" s="1"/>
  <c r="M48" i="51" s="1"/>
  <c r="T21" i="54"/>
  <c r="T24" i="54" s="1"/>
  <c r="L48" i="51" s="1"/>
  <c r="S21" i="54"/>
  <c r="S24" i="54" s="1"/>
  <c r="K48" i="51" s="1"/>
  <c r="R21" i="54"/>
  <c r="Q21" i="54"/>
  <c r="Q24" i="54" s="1"/>
  <c r="I48" i="51" s="1"/>
  <c r="P21" i="54"/>
  <c r="P24" i="54" s="1"/>
  <c r="H48" i="51" s="1"/>
  <c r="O21" i="54"/>
  <c r="O24" i="54" s="1"/>
  <c r="G48" i="51" s="1"/>
  <c r="N21" i="54"/>
  <c r="N24" i="54" s="1"/>
  <c r="F48" i="51" s="1"/>
  <c r="M21" i="54"/>
  <c r="M24" i="54" s="1"/>
  <c r="O26" i="51" s="1"/>
  <c r="L21" i="54"/>
  <c r="L24" i="54" s="1"/>
  <c r="N26" i="51" s="1"/>
  <c r="K21" i="54"/>
  <c r="K24" i="54" s="1"/>
  <c r="M26" i="51" s="1"/>
  <c r="J21" i="54"/>
  <c r="I21" i="54"/>
  <c r="I24" i="54" s="1"/>
  <c r="K26" i="51" s="1"/>
  <c r="H21" i="54"/>
  <c r="H24" i="54" s="1"/>
  <c r="J26" i="51" s="1"/>
  <c r="G21" i="54"/>
  <c r="G24" i="54" s="1"/>
  <c r="F21" i="54"/>
  <c r="F24" i="54" s="1"/>
  <c r="H26" i="51" s="1"/>
  <c r="E21" i="54"/>
  <c r="E24" i="54" s="1"/>
  <c r="G26" i="51" s="1"/>
  <c r="D21" i="54"/>
  <c r="D24" i="54" s="1"/>
  <c r="Y20" i="54"/>
  <c r="X20" i="54"/>
  <c r="W20" i="54"/>
  <c r="Y19" i="54"/>
  <c r="X19" i="54"/>
  <c r="W19" i="54"/>
  <c r="Y18" i="54"/>
  <c r="X18" i="54"/>
  <c r="W18" i="54"/>
  <c r="Y17" i="54"/>
  <c r="X17" i="54"/>
  <c r="W17" i="54"/>
  <c r="Y16" i="54"/>
  <c r="X16" i="54"/>
  <c r="W16" i="54"/>
  <c r="Y15" i="54"/>
  <c r="X15" i="54"/>
  <c r="W15" i="54"/>
  <c r="Y14" i="54"/>
  <c r="X14" i="54"/>
  <c r="W14" i="54"/>
  <c r="Y13" i="54"/>
  <c r="X13" i="54"/>
  <c r="W13" i="54"/>
  <c r="Y12" i="54"/>
  <c r="X12" i="54"/>
  <c r="W12" i="54"/>
  <c r="Y11" i="54"/>
  <c r="X11" i="54"/>
  <c r="W11" i="54"/>
  <c r="Y10" i="54"/>
  <c r="X10" i="54"/>
  <c r="W10" i="54"/>
  <c r="Y9" i="54"/>
  <c r="X9" i="54"/>
  <c r="W9" i="54"/>
  <c r="Y8" i="54"/>
  <c r="X8" i="54"/>
  <c r="W8" i="54"/>
  <c r="Y7" i="54"/>
  <c r="X7" i="54"/>
  <c r="W7" i="54"/>
  <c r="N41" i="52"/>
  <c r="M41" i="52"/>
  <c r="L41" i="52"/>
  <c r="K41" i="52"/>
  <c r="J41" i="52"/>
  <c r="I41" i="52"/>
  <c r="H41" i="52"/>
  <c r="G41" i="52"/>
  <c r="F41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2" i="52"/>
  <c r="N22" i="52"/>
  <c r="N24" i="52" s="1"/>
  <c r="M22" i="52"/>
  <c r="L22" i="52"/>
  <c r="K22" i="52"/>
  <c r="J22" i="52"/>
  <c r="J24" i="52" s="1"/>
  <c r="I22" i="52"/>
  <c r="H22" i="52"/>
  <c r="H24" i="52" s="1"/>
  <c r="G22" i="52"/>
  <c r="O27" i="52"/>
  <c r="N44" i="51"/>
  <c r="M44" i="51"/>
  <c r="L44" i="51"/>
  <c r="K44" i="51"/>
  <c r="J44" i="51"/>
  <c r="I44" i="51"/>
  <c r="H44" i="51"/>
  <c r="G44" i="51"/>
  <c r="F44" i="51"/>
  <c r="O46" i="51"/>
  <c r="O45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22" i="51"/>
  <c r="N22" i="51"/>
  <c r="M22" i="51"/>
  <c r="L22" i="51"/>
  <c r="K22" i="51"/>
  <c r="J22" i="51"/>
  <c r="I22" i="51"/>
  <c r="H22" i="51"/>
  <c r="G22" i="51"/>
  <c r="F22" i="51"/>
  <c r="H46" i="54" l="1"/>
  <c r="E89" i="54"/>
  <c r="D89" i="54"/>
  <c r="F89" i="54" s="1"/>
  <c r="L46" i="54"/>
  <c r="D93" i="54"/>
  <c r="F93" i="54" s="1"/>
  <c r="E93" i="54"/>
  <c r="P46" i="54"/>
  <c r="E97" i="54"/>
  <c r="D97" i="54"/>
  <c r="I46" i="54"/>
  <c r="E90" i="54"/>
  <c r="D90" i="54"/>
  <c r="F90" i="54" s="1"/>
  <c r="E94" i="54"/>
  <c r="D94" i="54"/>
  <c r="D96" i="54"/>
  <c r="E96" i="54"/>
  <c r="R46" i="54"/>
  <c r="D99" i="54"/>
  <c r="V46" i="54"/>
  <c r="D103" i="54"/>
  <c r="E103" i="54"/>
  <c r="G82" i="54"/>
  <c r="K82" i="54"/>
  <c r="O82" i="54"/>
  <c r="S82" i="54"/>
  <c r="K12" i="102"/>
  <c r="J12" i="102"/>
  <c r="F18" i="102"/>
  <c r="G18" i="102"/>
  <c r="F10" i="102"/>
  <c r="G10" i="102"/>
  <c r="K13" i="102"/>
  <c r="J13" i="102"/>
  <c r="I15" i="102"/>
  <c r="H15" i="102"/>
  <c r="K18" i="102"/>
  <c r="J18" i="102"/>
  <c r="F19" i="102"/>
  <c r="G19" i="102"/>
  <c r="I20" i="102"/>
  <c r="H20" i="102"/>
  <c r="K22" i="102"/>
  <c r="J22" i="102"/>
  <c r="F23" i="102"/>
  <c r="G23" i="102"/>
  <c r="G13" i="102"/>
  <c r="F13" i="102"/>
  <c r="K17" i="102"/>
  <c r="J17" i="102"/>
  <c r="G22" i="102"/>
  <c r="F22" i="102"/>
  <c r="H23" i="102"/>
  <c r="I23" i="102"/>
  <c r="K11" i="102"/>
  <c r="J11" i="102"/>
  <c r="G12" i="102"/>
  <c r="F12" i="102"/>
  <c r="H13" i="102"/>
  <c r="I13" i="102"/>
  <c r="K15" i="102"/>
  <c r="J15" i="102"/>
  <c r="G17" i="102"/>
  <c r="F17" i="102"/>
  <c r="H18" i="102"/>
  <c r="I18" i="102"/>
  <c r="K20" i="102"/>
  <c r="J20" i="102"/>
  <c r="G21" i="102"/>
  <c r="F21" i="102"/>
  <c r="H22" i="102"/>
  <c r="I22" i="102"/>
  <c r="I10" i="102"/>
  <c r="H10" i="102"/>
  <c r="H14" i="102"/>
  <c r="I14" i="102"/>
  <c r="K21" i="102"/>
  <c r="J21" i="102"/>
  <c r="K10" i="102"/>
  <c r="J10" i="102"/>
  <c r="G11" i="102"/>
  <c r="F11" i="102"/>
  <c r="K14" i="102"/>
  <c r="J14" i="102"/>
  <c r="G15" i="102"/>
  <c r="F15" i="102"/>
  <c r="I17" i="102"/>
  <c r="H17" i="102"/>
  <c r="K19" i="102"/>
  <c r="J19" i="102"/>
  <c r="G20" i="102"/>
  <c r="F20" i="102"/>
  <c r="I21" i="102"/>
  <c r="H21" i="102"/>
  <c r="K23" i="102"/>
  <c r="J23" i="102"/>
  <c r="F82" i="54"/>
  <c r="J82" i="54"/>
  <c r="N82" i="54"/>
  <c r="R82" i="54"/>
  <c r="V82" i="54"/>
  <c r="D82" i="54"/>
  <c r="H82" i="54"/>
  <c r="L82" i="54"/>
  <c r="P82" i="54"/>
  <c r="T82" i="54"/>
  <c r="E82" i="54"/>
  <c r="I82" i="54"/>
  <c r="M82" i="54"/>
  <c r="Q82" i="54"/>
  <c r="U82" i="54"/>
  <c r="L24" i="52"/>
  <c r="I26" i="51"/>
  <c r="Y24" i="54"/>
  <c r="F26" i="51"/>
  <c r="F286" i="54"/>
  <c r="H43" i="52"/>
  <c r="L43" i="52"/>
  <c r="O42" i="52"/>
  <c r="F43" i="52"/>
  <c r="J43" i="52"/>
  <c r="N43" i="52"/>
  <c r="I24" i="52"/>
  <c r="M24" i="52"/>
  <c r="I43" i="52"/>
  <c r="M43" i="52"/>
  <c r="G24" i="52"/>
  <c r="K24" i="52"/>
  <c r="O24" i="52"/>
  <c r="G43" i="52"/>
  <c r="K43" i="52"/>
  <c r="H47" i="51"/>
  <c r="H49" i="51" s="1"/>
  <c r="I47" i="51"/>
  <c r="I49" i="51" s="1"/>
  <c r="F47" i="51"/>
  <c r="F49" i="51" s="1"/>
  <c r="J47" i="51"/>
  <c r="N47" i="51"/>
  <c r="N49" i="51" s="1"/>
  <c r="L47" i="51"/>
  <c r="L49" i="51" s="1"/>
  <c r="M47" i="51"/>
  <c r="M49" i="51" s="1"/>
  <c r="G47" i="51"/>
  <c r="G49" i="51" s="1"/>
  <c r="K47" i="51"/>
  <c r="K49" i="51" s="1"/>
  <c r="F25" i="51"/>
  <c r="J25" i="51"/>
  <c r="J27" i="51" s="1"/>
  <c r="N25" i="51"/>
  <c r="N27" i="51" s="1"/>
  <c r="G25" i="51"/>
  <c r="G27" i="51" s="1"/>
  <c r="K25" i="51"/>
  <c r="K27" i="51" s="1"/>
  <c r="O25" i="51"/>
  <c r="O27" i="51" s="1"/>
  <c r="H25" i="51"/>
  <c r="H27" i="51" s="1"/>
  <c r="L25" i="51"/>
  <c r="I25" i="51"/>
  <c r="I27" i="51" s="1"/>
  <c r="M25" i="51"/>
  <c r="M27" i="51" s="1"/>
  <c r="W63" i="54"/>
  <c r="X63" i="54"/>
  <c r="Z60" i="54" s="1"/>
  <c r="Y81" i="54"/>
  <c r="Y63" i="54"/>
  <c r="X26" i="54"/>
  <c r="W21" i="54"/>
  <c r="W24" i="54" s="1"/>
  <c r="X25" i="54"/>
  <c r="W26" i="54"/>
  <c r="R24" i="54"/>
  <c r="J48" i="51" s="1"/>
  <c r="Q45" i="54"/>
  <c r="X46" i="54"/>
  <c r="W42" i="54"/>
  <c r="W45" i="54" s="1"/>
  <c r="W46" i="54" s="1"/>
  <c r="X81" i="54"/>
  <c r="X21" i="54"/>
  <c r="Y21" i="54"/>
  <c r="J24" i="54"/>
  <c r="L26" i="51" s="1"/>
  <c r="X42" i="54"/>
  <c r="D45" i="54"/>
  <c r="T45" i="54"/>
  <c r="W81" i="54"/>
  <c r="W25" i="54"/>
  <c r="M46" i="54"/>
  <c r="Y42" i="54"/>
  <c r="E45" i="54"/>
  <c r="K45" i="54"/>
  <c r="U45" i="54"/>
  <c r="O46" i="54"/>
  <c r="S45" i="54"/>
  <c r="G45" i="54"/>
  <c r="F45" i="54"/>
  <c r="J45" i="54"/>
  <c r="N45" i="54"/>
  <c r="F22" i="52"/>
  <c r="O30" i="51"/>
  <c r="O44" i="51" s="1"/>
  <c r="O47" i="51" s="1"/>
  <c r="J46" i="54" l="1"/>
  <c r="D91" i="54"/>
  <c r="F91" i="54" s="1"/>
  <c r="E91" i="54"/>
  <c r="F46" i="54"/>
  <c r="D87" i="54"/>
  <c r="F87" i="54" s="1"/>
  <c r="E87" i="54"/>
  <c r="U46" i="54"/>
  <c r="E102" i="54"/>
  <c r="D102" i="54"/>
  <c r="F96" i="54"/>
  <c r="E85" i="54"/>
  <c r="D85" i="54"/>
  <c r="Q46" i="54"/>
  <c r="E98" i="54"/>
  <c r="D98" i="54"/>
  <c r="F98" i="54" s="1"/>
  <c r="D88" i="54"/>
  <c r="F88" i="54" s="1"/>
  <c r="E88" i="54"/>
  <c r="K46" i="54"/>
  <c r="D92" i="54"/>
  <c r="F92" i="54" s="1"/>
  <c r="E92" i="54"/>
  <c r="N46" i="54"/>
  <c r="D95" i="54"/>
  <c r="E95" i="54"/>
  <c r="S46" i="54"/>
  <c r="D100" i="54"/>
  <c r="E100" i="54"/>
  <c r="E46" i="54"/>
  <c r="E86" i="54"/>
  <c r="D86" i="54"/>
  <c r="E99" i="54"/>
  <c r="F99" i="54" s="1"/>
  <c r="F94" i="54"/>
  <c r="T46" i="54"/>
  <c r="E101" i="54"/>
  <c r="D101" i="54"/>
  <c r="F101" i="54" s="1"/>
  <c r="F103" i="54"/>
  <c r="F97" i="54"/>
  <c r="K24" i="102"/>
  <c r="Y82" i="54"/>
  <c r="I24" i="102"/>
  <c r="H24" i="102"/>
  <c r="J24" i="102"/>
  <c r="G24" i="102"/>
  <c r="Z49" i="54"/>
  <c r="F24" i="102"/>
  <c r="W82" i="54"/>
  <c r="Z73" i="54"/>
  <c r="X82" i="54"/>
  <c r="O48" i="51"/>
  <c r="O49" i="51" s="1"/>
  <c r="F27" i="51"/>
  <c r="D46" i="54"/>
  <c r="X45" i="54"/>
  <c r="H336" i="54" s="1"/>
  <c r="X24" i="54"/>
  <c r="G336" i="54" s="1"/>
  <c r="G46" i="54"/>
  <c r="Y45" i="54"/>
  <c r="Z76" i="54"/>
  <c r="J49" i="51"/>
  <c r="L27" i="51"/>
  <c r="Z55" i="54"/>
  <c r="Z58" i="54"/>
  <c r="Z51" i="54"/>
  <c r="Z53" i="54"/>
  <c r="Z62" i="54"/>
  <c r="Z50" i="54"/>
  <c r="Z57" i="54"/>
  <c r="Z54" i="54"/>
  <c r="Z59" i="54"/>
  <c r="Z78" i="54"/>
  <c r="Z61" i="54"/>
  <c r="Z70" i="54"/>
  <c r="Z52" i="54"/>
  <c r="Z56" i="54"/>
  <c r="Y46" i="54"/>
  <c r="Z80" i="54"/>
  <c r="Z74" i="54"/>
  <c r="Z75" i="54"/>
  <c r="Z72" i="54"/>
  <c r="Z67" i="54"/>
  <c r="Z77" i="54"/>
  <c r="Z69" i="54"/>
  <c r="Z71" i="54"/>
  <c r="Z68" i="54"/>
  <c r="Z79" i="54"/>
  <c r="AS21" i="54"/>
  <c r="O41" i="52"/>
  <c r="O43" i="52" s="1"/>
  <c r="F24" i="52"/>
  <c r="F95" i="54" l="1"/>
  <c r="F86" i="54"/>
  <c r="F100" i="54"/>
  <c r="F85" i="54"/>
  <c r="F102" i="54"/>
  <c r="Z63" i="54"/>
  <c r="Z81" i="54"/>
</calcChain>
</file>

<file path=xl/sharedStrings.xml><?xml version="1.0" encoding="utf-8"?>
<sst xmlns="http://schemas.openxmlformats.org/spreadsheetml/2006/main" count="2510" uniqueCount="468">
  <si>
    <t>-</t>
  </si>
  <si>
    <t>GWh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</si>
  <si>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</si>
  <si>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</si>
  <si>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</si>
  <si>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</si>
  <si>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</si>
  <si>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</si>
  <si>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</si>
  <si>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</si>
  <si>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</si>
  <si>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</si>
  <si>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</si>
  <si>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</si>
  <si>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</si>
  <si>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Laboralidad</t>
  </si>
  <si>
    <t>Temperatura</t>
  </si>
  <si>
    <t>E</t>
  </si>
  <si>
    <t>F</t>
  </si>
  <si>
    <t>M</t>
  </si>
  <si>
    <t>A</t>
  </si>
  <si>
    <t>J</t>
  </si>
  <si>
    <t>S</t>
  </si>
  <si>
    <t>O</t>
  </si>
  <si>
    <t>N</t>
  </si>
  <si>
    <t>D</t>
  </si>
  <si>
    <t>Hidráulica</t>
  </si>
  <si>
    <t>Nuclear</t>
  </si>
  <si>
    <t>Carbón</t>
  </si>
  <si>
    <t>TOTAL</t>
  </si>
  <si>
    <t>Capacidad</t>
  </si>
  <si>
    <t>MW</t>
  </si>
  <si>
    <t>Total</t>
  </si>
  <si>
    <t>Circuito 400 kV (km)</t>
  </si>
  <si>
    <t>Otras empresas</t>
  </si>
  <si>
    <t xml:space="preserve"> </t>
  </si>
  <si>
    <t>Islas Canarias</t>
  </si>
  <si>
    <t>Baleares</t>
  </si>
  <si>
    <t>Canarias</t>
  </si>
  <si>
    <t>Melilla</t>
  </si>
  <si>
    <t>Demanda (b.c.)</t>
  </si>
  <si>
    <t>Total nacional</t>
  </si>
  <si>
    <t>Ceuta</t>
  </si>
  <si>
    <t>Red Eléctrica</t>
  </si>
  <si>
    <t>Ciclo combinado</t>
  </si>
  <si>
    <t>Fuel / gas</t>
  </si>
  <si>
    <t>Generación auxiliar</t>
  </si>
  <si>
    <t>Sistema peninsular</t>
  </si>
  <si>
    <t>Sin corregir</t>
  </si>
  <si>
    <t>Turbina de gas</t>
  </si>
  <si>
    <t>Eólica</t>
  </si>
  <si>
    <t>Solar fotovoltaica</t>
  </si>
  <si>
    <t>Bombeo puro</t>
  </si>
  <si>
    <t>Turbina de vapor</t>
  </si>
  <si>
    <t>Mensual (%)</t>
  </si>
  <si>
    <t>Circuito ≤ 220 kV (km)</t>
  </si>
  <si>
    <t xml:space="preserve"> ≤ 220 kV</t>
  </si>
  <si>
    <t>Península</t>
  </si>
  <si>
    <t>400 kV</t>
  </si>
  <si>
    <t>Total líneas (km)</t>
  </si>
  <si>
    <t>Líneas aéreas (km)</t>
  </si>
  <si>
    <t>Cable submarino (km)</t>
  </si>
  <si>
    <t>Cable subterráneo (km)</t>
  </si>
  <si>
    <t>Transformación (MVA)</t>
  </si>
  <si>
    <t>Enlace Península-Baleares</t>
  </si>
  <si>
    <t>Demanda horaria (MWh)</t>
  </si>
  <si>
    <t>Cataluña</t>
  </si>
  <si>
    <t>Solar térmica</t>
  </si>
  <si>
    <t>Turbinación bombeo</t>
  </si>
  <si>
    <t>Hidroeólica</t>
  </si>
  <si>
    <t>Índice</t>
  </si>
  <si>
    <t>País Vasco</t>
  </si>
  <si>
    <t>Aragón</t>
  </si>
  <si>
    <t>Generación</t>
  </si>
  <si>
    <t>Cogeneración</t>
  </si>
  <si>
    <t>Asturias</t>
  </si>
  <si>
    <t>Otras renovables</t>
  </si>
  <si>
    <t>Demanda corregida</t>
  </si>
  <si>
    <t>Corregida</t>
  </si>
  <si>
    <t>Saldo intercambios internacionales</t>
  </si>
  <si>
    <t>Instalaciones de la red de transporte de energía eléctrica en España</t>
  </si>
  <si>
    <t>Castilla y León</t>
  </si>
  <si>
    <t>C. Valenciana</t>
  </si>
  <si>
    <t>Madrid</t>
  </si>
  <si>
    <t>Castilla-La Mancha</t>
  </si>
  <si>
    <t>Evolución de la demanda eléctrica peninsular</t>
  </si>
  <si>
    <t>Energía producible hidráulica peninsular</t>
  </si>
  <si>
    <t>El Sistema Eléctrico Español</t>
  </si>
  <si>
    <r>
      <t xml:space="preserve">Balance de energía eléctrica nacional por CC.AA. </t>
    </r>
    <r>
      <rPr>
        <b/>
        <vertAlign val="superscript"/>
        <sz val="8"/>
        <color indexed="8"/>
        <rFont val="Arial"/>
        <family val="2"/>
      </rPr>
      <t>(1)</t>
    </r>
  </si>
  <si>
    <t>Andalucía</t>
  </si>
  <si>
    <t>Cantabria</t>
  </si>
  <si>
    <t>(GWh)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</si>
  <si>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(2)</t>
    </r>
  </si>
  <si>
    <r>
      <t xml:space="preserve">Fuel/gas </t>
    </r>
    <r>
      <rPr>
        <vertAlign val="superscript"/>
        <sz val="8"/>
        <color indexed="8"/>
        <rFont val="Arial"/>
        <family val="2"/>
      </rPr>
      <t>(3)</t>
    </r>
  </si>
  <si>
    <r>
      <t xml:space="preserve">Ciclo combinado </t>
    </r>
    <r>
      <rPr>
        <vertAlign val="superscript"/>
        <sz val="8"/>
        <color indexed="8"/>
        <rFont val="Arial"/>
        <family val="2"/>
      </rPr>
      <t>(4)</t>
    </r>
  </si>
  <si>
    <r>
      <t xml:space="preserve">Otras renovables </t>
    </r>
    <r>
      <rPr>
        <vertAlign val="superscript"/>
        <sz val="8"/>
        <color indexed="8"/>
        <rFont val="Arial"/>
        <family val="2"/>
      </rPr>
      <t>(5)</t>
    </r>
  </si>
  <si>
    <t>Residuos no renovables</t>
  </si>
  <si>
    <t>Residuos renovables</t>
  </si>
  <si>
    <t>Consumos en bombeo </t>
  </si>
  <si>
    <r>
      <t xml:space="preserve">Saldo Intercambios </t>
    </r>
    <r>
      <rPr>
        <vertAlign val="superscript"/>
        <sz val="8"/>
        <color indexed="8"/>
        <rFont val="Arial"/>
        <family val="2"/>
      </rPr>
      <t>(6)</t>
    </r>
  </si>
  <si>
    <t>Demanda (b.c.) 2017</t>
  </si>
  <si>
    <t>Extremadura</t>
  </si>
  <si>
    <t>Galicia</t>
  </si>
  <si>
    <t>La Rioja</t>
  </si>
  <si>
    <t>Murcia</t>
  </si>
  <si>
    <t>Navarra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</si>
  <si>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Asignación de unidades de producción según combustible principal.</t>
    </r>
  </si>
  <si>
    <r>
      <rPr>
        <vertAlign val="superscript"/>
        <sz val="8"/>
        <color indexed="8"/>
        <rFont val="Arial"/>
        <family val="2"/>
      </rPr>
      <t>(2)</t>
    </r>
    <r>
      <rPr>
        <sz val="8"/>
        <color indexed="8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</si>
  <si>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indexed="8"/>
        <rFont val="Arial"/>
        <family val="2"/>
      </rPr>
      <t>(3)</t>
    </r>
    <r>
      <rPr>
        <sz val="8"/>
        <color indexed="8"/>
        <rFont val="Arial"/>
        <family val="2"/>
      </rPr>
      <t xml:space="preserve"> En el sistema eléctrico de Baleares se incluye la generación con grupos auxiliares.</t>
    </r>
  </si>
  <si>
    <r>
      <rPr>
        <vertAlign val="superscript"/>
        <sz val="8"/>
        <color indexed="8"/>
        <rFont val="Arial"/>
        <family val="2"/>
      </rPr>
      <t>(4)</t>
    </r>
    <r>
      <rPr>
        <sz val="8"/>
        <color indexed="8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</si>
  <si>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indexed="8"/>
        <rFont val="Arial"/>
        <family val="2"/>
      </rPr>
      <t>(5)</t>
    </r>
    <r>
      <rPr>
        <sz val="8"/>
        <color indexed="8"/>
        <rFont val="Arial"/>
        <family val="2"/>
      </rPr>
      <t xml:space="preserve"> Incluye biogás, biomasa, hidráulica marina y geotérmica.</t>
    </r>
  </si>
  <si>
    <r>
      <rPr>
        <vertAlign val="superscript"/>
        <sz val="8"/>
        <color indexed="8"/>
        <rFont val="Arial"/>
        <family val="2"/>
      </rPr>
      <t>(6)</t>
    </r>
    <r>
      <rPr>
        <sz val="8"/>
        <color indexed="8"/>
        <rFont val="Arial"/>
        <family val="2"/>
      </rPr>
      <t xml:space="preserve"> Incluye saldo de intercambios entre comunidades y saldo de intercambios internacionales físicos. Un valor positivo indica un saldo de intercambios importador y un valor negativo exportador.</t>
    </r>
  </si>
  <si>
    <t>Demanda (b.c.) 2018</t>
  </si>
  <si>
    <t>% 18/17</t>
  </si>
  <si>
    <t>(MW)</t>
  </si>
  <si>
    <t>Fuel/gas</t>
  </si>
  <si>
    <r>
      <t xml:space="preserve">Otras renovables </t>
    </r>
    <r>
      <rPr>
        <vertAlign val="superscript"/>
        <sz val="8"/>
        <color indexed="8"/>
        <rFont val="Arial"/>
        <family val="2"/>
      </rPr>
      <t>(1)</t>
    </r>
  </si>
  <si>
    <t>Total 2017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</si>
  <si>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</si>
  <si>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Avance 2018</t>
  </si>
  <si>
    <t>Desglose de potencia instalada a 31.12.2018. Sistema eléctrico nacional por CC.AA.</t>
  </si>
  <si>
    <t>Total 2018</t>
  </si>
  <si>
    <t>Peninsular</t>
  </si>
  <si>
    <t>No peninsular</t>
  </si>
  <si>
    <t>Consumos bombeo </t>
  </si>
  <si>
    <t>Saldo Intercambio </t>
  </si>
  <si>
    <t>Balance de energía eléctrica nacional por CC.AA. 2017 (GWh)</t>
  </si>
  <si>
    <t>Nuclear </t>
  </si>
  <si>
    <t>Carbón </t>
  </si>
  <si>
    <t>Fuel/gas </t>
  </si>
  <si>
    <t>Ciclo combinado </t>
  </si>
  <si>
    <t>Desglose de potencia instalada a 31.12.2017. Sistema eléctrico nacional por CC.AA. (MW)</t>
  </si>
  <si>
    <t xml:space="preserve">• </t>
  </si>
  <si>
    <t>Datos provisionales pendientes de auditoría en curso.</t>
  </si>
  <si>
    <t>Evolución de la red de transporte de energía eléctrica en España</t>
  </si>
  <si>
    <t>(km de circuito)</t>
  </si>
  <si>
    <t>Balance eléctrico, potencia instalada y red de transporte</t>
  </si>
  <si>
    <t>Demanda b.c.</t>
  </si>
  <si>
    <r>
      <rPr>
        <b/>
        <sz val="8"/>
        <color theme="0"/>
        <rFont val="Symbol"/>
        <family val="1"/>
        <charset val="2"/>
      </rPr>
      <t>D</t>
    </r>
    <r>
      <rPr>
        <b/>
        <sz val="8"/>
        <color theme="0"/>
        <rFont val="Arial"/>
        <family val="2"/>
      </rPr>
      <t xml:space="preserve"> Anual (%)</t>
    </r>
  </si>
  <si>
    <t>Componentes (%)</t>
  </si>
  <si>
    <t>(%)</t>
  </si>
  <si>
    <t>Balance de energía eléctrica nacional por CC.AA. 2018 (GWh)</t>
  </si>
  <si>
    <t>Desglose de potencia instalada a 31.12.2018. Sistema eléctrico nacional por CC.AA. (MW)</t>
  </si>
  <si>
    <t>Total Kilómetros de circuito</t>
  </si>
  <si>
    <t>Evolución de la red de transporte en España (km de circuito)</t>
  </si>
  <si>
    <t>Mensual</t>
  </si>
  <si>
    <t>Acumulado</t>
  </si>
  <si>
    <t>Evolución mensual de la demanda eléctrica peninsular</t>
  </si>
  <si>
    <r>
      <t xml:space="preserve">2018 </t>
    </r>
    <r>
      <rPr>
        <b/>
        <vertAlign val="superscript"/>
        <sz val="8"/>
        <color rgb="FF004563"/>
        <rFont val="Arial"/>
        <family val="2"/>
      </rPr>
      <t>(1)</t>
    </r>
  </si>
  <si>
    <t>Variación anual de la demanda eléctrica peninsular. Año móvil  (%)</t>
  </si>
  <si>
    <t>Variación de la demanda</t>
  </si>
  <si>
    <t>Componentes de la variación de la demanda eléctrica mensual peninsular. Año 2018 (%)</t>
  </si>
  <si>
    <t>Máximos anuales de demanda peninsular</t>
  </si>
  <si>
    <t>Demanda diaria (GWh)</t>
  </si>
  <si>
    <t>Máximos anuales de demanda peninsular en invierno</t>
  </si>
  <si>
    <t>Máximos anuales de demanda peninsular en verano</t>
  </si>
  <si>
    <t>Bruto</t>
  </si>
  <si>
    <t>Corregido</t>
  </si>
  <si>
    <t>General</t>
  </si>
  <si>
    <t>Industria</t>
  </si>
  <si>
    <t>Otros</t>
  </si>
  <si>
    <t>Variación mensual del IRE corregido. Año móvil (%)</t>
  </si>
  <si>
    <t>Servicios</t>
  </si>
  <si>
    <t>7 de julio</t>
  </si>
  <si>
    <t>6 de septiembre</t>
  </si>
  <si>
    <t>13 de julio</t>
  </si>
  <si>
    <t>8 de febrero</t>
  </si>
  <si>
    <t>3 de agosto</t>
  </si>
  <si>
    <t>11 de febrero</t>
  </si>
  <si>
    <t>3 de septiembre</t>
  </si>
  <si>
    <t>6 de febrero</t>
  </si>
  <si>
    <t>18 de febrero</t>
  </si>
  <si>
    <t>19 de enero</t>
  </si>
  <si>
    <t>Potencia instalada a 31.12.2018. Sistema eléctrico peninsular</t>
  </si>
  <si>
    <r>
      <t xml:space="preserve">Variación mensual del IRE corregido
</t>
    </r>
    <r>
      <rPr>
        <sz val="8"/>
        <color indexed="8"/>
        <rFont val="Arial"/>
        <family val="2"/>
      </rPr>
      <t>Año móvil</t>
    </r>
  </si>
  <si>
    <r>
      <t xml:space="preserve">IRE: Componentes de la variación
</t>
    </r>
    <r>
      <rPr>
        <sz val="8"/>
        <color indexed="8"/>
        <rFont val="Arial"/>
        <family val="2"/>
      </rPr>
      <t>Año 2018</t>
    </r>
  </si>
  <si>
    <r>
      <t xml:space="preserve">Componentes de la variación de la demanda eléctrica mensual peninsular
</t>
    </r>
    <r>
      <rPr>
        <sz val="8"/>
        <color indexed="8"/>
        <rFont val="Arial"/>
        <family val="2"/>
      </rPr>
      <t>Año 2018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</si>
  <si>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</si>
  <si>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t>Turbinación bombeo (1)</t>
  </si>
  <si>
    <t>Saldo importador intercambios internacionales</t>
  </si>
  <si>
    <t>Cobertura de la demanda anual de energía eléctrica peninsular 2018</t>
  </si>
  <si>
    <t>40.611 MWh</t>
  </si>
  <si>
    <t>Consumo en bombeo</t>
  </si>
  <si>
    <t xml:space="preserve">Evolución de la generación eléctrica peninsular renovable y no renovable 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</si>
  <si>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</si>
  <si>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</si>
  <si>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Evolución de la generación eléctrica peninsular renovable y no renovable (%)</t>
  </si>
  <si>
    <t>Generación renovable</t>
  </si>
  <si>
    <t>Generación no renovable</t>
  </si>
  <si>
    <t>Generación total</t>
  </si>
  <si>
    <t>Balance de energía eléctrica sistema peninsular (GWh)</t>
  </si>
  <si>
    <t>Consumos en bombeo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</si>
  <si>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Turbinación de bombeo puro + estimación de turbinación de bombeo mixto.</t>
    </r>
  </si>
  <si>
    <t>Evolución de la generación eléctrica peninsular renovable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</si>
  <si>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(1)</t>
    </r>
  </si>
  <si>
    <t>Evolución de la generación eléctrica peninsular no renovable</t>
  </si>
  <si>
    <t>Probabilidad de ser superada (%)</t>
  </si>
  <si>
    <t>Producible</t>
  </si>
  <si>
    <t xml:space="preserve">medio  </t>
  </si>
  <si>
    <t>histórico</t>
  </si>
  <si>
    <t>Energía producible hidráulica diaria durante 2018 comparada con el producible medio histórico (GWh)</t>
  </si>
  <si>
    <t>% Llenado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</si>
  <si>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asociadas a la generación eléctrica peninsular </t>
    </r>
  </si>
  <si>
    <r>
      <t>(Mill.tCO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</si>
  <si>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</si>
  <si>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</si>
  <si>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</si>
  <si>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</si>
  <si>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</si>
  <si>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</si>
  <si>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</si>
  <si>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</si>
  <si>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2013 Diciembre</t>
  </si>
  <si>
    <t>2014 Enero</t>
  </si>
  <si>
    <t>2014 Febrero</t>
  </si>
  <si>
    <t>2014 Marzo</t>
  </si>
  <si>
    <t>2014 Abril</t>
  </si>
  <si>
    <t>2014 Mayo</t>
  </si>
  <si>
    <t>2014 Junio</t>
  </si>
  <si>
    <t>2014 Julio</t>
  </si>
  <si>
    <t>2014 Agosto</t>
  </si>
  <si>
    <t>2014 Septiembre</t>
  </si>
  <si>
    <t>2014 Octubre</t>
  </si>
  <si>
    <t>2014 Noviembre</t>
  </si>
  <si>
    <t>2014 Diciembre</t>
  </si>
  <si>
    <t>2015 Enero</t>
  </si>
  <si>
    <t>2015 Febrero</t>
  </si>
  <si>
    <t>2015 Marzo</t>
  </si>
  <si>
    <t>2015 Abril</t>
  </si>
  <si>
    <t>2015 Mayo</t>
  </si>
  <si>
    <t>2015 Junio</t>
  </si>
  <si>
    <t>2015 Julio</t>
  </si>
  <si>
    <t>2015 Agosto</t>
  </si>
  <si>
    <t>2015 Septiembre</t>
  </si>
  <si>
    <t>2015 Octubre</t>
  </si>
  <si>
    <t>2015 Noviembre</t>
  </si>
  <si>
    <t>2015 Diciembre</t>
  </si>
  <si>
    <t>2016 Enero</t>
  </si>
  <si>
    <t>2016 Febrero</t>
  </si>
  <si>
    <t>2016 Marzo</t>
  </si>
  <si>
    <t>2016 Abril</t>
  </si>
  <si>
    <t>2016 Mayo</t>
  </si>
  <si>
    <t>2016 Junio</t>
  </si>
  <si>
    <t>2016 Julio</t>
  </si>
  <si>
    <t>2016 Agosto</t>
  </si>
  <si>
    <t>2016 Septiembre</t>
  </si>
  <si>
    <t>2016 Octubre</t>
  </si>
  <si>
    <t>2016 Noviembre</t>
  </si>
  <si>
    <t>2016 Diciembre</t>
  </si>
  <si>
    <t>2017 Enero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</si>
  <si>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</si>
  <si>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</si>
  <si>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</si>
  <si>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</si>
  <si>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</si>
  <si>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</si>
  <si>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</si>
  <si>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</si>
  <si>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</si>
  <si>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</si>
  <si>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</si>
  <si>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Reservas hidroeléctricas. Evolución 2014-2018 (GWh)</t>
  </si>
  <si>
    <t>2018 Enero</t>
  </si>
  <si>
    <t>2018 Febrero</t>
  </si>
  <si>
    <t>2018 Marzo</t>
  </si>
  <si>
    <t>2018 Abril</t>
  </si>
  <si>
    <t>2018 Mayo</t>
  </si>
  <si>
    <t>2018 Junio</t>
  </si>
  <si>
    <t>2018 Julio</t>
  </si>
  <si>
    <t>2018 Agosto</t>
  </si>
  <si>
    <t>2018 Septiembre</t>
  </si>
  <si>
    <t>2018 Octubre</t>
  </si>
  <si>
    <t>2018 Noviembre</t>
  </si>
  <si>
    <t>2018 Diciembre</t>
  </si>
  <si>
    <t>Régimen anual</t>
  </si>
  <si>
    <t>Régimen hiperanual</t>
  </si>
  <si>
    <t>Conjunto</t>
  </si>
  <si>
    <r>
      <t>Evolución de las reservas hidroeléctricas peninsulares</t>
    </r>
    <r>
      <rPr>
        <b/>
        <sz val="8"/>
        <color indexed="8"/>
        <rFont val="Arial"/>
        <family val="2"/>
      </rPr>
      <t xml:space="preserve">
</t>
    </r>
  </si>
  <si>
    <t>Máximo y mínimo estadístico: media de los valores máximos y mínimos de los últimos 20 años.</t>
  </si>
  <si>
    <t>Evolución de la red de transporte peninsular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</si>
  <si>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Datos provisionales pendientes de auditoría en curso.</t>
    </r>
  </si>
  <si>
    <t>Evolución de la red de transporte de energía eléctrica peninsular</t>
  </si>
  <si>
    <t>Capacidad de transformación (MVA)</t>
  </si>
  <si>
    <t>Circuito ≤ 220 Kv (km)</t>
  </si>
  <si>
    <r>
      <t xml:space="preserve">2018 </t>
    </r>
    <r>
      <rPr>
        <b/>
        <vertAlign val="superscript"/>
        <sz val="8"/>
        <color theme="0"/>
        <rFont val="Arial"/>
        <family val="2"/>
      </rPr>
      <t>(1)</t>
    </r>
  </si>
  <si>
    <t>Francia</t>
  </si>
  <si>
    <t>Portugal</t>
  </si>
  <si>
    <t>Andorra</t>
  </si>
  <si>
    <t>Marruecos</t>
  </si>
  <si>
    <t>Saldos de los intercambios internacionales físicos de energía eléctrica</t>
  </si>
  <si>
    <t>Saldo positivo: importador, saldo negativo; exportador</t>
  </si>
  <si>
    <t>Entrada</t>
  </si>
  <si>
    <t>Salida</t>
  </si>
  <si>
    <t>Saldo</t>
  </si>
  <si>
    <t>Adrall-Margineda</t>
  </si>
  <si>
    <t>Irún-Errondenia</t>
  </si>
  <si>
    <t>Arkale-Argia</t>
  </si>
  <si>
    <t>Hernani-Argia</t>
  </si>
  <si>
    <t>Biescas-Pragneres</t>
  </si>
  <si>
    <t>Benós-Lac D'Oo</t>
  </si>
  <si>
    <t>Santa Llogaia-Baixas</t>
  </si>
  <si>
    <t>Vic-Baixas</t>
  </si>
  <si>
    <t>Cartelle-Lindoso</t>
  </si>
  <si>
    <t>Conchas-Lindoso</t>
  </si>
  <si>
    <t>Aldeadávila-Lagoaça</t>
  </si>
  <si>
    <t>Aldeadávila-Pocinho 1</t>
  </si>
  <si>
    <t>Aldeadávila-Pocinho 2</t>
  </si>
  <si>
    <t>Saucelle-Pocinho</t>
  </si>
  <si>
    <t>Cedillo-Falagueira</t>
  </si>
  <si>
    <t>Badajoz-Alcáçovas</t>
  </si>
  <si>
    <t>Brovales-Alqueva</t>
  </si>
  <si>
    <t>Encinasola-Barrancos</t>
  </si>
  <si>
    <t>Puebla de Guzman-Tavira</t>
  </si>
  <si>
    <t>P. de la Cruz_Melloussa</t>
  </si>
  <si>
    <r>
      <t xml:space="preserve">Intercambios internacionales físicos de energía eléctrica
</t>
    </r>
    <r>
      <rPr>
        <sz val="8"/>
        <color indexed="8"/>
        <rFont val="Arial"/>
        <family val="2"/>
      </rPr>
      <t>Año 2018</t>
    </r>
  </si>
  <si>
    <t>Intercambios internacionales físicos de energía eléctrica. Año 2018 (GWh)</t>
  </si>
  <si>
    <t>Acumulado (%)</t>
  </si>
  <si>
    <t>Islas Baleares</t>
  </si>
  <si>
    <t>Sistemas no peninsulares</t>
  </si>
  <si>
    <t>Balance de energía eléctrica sistema Islas Baleares (GWh)</t>
  </si>
  <si>
    <t>%18/17</t>
  </si>
  <si>
    <t>Motores diésel</t>
  </si>
  <si>
    <t>Balance de energía eléctrica sistema Islas Canarias (GWh)</t>
  </si>
  <si>
    <t>Balance de energía eléctrica sistema Ceuta (GWh)</t>
  </si>
  <si>
    <t>Balance de energía eléctrica sistema Melilla (GWh)</t>
  </si>
  <si>
    <r>
      <t xml:space="preserve">Variación anual de la demanda eléctrica peninsular
</t>
    </r>
    <r>
      <rPr>
        <sz val="8"/>
        <color indexed="8"/>
        <rFont val="Arial"/>
        <family val="2"/>
      </rPr>
      <t>Año móvil</t>
    </r>
  </si>
  <si>
    <t>Variación anual de la demanda eléctrica Islas Baleares (Año móvil)  (%)</t>
  </si>
  <si>
    <t>Variación anual de la demanda eléctrica Islas Canarias (Año móvil)  (%)</t>
  </si>
  <si>
    <t>Evolución de la red de transporte de energía eléctrica no peninsular</t>
  </si>
  <si>
    <t>Circuito 220 kV (km)</t>
  </si>
  <si>
    <t>Evolución de la red de transporte no penisular (km de circuito)</t>
  </si>
  <si>
    <t>Evolución de la red de transporte penisular (km de circuito)</t>
  </si>
  <si>
    <t>Componentes de la variación de la demanda eléctrica mensual Islas Baleares. Año 2018 (%)</t>
  </si>
  <si>
    <t>Componentes de la variación de la demanda eléctrica mensual Islas Canarias. Año 2018 (%)</t>
  </si>
  <si>
    <t>Variación respecto al mismo período del año anterior.</t>
  </si>
  <si>
    <t>Evolución mensual de la demanda eléctrica no peninsular</t>
  </si>
  <si>
    <t>% 2018/2017</t>
  </si>
  <si>
    <t>(MWh)</t>
  </si>
  <si>
    <t>Demanda diaria (MWh)</t>
  </si>
  <si>
    <t>Invierno (enero-mayo/octubre-diciembre)</t>
  </si>
  <si>
    <t>Verano (junio-septiembre)</t>
  </si>
  <si>
    <t>Potencia instalada a 31.12.2018. Sistema eléctrico Islas Baleares</t>
  </si>
  <si>
    <t>27 febrero</t>
  </si>
  <si>
    <t>13 septiembre</t>
  </si>
  <si>
    <t>25 septiembre</t>
  </si>
  <si>
    <t>27 febrero (20-21 h)</t>
  </si>
  <si>
    <t>24 septiembre (20-21 h)</t>
  </si>
  <si>
    <t>25 septiembre (13-14 h)</t>
  </si>
  <si>
    <t>Rosal de la Frontera-Ficalho</t>
  </si>
  <si>
    <t>4 de febrero (20-21 h)</t>
  </si>
  <si>
    <t>17 de julio (13-14 h)</t>
  </si>
  <si>
    <t>7 de julio (13-14 h)</t>
  </si>
  <si>
    <t>17 de febrero (20-21 h)</t>
  </si>
  <si>
    <t>6 de septiembre (13-14 h)</t>
  </si>
  <si>
    <t>18 de enero (20-21 h)</t>
  </si>
  <si>
    <t>13 de julio (13-14 h)</t>
  </si>
  <si>
    <t>8 de febrero (20-21 h)</t>
  </si>
  <si>
    <t>3 de agosto (13-14 h)</t>
  </si>
  <si>
    <t>Datos brutos</t>
  </si>
  <si>
    <t>Datos corregidos de laboralidad</t>
  </si>
  <si>
    <t>Corregidos de laboralidad y temperatura</t>
  </si>
  <si>
    <t>Otras activ.</t>
  </si>
  <si>
    <t>IRE: Componentes de la variación (%)</t>
  </si>
  <si>
    <t>8 febrero de 2018</t>
  </si>
  <si>
    <t>(20-21 h)</t>
  </si>
  <si>
    <t>Cobertura de la demanda eléctrica. Máxima horaria peninsular 8 de febrero de 2018 (20-21 h)</t>
  </si>
  <si>
    <t>MWh</t>
  </si>
  <si>
    <t>Carbon</t>
  </si>
  <si>
    <t>Total Emisiones (tCO2)</t>
  </si>
  <si>
    <t>Factor emisión (tCO2/MWh)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</si>
  <si>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asociadas a la generación eléctrica peninsular (tCO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</si>
  <si>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Potencia instalada a 31.12.2018. Sistema eléctrico Islas Canarias</t>
  </si>
  <si>
    <t xml:space="preserve">Cobertura de la demanda  eléctrica. Islas Baleares (Año 2018)
</t>
  </si>
  <si>
    <t xml:space="preserve">Cobertura de la demanda  eléctrica. Islas Canarias (Año 2018)
</t>
  </si>
  <si>
    <t>Energía producible hidráulica diaria peninsular 2018 comparada con el producible medio histórico año 2018</t>
  </si>
  <si>
    <r>
      <t xml:space="preserve">Reservas hidroeléctricas peninsulares 
</t>
    </r>
    <r>
      <rPr>
        <sz val="8"/>
        <color indexed="8"/>
        <rFont val="Arial"/>
        <family val="2"/>
      </rPr>
      <t>a 31 de diciembre de 2018</t>
    </r>
  </si>
  <si>
    <t>Evolución de la demanda eléctrica no peninsular</t>
  </si>
  <si>
    <r>
      <t xml:space="preserve">Variación anual de la demanda eléctrica 
</t>
    </r>
    <r>
      <rPr>
        <sz val="8"/>
        <color indexed="8"/>
        <rFont val="Arial"/>
        <family val="2"/>
      </rPr>
      <t>Islas Baleares (Año móvil)</t>
    </r>
  </si>
  <si>
    <r>
      <t xml:space="preserve">Variación anual de la demanda eléctrica 
</t>
    </r>
    <r>
      <rPr>
        <sz val="8"/>
        <color indexed="8"/>
        <rFont val="Arial"/>
        <family val="2"/>
      </rPr>
      <t>Islas Canarias (Año móvil)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</si>
  <si>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Baleares (Año 2018)</t>
    </r>
  </si>
  <si>
    <t>Información elaborada con datos a 16/01/2019</t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</si>
  <si>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Canarias (Año 2018)</t>
    </r>
  </si>
  <si>
    <r>
      <t xml:space="preserve">Máximos anuales de demanda no peninsular
</t>
    </r>
    <r>
      <rPr>
        <sz val="8"/>
        <color indexed="8"/>
        <rFont val="Arial"/>
        <family val="2"/>
      </rPr>
      <t>Año 2018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</si>
  <si>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2018
</t>
    </r>
  </si>
  <si>
    <r>
      <t xml:space="preserve">Potencia eléctrica instalada peninsular
</t>
    </r>
    <r>
      <rPr>
        <sz val="8"/>
        <color indexed="8"/>
        <rFont val="Arial"/>
        <family val="2"/>
      </rPr>
      <t>a 31 de diciembre de 2018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</si>
  <si>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eléctrica peninsular 
</t>
    </r>
    <r>
      <rPr>
        <sz val="8"/>
        <color indexed="8"/>
        <rFont val="Arial"/>
        <family val="2"/>
      </rPr>
      <t>Año 2018</t>
    </r>
  </si>
  <si>
    <r>
      <t xml:space="preserve">Cobertura de la demanda  eléctrica. 
</t>
    </r>
    <r>
      <rPr>
        <sz val="8"/>
        <color indexed="8"/>
        <rFont val="Arial"/>
        <family val="2"/>
      </rPr>
      <t>Máxima horaria peninsular 2018</t>
    </r>
  </si>
  <si>
    <r>
      <t xml:space="preserve">Variación mensual de la demanda eléctrica peninsular
</t>
    </r>
    <r>
      <rPr>
        <sz val="8"/>
        <color indexed="8"/>
        <rFont val="Arial"/>
        <family val="2"/>
      </rPr>
      <t>Año 2018</t>
    </r>
  </si>
  <si>
    <r>
      <t xml:space="preserve">Variación mensual de la demanda eléctrica no peninsular 
</t>
    </r>
    <r>
      <rPr>
        <sz val="8"/>
        <color indexed="8"/>
        <rFont val="Arial"/>
        <family val="2"/>
      </rPr>
      <t>Año 2018</t>
    </r>
  </si>
  <si>
    <r>
      <t xml:space="preserve">Balance de energía eléctrica nacional </t>
    </r>
    <r>
      <rPr>
        <b/>
        <vertAlign val="superscript"/>
        <sz val="8"/>
        <color indexed="8"/>
        <rFont val="Arial"/>
        <family val="2"/>
      </rPr>
      <t>(1)</t>
    </r>
  </si>
  <si>
    <t>Sistema</t>
  </si>
  <si>
    <t>Sistemas</t>
  </si>
  <si>
    <t xml:space="preserve">Total </t>
  </si>
  <si>
    <t>peninsular</t>
  </si>
  <si>
    <t>no peninsulares</t>
  </si>
  <si>
    <t>nacional</t>
  </si>
  <si>
    <r>
      <t xml:space="preserve">Turbinación bombeo </t>
    </r>
    <r>
      <rPr>
        <vertAlign val="superscript"/>
        <sz val="8"/>
        <color indexed="8"/>
        <rFont val="Arial"/>
        <family val="2"/>
      </rPr>
      <t>(2)</t>
    </r>
  </si>
  <si>
    <r>
      <t xml:space="preserve">Enlace Península-Baleares </t>
    </r>
    <r>
      <rPr>
        <vertAlign val="superscript"/>
        <sz val="8"/>
        <color indexed="8"/>
        <rFont val="Arial"/>
        <family val="2"/>
      </rPr>
      <t>(6)</t>
    </r>
  </si>
  <si>
    <r>
      <t xml:space="preserve">Saldo intercambios internacionales físicos </t>
    </r>
    <r>
      <rPr>
        <vertAlign val="superscript"/>
        <sz val="8"/>
        <color indexed="8"/>
        <rFont val="Arial"/>
        <family val="2"/>
      </rPr>
      <t>(7)</t>
    </r>
  </si>
  <si>
    <r>
      <rPr>
        <vertAlign val="superscript"/>
        <sz val="8"/>
        <color indexed="8"/>
        <rFont val="Arial"/>
        <family val="2"/>
      </rPr>
      <t>(6)</t>
    </r>
    <r>
      <rPr>
        <sz val="8"/>
        <color indexed="8"/>
        <rFont val="Arial"/>
        <family val="2"/>
      </rPr>
      <t xml:space="preserve"> Valor positivo: entrada de energía en el sistema; valor negativo: salida de energía del sistema.</t>
    </r>
  </si>
  <si>
    <r>
      <rPr>
        <vertAlign val="superscript"/>
        <sz val="8"/>
        <color indexed="8"/>
        <rFont val="Arial"/>
        <family val="2"/>
      </rPr>
      <t>(7)</t>
    </r>
    <r>
      <rPr>
        <sz val="8"/>
        <color indexed="8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</si>
  <si>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Balance de energía eléctrica no peninsular (GWh)</t>
  </si>
  <si>
    <t>Balance de potencia eléctrica instalada a 31.12.2018. Sistema eléctrico nacional</t>
  </si>
  <si>
    <t>Cobertura de la demanda anual de energía eléctrica peninsular 2017</t>
  </si>
  <si>
    <r>
      <t xml:space="preserve">Cobertura de la demanda eléctrica peninsular 
</t>
    </r>
    <r>
      <rPr>
        <sz val="8"/>
        <color indexed="8"/>
        <rFont val="Arial"/>
        <family val="2"/>
      </rPr>
      <t>Año 2017</t>
    </r>
  </si>
  <si>
    <t>Balance de energía eléctrica nacional (GWh)</t>
  </si>
  <si>
    <t>Saldo intercambios internacionales físicos</t>
  </si>
  <si>
    <r>
      <t xml:space="preserve">Balance anual de energía eléctrica sistemas no peninsulares </t>
    </r>
    <r>
      <rPr>
        <b/>
        <vertAlign val="superscript"/>
        <sz val="8"/>
        <color indexed="8"/>
        <rFont val="Arial"/>
        <family val="2"/>
      </rPr>
      <t>(1)</t>
    </r>
  </si>
  <si>
    <t xml:space="preserve">Fuel/gas </t>
  </si>
  <si>
    <r>
      <t xml:space="preserve">Ciclo combinado </t>
    </r>
    <r>
      <rPr>
        <vertAlign val="superscript"/>
        <sz val="8"/>
        <color indexed="8"/>
        <rFont val="Arial"/>
        <family val="2"/>
      </rPr>
      <t>(2)</t>
    </r>
  </si>
  <si>
    <r>
      <t xml:space="preserve">Generación auxiliar </t>
    </r>
    <r>
      <rPr>
        <vertAlign val="superscript"/>
        <sz val="8"/>
        <color indexed="8"/>
        <rFont val="Arial"/>
        <family val="2"/>
      </rPr>
      <t>(3)</t>
    </r>
  </si>
  <si>
    <r>
      <t xml:space="preserve">Otras renovables </t>
    </r>
    <r>
      <rPr>
        <vertAlign val="superscript"/>
        <sz val="8"/>
        <color indexed="8"/>
        <rFont val="Arial"/>
        <family val="2"/>
      </rPr>
      <t>(4)</t>
    </r>
  </si>
  <si>
    <r>
      <t xml:space="preserve">Enlace Península-Baleares </t>
    </r>
    <r>
      <rPr>
        <vertAlign val="superscript"/>
        <sz val="8"/>
        <color indexed="8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</si>
  <si>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</si>
  <si>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</si>
  <si>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</si>
  <si>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</si>
  <si>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</si>
  <si>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t xml:space="preserve">Ceuta </t>
  </si>
  <si>
    <t>Motores diesel</t>
  </si>
  <si>
    <r>
      <t xml:space="preserve">Generación auxiliar </t>
    </r>
    <r>
      <rPr>
        <vertAlign val="superscript"/>
        <sz val="8"/>
        <color indexed="8"/>
        <rFont val="Arial"/>
        <family val="2"/>
      </rPr>
      <t>(1)</t>
    </r>
  </si>
  <si>
    <r>
      <t xml:space="preserve">Otras renovables </t>
    </r>
    <r>
      <rPr>
        <vertAlign val="superscript"/>
        <sz val="8"/>
        <color indexed="8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</si>
  <si>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</si>
  <si>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</si>
  <si>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t>Evolución de la potencia instalada Islas Baleares (MW)</t>
  </si>
  <si>
    <t>Evolución de la potencia instalada Islas Canarias (MW)</t>
  </si>
  <si>
    <t>Evolución de la potencia instalada Ceuta (MW)</t>
  </si>
  <si>
    <t>Evolución de la potencia instalada Melilla (MW)</t>
  </si>
  <si>
    <t>Evolución de la potencia instalada no peninsular (MW)</t>
  </si>
  <si>
    <t>Desglose de potencia instalada a 31.12.2018. 
Sistemas no peninsulares</t>
  </si>
  <si>
    <t xml:space="preserve">Cobertura de la demanda  eléctrica. Islas Baleares (Año 2017)
</t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</si>
  <si>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2017
</t>
    </r>
  </si>
  <si>
    <t xml:space="preserve">Cobertura de la demanda  eléctrica. Islas Canarias (Año 2017)
</t>
  </si>
  <si>
    <t>Comunidad Valenciana</t>
  </si>
  <si>
    <t>Castilla León</t>
  </si>
  <si>
    <t>Demanda eléctrica por CC.AA. y variación respecto al año anterior</t>
  </si>
  <si>
    <t>Demanda (GWh)</t>
  </si>
  <si>
    <t>Variación (%)</t>
  </si>
  <si>
    <t xml:space="preserve"> &gt; 1,3 %</t>
  </si>
  <si>
    <t>Potencia instalada a 31.12.2018 por CC.AA. (MW)</t>
  </si>
  <si>
    <t>Potencia (MW)</t>
  </si>
  <si>
    <t xml:space="preserve"> &gt; 10.000</t>
  </si>
  <si>
    <t xml:space="preserve"> &gt; 4.000 a ≤ 10.000</t>
  </si>
  <si>
    <t>≤  -1 %</t>
  </si>
  <si>
    <t xml:space="preserve"> &gt;  -1,0 a ≤ 0,2 %</t>
  </si>
  <si>
    <t xml:space="preserve"> &gt; 0,2 a ≤ 1,3 %</t>
  </si>
  <si>
    <t>≤  1.000 MW</t>
  </si>
  <si>
    <r>
      <rPr>
        <sz val="8"/>
        <color rgb="FF004563"/>
        <rFont val="Calibri"/>
        <family val="2"/>
      </rPr>
      <t xml:space="preserve"> &gt;</t>
    </r>
    <r>
      <rPr>
        <sz val="8"/>
        <color rgb="FF004563"/>
        <rFont val="Arial"/>
        <family val="2"/>
      </rPr>
      <t xml:space="preserve"> 1.000 a </t>
    </r>
    <r>
      <rPr>
        <sz val="8"/>
        <color rgb="FF004563"/>
        <rFont val="Calibri"/>
        <family val="2"/>
      </rPr>
      <t xml:space="preserve">≤ </t>
    </r>
    <r>
      <rPr>
        <sz val="8"/>
        <color rgb="FF004563"/>
        <rFont val="Arial"/>
        <family val="2"/>
      </rPr>
      <t>4.000 MW</t>
    </r>
  </si>
  <si>
    <t>Potencia instalada por CC.AA. a 31.12.2018</t>
  </si>
  <si>
    <t>6 agosto (13-14 h)</t>
  </si>
  <si>
    <t>8 febrero (20-21 h)</t>
  </si>
  <si>
    <t>7 febrero (20-21 h)</t>
  </si>
  <si>
    <t>6 febrero (21-22 h)</t>
  </si>
  <si>
    <t>8 agosto (13-14 h)</t>
  </si>
  <si>
    <t>6 agosto</t>
  </si>
  <si>
    <t>8 febrero</t>
  </si>
  <si>
    <t>6 febrero</t>
  </si>
  <si>
    <t>8 agosto</t>
  </si>
  <si>
    <r>
      <t xml:space="preserve">Potencia eléctrica instalada
a 31 de diciembre de 2018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>Islas Baleares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</si>
  <si>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Año 2018
</t>
    </r>
    <r>
      <rPr>
        <sz val="8"/>
        <color indexed="8"/>
        <rFont val="Arial"/>
        <family val="2"/>
      </rPr>
      <t xml:space="preserve">
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</si>
  <si>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Año 2017
</t>
    </r>
  </si>
  <si>
    <t xml:space="preserve">Potencia eléctrica instalada
a 31 de diciembre de 2018 
Islas Canarias
</t>
  </si>
  <si>
    <t>Circuito 132 kV (km)</t>
  </si>
  <si>
    <t>Circuito ≤ 132 kV (km)</t>
  </si>
  <si>
    <t>Datos de kilómetros de circuito acumulados a 31 de diciembre de cada año. Incluye los activos de la red de transporte del resto de empresas.</t>
  </si>
  <si>
    <t>Datos de kilómetros de circuito y de capacidad de transformación acumulados a 31 de diciembre de 2018. Incluye los activos de la red de transporte del resto de empresas.</t>
  </si>
  <si>
    <t>Datos de kilómetros de circuito y de capacidad de transformación acumulados a 31 de diciembre de cada año. Incluye los activos de la red de transporte del resto de empresas.</t>
  </si>
  <si>
    <t>10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</si>
</sst>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_)"/>
    <numFmt numFmtId="165" formatCode="0.0_)"/>
    <numFmt numFmtId="166" formatCode="0.0"/>
    <numFmt numFmtId="167" formatCode="#,##0.0"/>
    <numFmt numFmtId="168" formatCode="#,##0.000"/>
    <numFmt numFmtId="169" formatCode="0.00_)"/>
    <numFmt numFmtId="170" formatCode="[$-C0A]d\-mmm\-yy;@"/>
    <numFmt numFmtId="171" formatCode="0.0\ \ \ \ _)"/>
    <numFmt numFmtId="172" formatCode="0\ \ \ \ _)"/>
    <numFmt numFmtId="173" formatCode="#,##0\ \ \ _)"/>
    <numFmt numFmtId="174" formatCode="#,##0.0\ \ \ _)"/>
    <numFmt numFmtId="175" formatCode="d;"/>
    <numFmt numFmtId="176" formatCode="#,##0\ _)"/>
    <numFmt numFmtId="177" formatCode="#,##0.00\ _)"/>
    <numFmt numFmtId="178" formatCode="mmm\-yyyy"/>
    <numFmt numFmtId="179" formatCode="#,##0.0000"/>
    <numFmt numFmtId="180" formatCode="#,##0.00000"/>
    <numFmt numFmtId="181" formatCode="0.000"/>
    <numFmt numFmtId="182" formatCode="0.0\ \ \ _)"/>
    <numFmt numFmtId="183" formatCode="0.0000_)"/>
    <numFmt numFmtId="184" formatCode="0.00000_)"/>
    <numFmt numFmtId="185" formatCode="0.00000000"/>
  </numFmts>
  <fonts count="64">
    <font>
      <sz val="10"/>
      <name val="Avant Gard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vant Garde"/>
    </font>
    <font>
      <sz val="10"/>
      <name val="Geneva"/>
      <family val="2"/>
    </font>
    <font>
      <sz val="10"/>
      <name val="Arial"/>
      <family val="2"/>
    </font>
    <font>
      <sz val="8"/>
      <color indexed="32"/>
      <name val="Arial"/>
      <family val="2"/>
    </font>
    <font>
      <sz val="10"/>
      <color indexed="3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32"/>
      <name val="Avant Garde"/>
    </font>
    <font>
      <b/>
      <sz val="8"/>
      <color indexed="32"/>
      <name val="Arial"/>
      <family val="2"/>
    </font>
    <font>
      <sz val="9"/>
      <name val="Avant Garde"/>
    </font>
    <font>
      <b/>
      <sz val="10"/>
      <color rgb="FF004563"/>
      <name val="Arial"/>
      <family val="2"/>
    </font>
    <font>
      <sz val="8"/>
      <color rgb="FF004563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4563"/>
      <name val="Arial"/>
      <family val="2"/>
    </font>
    <font>
      <sz val="10"/>
      <name val="Geneva"/>
    </font>
    <font>
      <b/>
      <vertAlign val="superscript"/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vertAlign val="superscript"/>
      <sz val="8"/>
      <color rgb="FF004563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sz val="8"/>
      <color rgb="FF005463"/>
      <name val="Arial"/>
      <family val="2"/>
    </font>
    <font>
      <sz val="10"/>
      <color rgb="FF004563"/>
      <name val="Geneva"/>
    </font>
    <font>
      <sz val="8"/>
      <color theme="0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Geneva"/>
    </font>
    <font>
      <sz val="10"/>
      <color indexed="56"/>
      <name val="Geneva"/>
    </font>
    <font>
      <b/>
      <sz val="10"/>
      <color indexed="8"/>
      <name val="Geneva"/>
    </font>
    <font>
      <b/>
      <sz val="8"/>
      <color theme="0"/>
      <name val="Symbol"/>
      <family val="1"/>
      <charset val="2"/>
    </font>
    <font>
      <sz val="10"/>
      <color indexed="10"/>
      <name val="Geneva"/>
      <family val="2"/>
    </font>
    <font>
      <b/>
      <vertAlign val="superscript"/>
      <sz val="8"/>
      <color rgb="FF004563"/>
      <name val="Arial"/>
      <family val="2"/>
    </font>
    <font>
      <sz val="8"/>
      <color indexed="10"/>
      <name val="Arial"/>
      <family val="2"/>
    </font>
    <font>
      <sz val="8"/>
      <color rgb="FFFFF9E9"/>
      <name val="Arial"/>
      <family val="2"/>
    </font>
    <font>
      <b/>
      <vertAlign val="subscript"/>
      <sz val="8"/>
      <color indexed="8"/>
      <name val="Arial"/>
      <family val="2"/>
    </font>
    <font>
      <b/>
      <vertAlign val="superscript"/>
      <sz val="8"/>
      <color theme="0"/>
      <name val="Arial"/>
      <family val="2"/>
    </font>
    <font>
      <sz val="10"/>
      <color theme="1"/>
      <name val="Geneva"/>
      <family val="2"/>
    </font>
    <font>
      <u/>
      <sz val="10"/>
      <color rgb="FFFF0000"/>
      <name val="Avant Garde"/>
    </font>
    <font>
      <sz val="10"/>
      <color indexed="10"/>
      <name val="Arial"/>
      <family val="2"/>
    </font>
    <font>
      <sz val="8"/>
      <color theme="0" tint="-0.499984740745262"/>
      <name val="Arial"/>
      <family val="2"/>
    </font>
    <font>
      <sz val="8"/>
      <name val="Geneva"/>
    </font>
    <font>
      <sz val="10"/>
      <color rgb="FF004563"/>
      <name val="Geneva"/>
      <family val="2"/>
    </font>
    <font>
      <sz val="10"/>
      <color theme="0"/>
      <name val="Avant Garde"/>
    </font>
    <font>
      <sz val="8"/>
      <color theme="0"/>
      <name val="Geneva"/>
    </font>
    <font>
      <sz val="10"/>
      <color theme="0"/>
      <name val="Geneva"/>
    </font>
    <font>
      <sz val="10"/>
      <color indexed="9"/>
      <name val="Geneva"/>
    </font>
    <font>
      <b/>
      <sz val="8"/>
      <color indexed="9"/>
      <name val="Geneva"/>
    </font>
    <font>
      <sz val="10"/>
      <color indexed="9"/>
      <name val="Arial"/>
      <family val="2"/>
    </font>
    <font>
      <sz val="10"/>
      <color rgb="FFFF0000"/>
      <name val="Geneva"/>
    </font>
    <font>
      <b/>
      <sz val="10"/>
      <name val="Geneva"/>
    </font>
    <font>
      <sz val="11"/>
      <color rgb="FF9C6500"/>
      <name val="Calibri"/>
      <family val="2"/>
      <scheme val="minor"/>
    </font>
    <font>
      <sz val="8"/>
      <color rgb="FF00456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A0A0A0"/>
      </bottom>
      <diagonal/>
    </border>
    <border>
      <left/>
      <right/>
      <top style="thin">
        <color rgb="FFA0A0A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21">
    <xf numFmtId="0" fontId="0" fillId="0" borderId="0"/>
    <xf numFmtId="0" fontId="4" fillId="0" borderId="0"/>
    <xf numFmtId="170" fontId="18" fillId="0" borderId="0"/>
    <xf numFmtId="0" fontId="5" fillId="0" borderId="0"/>
    <xf numFmtId="0" fontId="4" fillId="0" borderId="0"/>
    <xf numFmtId="0" fontId="21" fillId="0" borderId="0"/>
    <xf numFmtId="0" fontId="5" fillId="0" borderId="0"/>
    <xf numFmtId="164" fontId="21" fillId="0" borderId="0"/>
    <xf numFmtId="0" fontId="5" fillId="0" borderId="0"/>
    <xf numFmtId="0" fontId="5" fillId="0" borderId="0"/>
    <xf numFmtId="0" fontId="4" fillId="0" borderId="0"/>
    <xf numFmtId="0" fontId="21" fillId="0" borderId="0"/>
    <xf numFmtId="0" fontId="37" fillId="0" borderId="0" applyNumberFormat="0" applyFill="0" applyBorder="0" applyAlignment="0" applyProtection="0">
      <alignment vertical="top"/>
      <protection locked="0"/>
    </xf>
    <xf numFmtId="164" fontId="21" fillId="0" borderId="0"/>
    <xf numFmtId="0" fontId="5" fillId="0" borderId="0"/>
    <xf numFmtId="0" fontId="5" fillId="0" borderId="0"/>
    <xf numFmtId="0" fontId="5" fillId="0" borderId="0"/>
    <xf numFmtId="164" fontId="21" fillId="0" borderId="0"/>
    <xf numFmtId="0" fontId="2" fillId="0" borderId="0"/>
    <xf numFmtId="0" fontId="62" fillId="10" borderId="0" applyNumberFormat="0" applyBorder="0" applyAlignment="0" applyProtection="0"/>
    <xf numFmtId="0" fontId="1" fillId="0" borderId="0"/>
  </cellStyleXfs>
  <cellXfs count="656">
    <xf numFmtId="0" fontId="0" fillId="0" borderId="0" xfId="0"/>
    <xf numFmtId="0" fontId="8" fillId="0" borderId="0" xfId="0" applyFont="1"/>
    <xf numFmtId="0" fontId="8" fillId="0" borderId="0" xfId="0" applyFont="1" applyFill="1"/>
    <xf numFmtId="0" fontId="11" fillId="0" borderId="0" xfId="0" applyFont="1" applyFill="1"/>
    <xf numFmtId="0" fontId="11" fillId="0" borderId="0" xfId="4" applyFont="1" applyFill="1" applyProtection="1"/>
    <xf numFmtId="0" fontId="11" fillId="0" borderId="0" xfId="4" applyFont="1" applyFill="1"/>
    <xf numFmtId="0" fontId="10" fillId="0" borderId="0" xfId="5" applyFont="1" applyFill="1" applyAlignment="1" applyProtection="1">
      <alignment horizontal="right"/>
    </xf>
    <xf numFmtId="0" fontId="10" fillId="0" borderId="0" xfId="6" applyFont="1" applyFill="1" applyAlignment="1" applyProtection="1">
      <alignment horizontal="right"/>
    </xf>
    <xf numFmtId="0" fontId="10" fillId="0" borderId="0" xfId="6" applyFont="1" applyFill="1" applyAlignment="1" applyProtection="1">
      <alignment horizontal="right"/>
    </xf>
    <xf numFmtId="0" fontId="10" fillId="0" borderId="0" xfId="5" applyFont="1" applyFill="1" applyBorder="1" applyAlignment="1" applyProtection="1"/>
    <xf numFmtId="0" fontId="21" fillId="0" borderId="0" xfId="5"/>
    <xf numFmtId="0" fontId="12" fillId="0" borderId="0" xfId="4" applyFont="1" applyFill="1" applyAlignment="1" applyProtection="1">
      <alignment vertical="top" wrapText="1"/>
    </xf>
    <xf numFmtId="0" fontId="8" fillId="0" borderId="0" xfId="4" applyFont="1" applyFill="1" applyProtection="1"/>
    <xf numFmtId="3" fontId="23" fillId="2" borderId="2" xfId="4" applyNumberFormat="1" applyFont="1" applyFill="1" applyBorder="1" applyAlignment="1" applyProtection="1">
      <alignment horizontal="left" indent="1"/>
    </xf>
    <xf numFmtId="3" fontId="23" fillId="2" borderId="2" xfId="4" applyNumberFormat="1" applyFont="1" applyFill="1" applyBorder="1" applyAlignment="1" applyProtection="1">
      <alignment horizontal="right" textRotation="90"/>
    </xf>
    <xf numFmtId="164" fontId="12" fillId="0" borderId="0" xfId="7" applyFont="1" applyFill="1" applyBorder="1" applyAlignment="1" applyProtection="1">
      <alignment vertical="top" wrapText="1"/>
    </xf>
    <xf numFmtId="0" fontId="12" fillId="0" borderId="0" xfId="8" applyFont="1" applyFill="1" applyBorder="1" applyAlignment="1" applyProtection="1">
      <alignment vertical="top" wrapText="1"/>
    </xf>
    <xf numFmtId="0" fontId="24" fillId="0" borderId="0" xfId="4" applyFont="1" applyFill="1" applyBorder="1" applyProtection="1"/>
    <xf numFmtId="3" fontId="11" fillId="3" borderId="0" xfId="4" applyNumberFormat="1" applyFont="1" applyFill="1" applyBorder="1" applyAlignment="1" applyProtection="1">
      <alignment horizontal="left"/>
    </xf>
    <xf numFmtId="3" fontId="11" fillId="3" borderId="0" xfId="4" applyNumberFormat="1" applyFont="1" applyFill="1" applyBorder="1" applyAlignment="1" applyProtection="1">
      <alignment horizontal="right"/>
    </xf>
    <xf numFmtId="166" fontId="8" fillId="0" borderId="0" xfId="4" applyNumberFormat="1" applyFont="1" applyFill="1" applyBorder="1" applyProtection="1"/>
    <xf numFmtId="3" fontId="11" fillId="0" borderId="0" xfId="7" applyNumberFormat="1" applyFont="1" applyFill="1" applyBorder="1" applyAlignment="1" applyProtection="1">
      <alignment horizontal="right" vertical="top" wrapText="1"/>
    </xf>
    <xf numFmtId="167" fontId="11" fillId="0" borderId="0" xfId="4" applyNumberFormat="1" applyFont="1" applyFill="1"/>
    <xf numFmtId="166" fontId="11" fillId="0" borderId="0" xfId="4" applyNumberFormat="1" applyFont="1" applyFill="1" applyProtection="1"/>
    <xf numFmtId="0" fontId="17" fillId="3" borderId="0" xfId="9" applyFont="1" applyFill="1" applyBorder="1" applyAlignment="1"/>
    <xf numFmtId="0" fontId="11" fillId="0" borderId="0" xfId="4" applyFont="1" applyFill="1" applyAlignment="1" applyProtection="1"/>
    <xf numFmtId="0" fontId="11" fillId="0" borderId="0" xfId="4" applyFont="1" applyFill="1" applyBorder="1" applyProtection="1"/>
    <xf numFmtId="3" fontId="11" fillId="0" borderId="0" xfId="4" applyNumberFormat="1" applyFont="1" applyFill="1" applyBorder="1" applyAlignment="1" applyProtection="1">
      <alignment horizontal="right"/>
    </xf>
    <xf numFmtId="164" fontId="11" fillId="3" borderId="0" xfId="7" applyFont="1" applyFill="1" applyBorder="1" applyAlignment="1" applyProtection="1">
      <alignment horizontal="left"/>
    </xf>
    <xf numFmtId="3" fontId="11" fillId="0" borderId="0" xfId="4" applyNumberFormat="1" applyFont="1" applyFill="1" applyAlignment="1" applyProtection="1">
      <alignment horizontal="right"/>
    </xf>
    <xf numFmtId="0" fontId="17" fillId="3" borderId="0" xfId="5" applyFont="1" applyFill="1" applyBorder="1" applyAlignment="1" applyProtection="1">
      <alignment horizontal="left"/>
    </xf>
    <xf numFmtId="3" fontId="12" fillId="3" borderId="0" xfId="4" applyNumberFormat="1" applyFont="1" applyFill="1" applyBorder="1" applyAlignment="1" applyProtection="1">
      <alignment horizontal="left"/>
    </xf>
    <xf numFmtId="3" fontId="12" fillId="3" borderId="0" xfId="4" applyNumberFormat="1" applyFont="1" applyFill="1" applyBorder="1" applyAlignment="1" applyProtection="1">
      <alignment horizontal="right"/>
    </xf>
    <xf numFmtId="3" fontId="12" fillId="3" borderId="4" xfId="4" applyNumberFormat="1" applyFont="1" applyFill="1" applyBorder="1" applyAlignment="1" applyProtection="1"/>
    <xf numFmtId="3" fontId="12" fillId="3" borderId="4" xfId="4" applyNumberFormat="1" applyFont="1" applyFill="1" applyBorder="1" applyAlignment="1" applyProtection="1">
      <alignment horizontal="right"/>
    </xf>
    <xf numFmtId="3" fontId="12" fillId="3" borderId="4" xfId="4" applyNumberFormat="1" applyFont="1" applyFill="1" applyBorder="1" applyAlignment="1" applyProtection="1">
      <alignment horizontal="left"/>
    </xf>
    <xf numFmtId="49" fontId="12" fillId="3" borderId="2" xfId="4" applyNumberFormat="1" applyFont="1" applyFill="1" applyBorder="1" applyAlignment="1" applyProtection="1"/>
    <xf numFmtId="167" fontId="12" fillId="3" borderId="2" xfId="4" applyNumberFormat="1" applyFont="1" applyFill="1" applyBorder="1" applyAlignment="1" applyProtection="1">
      <alignment horizontal="right"/>
    </xf>
    <xf numFmtId="3" fontId="11" fillId="0" borderId="0" xfId="4" applyNumberFormat="1" applyFont="1" applyFill="1" applyBorder="1" applyAlignment="1" applyProtection="1">
      <alignment horizontal="left" indent="1"/>
    </xf>
    <xf numFmtId="1" fontId="11" fillId="0" borderId="0" xfId="4" applyNumberFormat="1" applyFont="1" applyFill="1" applyProtection="1"/>
    <xf numFmtId="3" fontId="11" fillId="3" borderId="0" xfId="4" applyNumberFormat="1" applyFont="1" applyFill="1" applyBorder="1" applyAlignment="1" applyProtection="1"/>
    <xf numFmtId="3" fontId="11" fillId="0" borderId="0" xfId="4" applyNumberFormat="1" applyFont="1" applyFill="1" applyProtection="1"/>
    <xf numFmtId="3" fontId="11" fillId="3" borderId="0" xfId="4" applyNumberFormat="1" applyFont="1" applyFill="1" applyAlignment="1" applyProtection="1"/>
    <xf numFmtId="3" fontId="11" fillId="3" borderId="0" xfId="4" applyNumberFormat="1" applyFont="1" applyFill="1" applyAlignment="1" applyProtection="1">
      <alignment horizontal="right"/>
    </xf>
    <xf numFmtId="3" fontId="11" fillId="0" borderId="0" xfId="4" applyNumberFormat="1" applyFont="1" applyFill="1"/>
    <xf numFmtId="0" fontId="27" fillId="0" borderId="0" xfId="4" applyFont="1" applyFill="1"/>
    <xf numFmtId="0" fontId="8" fillId="0" borderId="0" xfId="5" applyFont="1"/>
    <xf numFmtId="0" fontId="11" fillId="0" borderId="0" xfId="4" applyFont="1" applyFill="1" applyBorder="1"/>
    <xf numFmtId="0" fontId="11" fillId="0" borderId="0" xfId="7" applyNumberFormat="1" applyFont="1" applyFill="1" applyBorder="1" applyAlignment="1" applyProtection="1"/>
    <xf numFmtId="166" fontId="17" fillId="0" borderId="0" xfId="5" applyNumberFormat="1" applyFont="1" applyFill="1" applyBorder="1" applyAlignment="1" applyProtection="1"/>
    <xf numFmtId="166" fontId="28" fillId="0" borderId="0" xfId="5" applyNumberFormat="1" applyFont="1" applyFill="1" applyBorder="1" applyAlignment="1" applyProtection="1"/>
    <xf numFmtId="0" fontId="11" fillId="0" borderId="0" xfId="7" applyNumberFormat="1" applyFont="1" applyFill="1" applyAlignment="1" applyProtection="1"/>
    <xf numFmtId="0" fontId="12" fillId="0" borderId="0" xfId="5" applyFont="1" applyFill="1" applyBorder="1" applyAlignment="1" applyProtection="1">
      <alignment vertical="top" wrapText="1"/>
    </xf>
    <xf numFmtId="0" fontId="29" fillId="2" borderId="2" xfId="5" applyFont="1" applyFill="1" applyBorder="1" applyAlignment="1" applyProtection="1">
      <alignment horizontal="center"/>
    </xf>
    <xf numFmtId="3" fontId="23" fillId="2" borderId="2" xfId="5" applyNumberFormat="1" applyFont="1" applyFill="1" applyBorder="1" applyAlignment="1" applyProtection="1">
      <alignment horizontal="right" textRotation="90"/>
    </xf>
    <xf numFmtId="3" fontId="11" fillId="3" borderId="0" xfId="10" applyNumberFormat="1" applyFont="1" applyFill="1" applyBorder="1" applyProtection="1"/>
    <xf numFmtId="3" fontId="11" fillId="3" borderId="0" xfId="10" applyNumberFormat="1" applyFont="1" applyFill="1" applyBorder="1" applyAlignment="1" applyProtection="1">
      <alignment horizontal="right"/>
    </xf>
    <xf numFmtId="166" fontId="8" fillId="0" borderId="0" xfId="5" applyNumberFormat="1" applyFont="1"/>
    <xf numFmtId="0" fontId="29" fillId="0" borderId="0" xfId="5" applyFont="1"/>
    <xf numFmtId="3" fontId="12" fillId="3" borderId="4" xfId="10" applyNumberFormat="1" applyFont="1" applyFill="1" applyBorder="1" applyProtection="1"/>
    <xf numFmtId="3" fontId="12" fillId="3" borderId="5" xfId="10" applyNumberFormat="1" applyFont="1" applyFill="1" applyBorder="1" applyProtection="1"/>
    <xf numFmtId="167" fontId="12" fillId="3" borderId="2" xfId="10" applyNumberFormat="1" applyFont="1" applyFill="1" applyBorder="1" applyProtection="1"/>
    <xf numFmtId="3" fontId="8" fillId="0" borderId="0" xfId="5" applyNumberFormat="1" applyFont="1" applyFill="1" applyBorder="1" applyAlignment="1" applyProtection="1">
      <alignment horizontal="left" indent="1"/>
    </xf>
    <xf numFmtId="3" fontId="8" fillId="0" borderId="0" xfId="5" applyNumberFormat="1" applyFont="1"/>
    <xf numFmtId="3" fontId="11" fillId="0" borderId="0" xfId="5" applyNumberFormat="1" applyFont="1" applyFill="1" applyBorder="1" applyAlignment="1" applyProtection="1">
      <alignment horizontal="left" indent="1"/>
    </xf>
    <xf numFmtId="3" fontId="11" fillId="0" borderId="0" xfId="5" applyNumberFormat="1" applyFont="1" applyFill="1" applyBorder="1" applyAlignment="1" applyProtection="1">
      <alignment horizontal="right"/>
    </xf>
    <xf numFmtId="0" fontId="17" fillId="0" borderId="0" xfId="5" applyNumberFormat="1" applyFont="1" applyFill="1" applyBorder="1" applyAlignment="1" applyProtection="1">
      <alignment vertical="top" wrapText="1"/>
    </xf>
    <xf numFmtId="0" fontId="17" fillId="0" borderId="0" xfId="7" applyNumberFormat="1" applyFont="1" applyFill="1" applyBorder="1" applyAlignment="1" applyProtection="1">
      <alignment vertical="center"/>
    </xf>
    <xf numFmtId="0" fontId="30" fillId="0" borderId="0" xfId="7" applyNumberFormat="1" applyFont="1" applyFill="1" applyBorder="1" applyAlignment="1" applyProtection="1">
      <alignment vertical="center"/>
    </xf>
    <xf numFmtId="0" fontId="17" fillId="0" borderId="0" xfId="8" applyFont="1" applyFill="1" applyBorder="1" applyProtection="1"/>
    <xf numFmtId="0" fontId="20" fillId="0" borderId="0" xfId="8" applyFont="1" applyFill="1" applyBorder="1" applyAlignment="1" applyProtection="1">
      <alignment horizontal="right"/>
    </xf>
    <xf numFmtId="0" fontId="16" fillId="0" borderId="0" xfId="6" applyFont="1" applyFill="1" applyAlignment="1" applyProtection="1">
      <alignment horizontal="right"/>
    </xf>
    <xf numFmtId="0" fontId="16" fillId="0" borderId="0" xfId="11" applyFont="1" applyFill="1" applyBorder="1" applyAlignment="1" applyProtection="1"/>
    <xf numFmtId="0" fontId="17" fillId="0" borderId="0" xfId="8" applyFont="1" applyFill="1" applyProtection="1"/>
    <xf numFmtId="3" fontId="17" fillId="3" borderId="0" xfId="9" applyNumberFormat="1" applyFont="1" applyFill="1" applyBorder="1" applyAlignment="1"/>
    <xf numFmtId="166" fontId="17" fillId="0" borderId="0" xfId="8" applyNumberFormat="1" applyFont="1" applyFill="1" applyProtection="1"/>
    <xf numFmtId="3" fontId="17" fillId="0" borderId="0" xfId="8" applyNumberFormat="1" applyFont="1" applyFill="1" applyProtection="1"/>
    <xf numFmtId="0" fontId="17" fillId="0" borderId="0" xfId="11" applyFont="1"/>
    <xf numFmtId="0" fontId="20" fillId="0" borderId="2" xfId="9" applyFont="1" applyFill="1" applyBorder="1" applyAlignment="1"/>
    <xf numFmtId="0" fontId="20" fillId="3" borderId="4" xfId="9" applyFont="1" applyFill="1" applyBorder="1" applyAlignment="1"/>
    <xf numFmtId="0" fontId="20" fillId="3" borderId="2" xfId="9" applyFont="1" applyFill="1" applyBorder="1" applyAlignment="1">
      <alignment horizontal="right" textRotation="90"/>
    </xf>
    <xf numFmtId="0" fontId="20" fillId="3" borderId="4" xfId="9" applyFont="1" applyFill="1" applyBorder="1" applyAlignment="1">
      <alignment horizontal="right" textRotation="90"/>
    </xf>
    <xf numFmtId="0" fontId="17" fillId="0" borderId="0" xfId="8" applyFont="1" applyFill="1" applyAlignment="1" applyProtection="1">
      <alignment textRotation="90"/>
    </xf>
    <xf numFmtId="3" fontId="17" fillId="3" borderId="0" xfId="9" applyNumberFormat="1" applyFont="1" applyFill="1" applyBorder="1" applyAlignment="1">
      <alignment horizontal="right"/>
    </xf>
    <xf numFmtId="3" fontId="32" fillId="0" borderId="0" xfId="8" applyNumberFormat="1" applyFont="1" applyFill="1" applyProtection="1"/>
    <xf numFmtId="166" fontId="28" fillId="0" borderId="0" xfId="8" applyNumberFormat="1" applyFont="1" applyFill="1" applyProtection="1"/>
    <xf numFmtId="0" fontId="20" fillId="3" borderId="2" xfId="9" applyFont="1" applyFill="1" applyBorder="1" applyAlignment="1"/>
    <xf numFmtId="3" fontId="20" fillId="3" borderId="2" xfId="9" applyNumberFormat="1" applyFont="1" applyFill="1" applyBorder="1" applyAlignment="1"/>
    <xf numFmtId="3" fontId="20" fillId="3" borderId="2" xfId="9" applyNumberFormat="1" applyFont="1" applyFill="1" applyBorder="1" applyAlignment="1">
      <alignment horizontal="right"/>
    </xf>
    <xf numFmtId="0" fontId="32" fillId="0" borderId="0" xfId="8" applyFont="1" applyFill="1" applyProtection="1"/>
    <xf numFmtId="3" fontId="20" fillId="3" borderId="4" xfId="9" applyNumberFormat="1" applyFont="1" applyFill="1" applyBorder="1" applyAlignment="1"/>
    <xf numFmtId="3" fontId="20" fillId="3" borderId="4" xfId="9" applyNumberFormat="1" applyFont="1" applyFill="1" applyBorder="1" applyAlignment="1">
      <alignment horizontal="right"/>
    </xf>
    <xf numFmtId="3" fontId="17" fillId="0" borderId="0" xfId="11" applyNumberFormat="1" applyFont="1"/>
    <xf numFmtId="168" fontId="17" fillId="0" borderId="0" xfId="11" applyNumberFormat="1" applyFont="1"/>
    <xf numFmtId="3" fontId="32" fillId="0" borderId="0" xfId="11" applyNumberFormat="1" applyFont="1"/>
    <xf numFmtId="3" fontId="17" fillId="0" borderId="2" xfId="9" applyNumberFormat="1" applyFont="1" applyFill="1" applyBorder="1" applyAlignment="1"/>
    <xf numFmtId="3" fontId="32" fillId="0" borderId="2" xfId="9" applyNumberFormat="1" applyFont="1" applyFill="1" applyBorder="1" applyAlignment="1"/>
    <xf numFmtId="1" fontId="17" fillId="0" borderId="0" xfId="8" applyNumberFormat="1" applyFont="1" applyFill="1" applyProtection="1"/>
    <xf numFmtId="166" fontId="32" fillId="0" borderId="0" xfId="8" applyNumberFormat="1" applyFont="1" applyFill="1" applyProtection="1"/>
    <xf numFmtId="167" fontId="17" fillId="0" borderId="0" xfId="8" applyNumberFormat="1" applyFont="1" applyFill="1" applyProtection="1"/>
    <xf numFmtId="167" fontId="32" fillId="0" borderId="0" xfId="11" applyNumberFormat="1" applyFont="1"/>
    <xf numFmtId="168" fontId="17" fillId="0" borderId="0" xfId="8" applyNumberFormat="1" applyFont="1" applyFill="1" applyProtection="1"/>
    <xf numFmtId="0" fontId="28" fillId="0" borderId="0" xfId="8" applyFont="1" applyFill="1" applyProtection="1"/>
    <xf numFmtId="3" fontId="28" fillId="0" borderId="0" xfId="8" applyNumberFormat="1" applyFont="1" applyFill="1" applyProtection="1"/>
    <xf numFmtId="3" fontId="20" fillId="0" borderId="0" xfId="10" applyNumberFormat="1" applyFont="1" applyFill="1" applyBorder="1" applyProtection="1"/>
    <xf numFmtId="0" fontId="21" fillId="0" borderId="0" xfId="11" applyFill="1" applyProtection="1"/>
    <xf numFmtId="0" fontId="4" fillId="0" borderId="0" xfId="11" applyFont="1" applyFill="1" applyProtection="1"/>
    <xf numFmtId="0" fontId="33" fillId="0" borderId="0" xfId="11" applyFont="1" applyFill="1" applyBorder="1" applyProtection="1"/>
    <xf numFmtId="0" fontId="10" fillId="0" borderId="0" xfId="11" applyFont="1" applyFill="1" applyBorder="1" applyAlignment="1" applyProtection="1"/>
    <xf numFmtId="0" fontId="34" fillId="0" borderId="0" xfId="11" applyFont="1" applyFill="1" applyBorder="1" applyProtection="1"/>
    <xf numFmtId="0" fontId="12" fillId="0" borderId="0" xfId="11" applyFont="1" applyFill="1" applyBorder="1" applyAlignment="1" applyProtection="1"/>
    <xf numFmtId="0" fontId="12" fillId="0" borderId="0" xfId="11" applyFont="1" applyFill="1" applyBorder="1" applyAlignment="1" applyProtection="1">
      <alignment horizontal="right" vertical="center"/>
    </xf>
    <xf numFmtId="0" fontId="34" fillId="3" borderId="0" xfId="11" applyFont="1" applyFill="1" applyBorder="1" applyAlignment="1" applyProtection="1">
      <alignment horizontal="left" indent="1"/>
    </xf>
    <xf numFmtId="0" fontId="35" fillId="0" borderId="0" xfId="11" applyFont="1" applyFill="1" applyBorder="1" applyAlignment="1" applyProtection="1">
      <alignment horizontal="right"/>
    </xf>
    <xf numFmtId="0" fontId="36" fillId="3" borderId="0" xfId="11" applyFont="1" applyFill="1" applyBorder="1" applyAlignment="1" applyProtection="1">
      <alignment horizontal="right" vertical="center"/>
    </xf>
    <xf numFmtId="0" fontId="12" fillId="3" borderId="0" xfId="12" applyFont="1" applyFill="1" applyBorder="1" applyAlignment="1" applyProtection="1">
      <alignment horizontal="left"/>
    </xf>
    <xf numFmtId="0" fontId="21" fillId="0" borderId="0" xfId="11"/>
    <xf numFmtId="0" fontId="12" fillId="3" borderId="0" xfId="12" applyFont="1" applyFill="1" applyBorder="1" applyAlignment="1" applyProtection="1">
      <alignment horizontal="justify" vertical="center" wrapText="1"/>
    </xf>
    <xf numFmtId="0" fontId="9" fillId="0" borderId="0" xfId="11" applyFont="1" applyFill="1" applyBorder="1" applyAlignment="1" applyProtection="1"/>
    <xf numFmtId="164" fontId="0" fillId="0" borderId="0" xfId="13" applyFont="1" applyFill="1" applyProtection="1"/>
    <xf numFmtId="164" fontId="38" fillId="0" borderId="0" xfId="13" applyFont="1" applyFill="1" applyBorder="1" applyProtection="1"/>
    <xf numFmtId="164" fontId="39" fillId="0" borderId="0" xfId="13" applyFont="1" applyFill="1" applyBorder="1" applyProtection="1"/>
    <xf numFmtId="164" fontId="12" fillId="0" borderId="0" xfId="13" applyFont="1" applyFill="1" applyBorder="1" applyAlignment="1" applyProtection="1"/>
    <xf numFmtId="164" fontId="12" fillId="0" borderId="0" xfId="13" applyFont="1" applyFill="1" applyBorder="1" applyAlignment="1" applyProtection="1">
      <alignment horizontal="left" vertical="center" indent="1"/>
    </xf>
    <xf numFmtId="164" fontId="39" fillId="0" borderId="0" xfId="13" applyFont="1" applyFill="1" applyBorder="1" applyAlignment="1" applyProtection="1">
      <alignment horizontal="left" indent="1"/>
    </xf>
    <xf numFmtId="164" fontId="12" fillId="3" borderId="0" xfId="13" applyFont="1" applyFill="1" applyBorder="1" applyAlignment="1" applyProtection="1">
      <alignment horizontal="left"/>
    </xf>
    <xf numFmtId="164" fontId="39" fillId="3" borderId="0" xfId="13" applyFont="1" applyFill="1" applyBorder="1" applyAlignment="1" applyProtection="1">
      <alignment horizontal="left" indent="1"/>
    </xf>
    <xf numFmtId="164" fontId="0" fillId="0" borderId="0" xfId="13" applyFont="1" applyFill="1" applyBorder="1" applyProtection="1"/>
    <xf numFmtId="164" fontId="31" fillId="0" borderId="0" xfId="13" applyFont="1" applyFill="1" applyBorder="1" applyAlignment="1" applyProtection="1">
      <alignment horizontal="left"/>
    </xf>
    <xf numFmtId="164" fontId="0" fillId="0" borderId="0" xfId="13" applyNumberFormat="1" applyFont="1" applyFill="1" applyBorder="1" applyProtection="1"/>
    <xf numFmtId="164" fontId="11" fillId="0" borderId="0" xfId="11" applyNumberFormat="1" applyFont="1" applyFill="1" applyBorder="1" applyAlignment="1" applyProtection="1">
      <alignment horizontal="left" wrapText="1"/>
    </xf>
    <xf numFmtId="169" fontId="12" fillId="0" borderId="0" xfId="13" applyNumberFormat="1" applyFont="1" applyFill="1" applyBorder="1" applyAlignment="1" applyProtection="1">
      <alignment horizontal="left" vertical="center" indent="1"/>
    </xf>
    <xf numFmtId="164" fontId="11" fillId="0" borderId="0" xfId="11" applyNumberFormat="1" applyFont="1" applyFill="1" applyBorder="1" applyAlignment="1" applyProtection="1">
      <alignment vertical="center" wrapText="1"/>
    </xf>
    <xf numFmtId="0" fontId="5" fillId="0" borderId="0" xfId="14" applyFill="1" applyProtection="1"/>
    <xf numFmtId="0" fontId="10" fillId="0" borderId="0" xfId="14" applyFont="1" applyFill="1" applyAlignment="1" applyProtection="1">
      <alignment horizontal="right"/>
    </xf>
    <xf numFmtId="0" fontId="40" fillId="0" borderId="0" xfId="14" applyFont="1" applyFill="1" applyAlignment="1" applyProtection="1">
      <alignment horizontal="right"/>
    </xf>
    <xf numFmtId="164" fontId="10" fillId="0" borderId="0" xfId="7" applyFont="1" applyFill="1" applyAlignment="1" applyProtection="1"/>
    <xf numFmtId="0" fontId="39" fillId="0" borderId="0" xfId="14" applyFont="1" applyFill="1" applyBorder="1" applyProtection="1"/>
    <xf numFmtId="0" fontId="38" fillId="0" borderId="0" xfId="14" applyFont="1" applyFill="1" applyBorder="1" applyProtection="1"/>
    <xf numFmtId="0" fontId="12" fillId="0" borderId="0" xfId="14" applyFont="1" applyFill="1" applyBorder="1" applyAlignment="1" applyProtection="1"/>
    <xf numFmtId="164" fontId="0" fillId="0" borderId="0" xfId="7" applyFont="1"/>
    <xf numFmtId="0" fontId="12" fillId="0" borderId="0" xfId="14" applyFont="1" applyFill="1" applyBorder="1" applyAlignment="1" applyProtection="1">
      <alignment horizontal="left" vertical="center" indent="1"/>
    </xf>
    <xf numFmtId="0" fontId="39" fillId="0" borderId="0" xfId="14" applyFont="1" applyFill="1" applyBorder="1" applyAlignment="1" applyProtection="1">
      <alignment horizontal="left" indent="1"/>
    </xf>
    <xf numFmtId="0" fontId="29" fillId="2" borderId="0" xfId="14" applyFont="1" applyFill="1" applyBorder="1" applyProtection="1"/>
    <xf numFmtId="0" fontId="23" fillId="2" borderId="2" xfId="14" applyFont="1" applyFill="1" applyBorder="1" applyAlignment="1" applyProtection="1">
      <alignment horizontal="right"/>
    </xf>
    <xf numFmtId="0" fontId="23" fillId="2" borderId="2" xfId="14" applyFont="1" applyFill="1" applyBorder="1" applyProtection="1"/>
    <xf numFmtId="0" fontId="23" fillId="2" borderId="0" xfId="14" applyFont="1" applyFill="1" applyBorder="1" applyAlignment="1" applyProtection="1">
      <alignment horizontal="right"/>
    </xf>
    <xf numFmtId="0" fontId="7" fillId="0" borderId="0" xfId="14" applyFont="1" applyFill="1" applyProtection="1"/>
    <xf numFmtId="0" fontId="23" fillId="2" borderId="0" xfId="14" applyFont="1" applyFill="1" applyBorder="1" applyProtection="1"/>
    <xf numFmtId="0" fontId="12" fillId="3" borderId="0" xfId="14" applyFont="1" applyFill="1" applyProtection="1"/>
    <xf numFmtId="3" fontId="12" fillId="3" borderId="0" xfId="14" applyNumberFormat="1" applyFont="1" applyFill="1" applyProtection="1"/>
    <xf numFmtId="3" fontId="11" fillId="0" borderId="0" xfId="14" applyNumberFormat="1" applyFont="1" applyFill="1" applyProtection="1"/>
    <xf numFmtId="3" fontId="7" fillId="0" borderId="0" xfId="14" applyNumberFormat="1" applyFont="1" applyFill="1" applyProtection="1"/>
    <xf numFmtId="0" fontId="11" fillId="3" borderId="0" xfId="14" applyFont="1" applyFill="1" applyProtection="1"/>
    <xf numFmtId="3" fontId="11" fillId="3" borderId="0" xfId="14" applyNumberFormat="1" applyFont="1" applyFill="1" applyProtection="1"/>
    <xf numFmtId="167" fontId="11" fillId="0" borderId="0" xfId="14" applyNumberFormat="1" applyFont="1" applyFill="1" applyProtection="1"/>
    <xf numFmtId="166" fontId="7" fillId="0" borderId="0" xfId="14" applyNumberFormat="1" applyFont="1" applyFill="1" applyProtection="1"/>
    <xf numFmtId="1" fontId="7" fillId="0" borderId="0" xfId="14" applyNumberFormat="1" applyFont="1" applyFill="1" applyProtection="1"/>
    <xf numFmtId="0" fontId="12" fillId="0" borderId="0" xfId="14" applyFont="1" applyFill="1" applyBorder="1" applyAlignment="1" applyProtection="1">
      <alignment horizontal="left"/>
    </xf>
    <xf numFmtId="0" fontId="11" fillId="3" borderId="0" xfId="14" applyFont="1" applyFill="1" applyBorder="1" applyProtection="1"/>
    <xf numFmtId="0" fontId="12" fillId="3" borderId="2" xfId="14" applyFont="1" applyFill="1" applyBorder="1" applyProtection="1"/>
    <xf numFmtId="3" fontId="12" fillId="3" borderId="2" xfId="14" applyNumberFormat="1" applyFont="1" applyFill="1" applyBorder="1" applyProtection="1"/>
    <xf numFmtId="0" fontId="6" fillId="0" borderId="0" xfId="14" applyFont="1" applyFill="1" applyBorder="1" applyProtection="1"/>
    <xf numFmtId="3" fontId="6" fillId="0" borderId="0" xfId="14" applyNumberFormat="1" applyFont="1" applyFill="1" applyProtection="1"/>
    <xf numFmtId="0" fontId="7" fillId="0" borderId="0" xfId="14" applyFont="1" applyFill="1" applyBorder="1" applyProtection="1"/>
    <xf numFmtId="0" fontId="12" fillId="0" borderId="0" xfId="14" applyFont="1" applyFill="1" applyBorder="1" applyProtection="1"/>
    <xf numFmtId="3" fontId="14" fillId="0" borderId="0" xfId="14" applyNumberFormat="1" applyFont="1" applyFill="1" applyProtection="1"/>
    <xf numFmtId="164" fontId="21" fillId="0" borderId="0" xfId="7"/>
    <xf numFmtId="164" fontId="10" fillId="0" borderId="0" xfId="7" applyFont="1" applyFill="1" applyBorder="1" applyAlignment="1" applyProtection="1"/>
    <xf numFmtId="0" fontId="19" fillId="4" borderId="0" xfId="15" applyFont="1" applyFill="1" applyBorder="1" applyAlignment="1" applyProtection="1">
      <alignment horizontal="left"/>
    </xf>
    <xf numFmtId="164" fontId="19" fillId="4" borderId="6" xfId="7" applyFont="1" applyFill="1" applyBorder="1" applyProtection="1"/>
    <xf numFmtId="2" fontId="19" fillId="4" borderId="6" xfId="7" applyNumberFormat="1" applyFont="1" applyFill="1" applyBorder="1" applyAlignment="1" applyProtection="1">
      <alignment horizontal="right"/>
    </xf>
    <xf numFmtId="164" fontId="19" fillId="4" borderId="6" xfId="7" applyFont="1" applyFill="1" applyBorder="1" applyAlignment="1" applyProtection="1">
      <alignment horizontal="center"/>
    </xf>
    <xf numFmtId="171" fontId="11" fillId="3" borderId="0" xfId="7" applyNumberFormat="1" applyFont="1" applyFill="1" applyBorder="1" applyAlignment="1" applyProtection="1">
      <alignment horizontal="right"/>
    </xf>
    <xf numFmtId="164" fontId="11" fillId="3" borderId="6" xfId="7" applyFont="1" applyFill="1" applyBorder="1" applyAlignment="1" applyProtection="1">
      <alignment horizontal="left"/>
    </xf>
    <xf numFmtId="171" fontId="11" fillId="3" borderId="6" xfId="7" applyNumberFormat="1" applyFont="1" applyFill="1" applyBorder="1" applyAlignment="1" applyProtection="1">
      <alignment horizontal="right"/>
    </xf>
    <xf numFmtId="164" fontId="11" fillId="0" borderId="0" xfId="7" applyFont="1" applyFill="1" applyBorder="1" applyAlignment="1" applyProtection="1">
      <alignment horizontal="left"/>
    </xf>
    <xf numFmtId="171" fontId="11" fillId="0" borderId="0" xfId="7" applyNumberFormat="1" applyFont="1" applyFill="1" applyBorder="1" applyAlignment="1" applyProtection="1">
      <alignment horizontal="right"/>
    </xf>
    <xf numFmtId="164" fontId="12" fillId="0" borderId="0" xfId="11" applyNumberFormat="1" applyFont="1" applyFill="1" applyBorder="1" applyAlignment="1" applyProtection="1">
      <alignment vertical="top" wrapText="1"/>
    </xf>
    <xf numFmtId="0" fontId="12" fillId="0" borderId="0" xfId="15" applyFont="1" applyFill="1" applyBorder="1" applyAlignment="1" applyProtection="1">
      <alignment vertical="top" wrapText="1"/>
    </xf>
    <xf numFmtId="164" fontId="21" fillId="0" borderId="0" xfId="7" applyFill="1" applyProtection="1"/>
    <xf numFmtId="164" fontId="34" fillId="0" borderId="0" xfId="7" applyFont="1" applyFill="1" applyBorder="1" applyProtection="1"/>
    <xf numFmtId="164" fontId="33" fillId="0" borderId="0" xfId="7" applyFont="1" applyFill="1" applyBorder="1" applyProtection="1"/>
    <xf numFmtId="164" fontId="12" fillId="0" borderId="0" xfId="7" applyFont="1" applyFill="1" applyBorder="1" applyAlignment="1" applyProtection="1"/>
    <xf numFmtId="164" fontId="12" fillId="0" borderId="0" xfId="7" applyFont="1" applyFill="1" applyBorder="1" applyAlignment="1" applyProtection="1">
      <alignment horizontal="left" vertical="center" indent="1"/>
    </xf>
    <xf numFmtId="164" fontId="34" fillId="0" borderId="0" xfId="7" applyFont="1" applyFill="1" applyBorder="1" applyAlignment="1" applyProtection="1">
      <alignment horizontal="left" indent="1"/>
    </xf>
    <xf numFmtId="0" fontId="12" fillId="3" borderId="0" xfId="3" applyFont="1" applyFill="1" applyBorder="1" applyAlignment="1" applyProtection="1">
      <alignment horizontal="left"/>
    </xf>
    <xf numFmtId="164" fontId="12" fillId="0" borderId="0" xfId="7" applyFont="1" applyFill="1" applyBorder="1" applyAlignment="1" applyProtection="1">
      <alignment horizontal="left"/>
    </xf>
    <xf numFmtId="164" fontId="42" fillId="0" borderId="0" xfId="7" applyFont="1" applyFill="1" applyBorder="1" applyProtection="1"/>
    <xf numFmtId="164" fontId="11" fillId="0" borderId="0" xfId="7" applyFont="1" applyFill="1" applyBorder="1" applyAlignment="1" applyProtection="1">
      <alignment horizontal="left" vertical="center"/>
    </xf>
    <xf numFmtId="164" fontId="11" fillId="0" borderId="0" xfId="7" applyFont="1" applyFill="1" applyBorder="1" applyAlignment="1" applyProtection="1">
      <alignment horizontal="left" vertical="center" indent="1"/>
    </xf>
    <xf numFmtId="164" fontId="34" fillId="3" borderId="0" xfId="7" applyFont="1" applyFill="1" applyBorder="1" applyAlignment="1" applyProtection="1">
      <alignment horizontal="left" indent="1"/>
    </xf>
    <xf numFmtId="164" fontId="15" fillId="0" borderId="0" xfId="7" applyFont="1" applyFill="1" applyProtection="1"/>
    <xf numFmtId="16" fontId="21" fillId="0" borderId="0" xfId="7" applyNumberFormat="1"/>
    <xf numFmtId="0" fontId="17" fillId="3" borderId="3" xfId="1" applyFont="1" applyFill="1" applyBorder="1" applyProtection="1"/>
    <xf numFmtId="0" fontId="17" fillId="3" borderId="0" xfId="1" applyFont="1" applyFill="1" applyBorder="1" applyProtection="1"/>
    <xf numFmtId="0" fontId="17" fillId="3" borderId="0" xfId="1" applyFont="1" applyFill="1" applyProtection="1"/>
    <xf numFmtId="3" fontId="17" fillId="3" borderId="0" xfId="1" applyNumberFormat="1" applyFont="1" applyFill="1" applyProtection="1"/>
    <xf numFmtId="0" fontId="20" fillId="3" borderId="0" xfId="1" applyFont="1" applyFill="1" applyProtection="1"/>
    <xf numFmtId="3" fontId="20" fillId="3" borderId="0" xfId="1" applyNumberFormat="1" applyFont="1" applyFill="1" applyProtection="1"/>
    <xf numFmtId="0" fontId="17" fillId="3" borderId="0" xfId="1" applyFont="1" applyFill="1" applyBorder="1" applyAlignment="1" applyProtection="1">
      <alignment vertical="center"/>
    </xf>
    <xf numFmtId="0" fontId="20" fillId="3" borderId="1" xfId="1" applyFont="1" applyFill="1" applyBorder="1" applyAlignment="1" applyProtection="1">
      <alignment wrapText="1"/>
    </xf>
    <xf numFmtId="0" fontId="20" fillId="3" borderId="1" xfId="1" applyFont="1" applyFill="1" applyBorder="1" applyProtection="1"/>
    <xf numFmtId="0" fontId="17" fillId="3" borderId="1" xfId="1" applyFont="1" applyFill="1" applyBorder="1" applyProtection="1"/>
    <xf numFmtId="3" fontId="20" fillId="3" borderId="1" xfId="1" applyNumberFormat="1" applyFont="1" applyFill="1" applyBorder="1" applyProtection="1"/>
    <xf numFmtId="0" fontId="38" fillId="0" borderId="0" xfId="0" applyFont="1" applyFill="1"/>
    <xf numFmtId="164" fontId="6" fillId="0" borderId="0" xfId="0" applyNumberFormat="1" applyFont="1" applyFill="1" applyProtection="1"/>
    <xf numFmtId="0" fontId="12" fillId="0" borderId="0" xfId="0" applyFont="1" applyFill="1" applyAlignment="1">
      <alignment horizontal="right"/>
    </xf>
    <xf numFmtId="0" fontId="20" fillId="3" borderId="3" xfId="1" applyFont="1" applyFill="1" applyBorder="1" applyAlignment="1" applyProtection="1">
      <alignment horizontal="right"/>
    </xf>
    <xf numFmtId="0" fontId="17" fillId="0" borderId="0" xfId="8" applyFont="1" applyFill="1" applyAlignment="1" applyProtection="1"/>
    <xf numFmtId="0" fontId="17" fillId="3" borderId="0" xfId="8" applyFont="1" applyFill="1" applyProtection="1"/>
    <xf numFmtId="0" fontId="17" fillId="3" borderId="7" xfId="8" applyFont="1" applyFill="1" applyBorder="1" applyProtection="1"/>
    <xf numFmtId="0" fontId="17" fillId="3" borderId="8" xfId="8" applyFont="1" applyFill="1" applyBorder="1" applyProtection="1"/>
    <xf numFmtId="0" fontId="20" fillId="3" borderId="0" xfId="8" applyFont="1" applyFill="1" applyAlignment="1" applyProtection="1">
      <alignment horizontal="right"/>
    </xf>
    <xf numFmtId="0" fontId="20" fillId="3" borderId="8" xfId="8" applyFont="1" applyFill="1" applyBorder="1" applyAlignment="1" applyProtection="1">
      <alignment horizontal="right"/>
    </xf>
    <xf numFmtId="0" fontId="17" fillId="3" borderId="9" xfId="8" applyFont="1" applyFill="1" applyBorder="1" applyProtection="1"/>
    <xf numFmtId="0" fontId="20" fillId="3" borderId="9" xfId="8" applyFont="1" applyFill="1" applyBorder="1" applyAlignment="1" applyProtection="1">
      <alignment horizontal="right"/>
    </xf>
    <xf numFmtId="0" fontId="20" fillId="0" borderId="0" xfId="8" applyFont="1" applyFill="1" applyProtection="1"/>
    <xf numFmtId="166" fontId="17" fillId="3" borderId="0" xfId="8" applyNumberFormat="1" applyFont="1" applyFill="1" applyProtection="1"/>
    <xf numFmtId="166" fontId="17" fillId="3" borderId="8" xfId="8" applyNumberFormat="1" applyFont="1" applyFill="1" applyBorder="1" applyProtection="1"/>
    <xf numFmtId="0" fontId="8" fillId="0" borderId="0" xfId="8" applyFont="1" applyFill="1" applyAlignment="1" applyProtection="1">
      <alignment textRotation="90"/>
    </xf>
    <xf numFmtId="0" fontId="8" fillId="0" borderId="0" xfId="8" applyFont="1" applyFill="1" applyProtection="1"/>
    <xf numFmtId="3" fontId="8" fillId="0" borderId="0" xfId="8" applyNumberFormat="1" applyFont="1" applyFill="1" applyProtection="1"/>
    <xf numFmtId="167" fontId="8" fillId="0" borderId="0" xfId="8" applyNumberFormat="1" applyFont="1" applyFill="1" applyProtection="1"/>
    <xf numFmtId="3" fontId="17" fillId="3" borderId="0" xfId="1" applyNumberFormat="1" applyFont="1" applyFill="1" applyAlignment="1" applyProtection="1">
      <alignment horizontal="right"/>
    </xf>
    <xf numFmtId="0" fontId="10" fillId="0" borderId="0" xfId="6" applyFont="1" applyFill="1" applyAlignment="1" applyProtection="1">
      <alignment horizontal="right"/>
    </xf>
    <xf numFmtId="2" fontId="19" fillId="4" borderId="0" xfId="7" applyNumberFormat="1" applyFont="1" applyFill="1" applyBorder="1" applyAlignment="1" applyProtection="1">
      <alignment horizontal="right"/>
    </xf>
    <xf numFmtId="0" fontId="20" fillId="3" borderId="9" xfId="8" applyFont="1" applyFill="1" applyBorder="1" applyAlignment="1" applyProtection="1">
      <alignment horizontal="right" wrapText="1"/>
    </xf>
    <xf numFmtId="166" fontId="17" fillId="3" borderId="0" xfId="8" applyNumberFormat="1" applyFont="1" applyFill="1" applyAlignment="1" applyProtection="1">
      <alignment horizontal="right"/>
    </xf>
    <xf numFmtId="166" fontId="17" fillId="3" borderId="8" xfId="8" applyNumberFormat="1" applyFont="1" applyFill="1" applyBorder="1" applyAlignment="1" applyProtection="1">
      <alignment horizontal="right"/>
    </xf>
    <xf numFmtId="0" fontId="11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right"/>
    </xf>
    <xf numFmtId="3" fontId="11" fillId="5" borderId="0" xfId="0" applyNumberFormat="1" applyFont="1" applyFill="1" applyBorder="1" applyProtection="1"/>
    <xf numFmtId="0" fontId="11" fillId="5" borderId="0" xfId="0" quotePrefix="1" applyFont="1" applyFill="1" applyBorder="1" applyAlignment="1" applyProtection="1">
      <alignment horizontal="right"/>
    </xf>
    <xf numFmtId="0" fontId="11" fillId="5" borderId="2" xfId="0" applyFont="1" applyFill="1" applyBorder="1" applyAlignment="1" applyProtection="1">
      <alignment horizontal="left"/>
    </xf>
    <xf numFmtId="0" fontId="11" fillId="5" borderId="2" xfId="0" quotePrefix="1" applyFont="1" applyFill="1" applyBorder="1" applyAlignment="1" applyProtection="1">
      <alignment horizontal="right"/>
    </xf>
    <xf numFmtId="3" fontId="11" fillId="5" borderId="2" xfId="0" applyNumberFormat="1" applyFont="1" applyFill="1" applyBorder="1" applyProtection="1"/>
    <xf numFmtId="0" fontId="12" fillId="5" borderId="4" xfId="0" applyFont="1" applyFill="1" applyBorder="1" applyAlignment="1" applyProtection="1">
      <alignment horizontal="left"/>
    </xf>
    <xf numFmtId="0" fontId="10" fillId="0" borderId="0" xfId="6" applyFont="1" applyFill="1" applyAlignment="1" applyProtection="1">
      <alignment horizontal="right"/>
    </xf>
    <xf numFmtId="2" fontId="19" fillId="4" borderId="0" xfId="7" applyNumberFormat="1" applyFont="1" applyFill="1" applyBorder="1" applyAlignment="1" applyProtection="1"/>
    <xf numFmtId="172" fontId="11" fillId="3" borderId="0" xfId="7" applyNumberFormat="1" applyFont="1" applyFill="1" applyBorder="1" applyAlignment="1" applyProtection="1">
      <alignment horizontal="left"/>
    </xf>
    <xf numFmtId="172" fontId="11" fillId="3" borderId="6" xfId="7" applyNumberFormat="1" applyFont="1" applyFill="1" applyBorder="1" applyAlignment="1" applyProtection="1">
      <alignment horizontal="left"/>
    </xf>
    <xf numFmtId="172" fontId="12" fillId="3" borderId="0" xfId="7" applyNumberFormat="1" applyFont="1" applyFill="1" applyBorder="1" applyAlignment="1" applyProtection="1">
      <alignment horizontal="left"/>
    </xf>
    <xf numFmtId="171" fontId="12" fillId="3" borderId="0" xfId="7" applyNumberFormat="1" applyFont="1" applyFill="1" applyBorder="1" applyAlignment="1" applyProtection="1">
      <alignment horizontal="right"/>
    </xf>
    <xf numFmtId="166" fontId="17" fillId="0" borderId="0" xfId="8" applyNumberFormat="1" applyFont="1" applyFill="1" applyBorder="1" applyProtection="1"/>
    <xf numFmtId="0" fontId="20" fillId="0" borderId="0" xfId="8" applyFont="1" applyFill="1" applyAlignment="1" applyProtection="1"/>
    <xf numFmtId="164" fontId="4" fillId="0" borderId="0" xfId="7" applyFont="1" applyFill="1" applyBorder="1" applyProtection="1"/>
    <xf numFmtId="0" fontId="5" fillId="0" borderId="0" xfId="16" applyFill="1" applyProtection="1"/>
    <xf numFmtId="0" fontId="38" fillId="0" borderId="0" xfId="16" applyFont="1" applyFill="1" applyBorder="1" applyProtection="1"/>
    <xf numFmtId="0" fontId="39" fillId="0" borderId="0" xfId="16" applyFont="1" applyFill="1" applyBorder="1" applyProtection="1"/>
    <xf numFmtId="0" fontId="12" fillId="0" borderId="0" xfId="16" applyFont="1" applyFill="1" applyBorder="1" applyAlignment="1" applyProtection="1"/>
    <xf numFmtId="0" fontId="12" fillId="0" borderId="0" xfId="16" applyFont="1" applyFill="1" applyBorder="1" applyAlignment="1" applyProtection="1">
      <alignment horizontal="left" vertical="center" indent="1"/>
    </xf>
    <xf numFmtId="0" fontId="39" fillId="0" borderId="0" xfId="16" applyFont="1" applyFill="1" applyBorder="1" applyAlignment="1" applyProtection="1">
      <alignment horizontal="left" indent="1"/>
    </xf>
    <xf numFmtId="0" fontId="12" fillId="0" borderId="0" xfId="16" applyFont="1" applyFill="1" applyBorder="1" applyAlignment="1" applyProtection="1">
      <alignment horizontal="left"/>
    </xf>
    <xf numFmtId="0" fontId="20" fillId="0" borderId="0" xfId="3" applyFont="1" applyFill="1" applyBorder="1" applyAlignment="1" applyProtection="1">
      <alignment vertical="center"/>
    </xf>
    <xf numFmtId="164" fontId="11" fillId="0" borderId="0" xfId="17" applyFont="1" applyFill="1" applyBorder="1" applyAlignment="1" applyProtection="1">
      <alignment horizontal="left" vertical="center"/>
    </xf>
    <xf numFmtId="0" fontId="13" fillId="0" borderId="0" xfId="16" applyFont="1" applyFill="1" applyProtection="1"/>
    <xf numFmtId="0" fontId="44" fillId="0" borderId="0" xfId="14" applyFont="1" applyFill="1" applyBorder="1" applyAlignment="1" applyProtection="1">
      <alignment horizontal="left"/>
    </xf>
    <xf numFmtId="164" fontId="17" fillId="0" borderId="0" xfId="0" applyNumberFormat="1" applyFont="1" applyFill="1" applyAlignment="1">
      <alignment horizontal="left" readingOrder="1"/>
    </xf>
    <xf numFmtId="164" fontId="12" fillId="0" borderId="0" xfId="0" applyNumberFormat="1" applyFont="1" applyAlignment="1">
      <alignment horizontal="left"/>
    </xf>
    <xf numFmtId="0" fontId="11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right" wrapText="1" indent="1"/>
    </xf>
    <xf numFmtId="0" fontId="11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 wrapText="1"/>
    </xf>
    <xf numFmtId="173" fontId="17" fillId="3" borderId="0" xfId="0" applyNumberFormat="1" applyFont="1" applyFill="1" applyBorder="1" applyAlignment="1">
      <alignment horizontal="right"/>
    </xf>
    <xf numFmtId="174" fontId="17" fillId="3" borderId="0" xfId="0" applyNumberFormat="1" applyFont="1" applyFill="1" applyBorder="1" applyAlignment="1">
      <alignment horizontal="right"/>
    </xf>
    <xf numFmtId="0" fontId="11" fillId="3" borderId="0" xfId="0" applyNumberFormat="1" applyFont="1" applyFill="1" applyAlignment="1">
      <alignment horizontal="left"/>
    </xf>
    <xf numFmtId="0" fontId="45" fillId="3" borderId="0" xfId="0" applyNumberFormat="1" applyFont="1" applyFill="1" applyAlignment="1">
      <alignment horizontal="left"/>
    </xf>
    <xf numFmtId="0" fontId="12" fillId="3" borderId="4" xfId="0" applyFont="1" applyFill="1" applyBorder="1" applyAlignment="1">
      <alignment horizontal="left"/>
    </xf>
    <xf numFmtId="173" fontId="12" fillId="3" borderId="4" xfId="0" applyNumberFormat="1" applyFont="1" applyFill="1" applyBorder="1" applyAlignment="1">
      <alignment horizontal="right"/>
    </xf>
    <xf numFmtId="173" fontId="20" fillId="3" borderId="4" xfId="0" applyNumberFormat="1" applyFont="1" applyFill="1" applyBorder="1" applyAlignment="1">
      <alignment horizontal="right"/>
    </xf>
    <xf numFmtId="174" fontId="20" fillId="3" borderId="4" xfId="0" applyNumberFormat="1" applyFont="1" applyFill="1" applyBorder="1" applyAlignment="1">
      <alignment horizontal="right"/>
    </xf>
    <xf numFmtId="0" fontId="17" fillId="0" borderId="0" xfId="16" applyFont="1" applyFill="1" applyProtection="1"/>
    <xf numFmtId="0" fontId="11" fillId="3" borderId="0" xfId="0" applyNumberFormat="1" applyFont="1" applyFill="1" applyAlignment="1">
      <alignment horizontal="left" wrapText="1"/>
    </xf>
    <xf numFmtId="164" fontId="12" fillId="3" borderId="4" xfId="0" applyNumberFormat="1" applyFont="1" applyFill="1" applyBorder="1" applyAlignment="1">
      <alignment horizontal="left"/>
    </xf>
    <xf numFmtId="167" fontId="8" fillId="0" borderId="0" xfId="0" applyNumberFormat="1" applyFont="1" applyFill="1"/>
    <xf numFmtId="0" fontId="17" fillId="0" borderId="0" xfId="3" applyFont="1" applyFill="1" applyBorder="1" applyAlignment="1" applyProtection="1">
      <alignment vertical="center"/>
    </xf>
    <xf numFmtId="0" fontId="17" fillId="0" borderId="0" xfId="3" quotePrefix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24" fillId="0" borderId="0" xfId="0" applyFont="1" applyFill="1" applyBorder="1" applyProtection="1"/>
    <xf numFmtId="164" fontId="20" fillId="3" borderId="4" xfId="7" applyFont="1" applyFill="1" applyBorder="1" applyAlignment="1" applyProtection="1">
      <alignment horizontal="left"/>
    </xf>
    <xf numFmtId="1" fontId="20" fillId="3" borderId="4" xfId="7" applyNumberFormat="1" applyFont="1" applyFill="1" applyBorder="1" applyAlignment="1" applyProtection="1">
      <alignment horizontal="right" indent="1"/>
    </xf>
    <xf numFmtId="0" fontId="11" fillId="0" borderId="0" xfId="0" applyFont="1" applyFill="1" applyBorder="1" applyAlignment="1" applyProtection="1"/>
    <xf numFmtId="164" fontId="17" fillId="3" borderId="0" xfId="7" applyFont="1" applyFill="1" applyBorder="1" applyAlignment="1" applyProtection="1">
      <alignment horizontal="left"/>
    </xf>
    <xf numFmtId="3" fontId="20" fillId="3" borderId="10" xfId="10" applyNumberFormat="1" applyFont="1" applyFill="1" applyBorder="1" applyProtection="1"/>
    <xf numFmtId="1" fontId="20" fillId="3" borderId="9" xfId="7" applyNumberFormat="1" applyFont="1" applyFill="1" applyBorder="1" applyAlignment="1" applyProtection="1">
      <alignment horizontal="right" indent="1"/>
    </xf>
    <xf numFmtId="3" fontId="17" fillId="3" borderId="0" xfId="7" applyNumberFormat="1" applyFont="1" applyFill="1" applyBorder="1" applyAlignment="1" applyProtection="1">
      <alignment horizontal="right" indent="1"/>
    </xf>
    <xf numFmtId="0" fontId="20" fillId="0" borderId="0" xfId="0" applyFont="1" applyFill="1" applyBorder="1" applyAlignment="1" applyProtection="1"/>
    <xf numFmtId="164" fontId="20" fillId="3" borderId="9" xfId="7" applyFont="1" applyFill="1" applyBorder="1" applyAlignment="1" applyProtection="1">
      <alignment horizontal="left"/>
    </xf>
    <xf numFmtId="3" fontId="20" fillId="3" borderId="8" xfId="10" applyNumberFormat="1" applyFont="1" applyFill="1" applyBorder="1" applyProtection="1"/>
    <xf numFmtId="3" fontId="17" fillId="3" borderId="0" xfId="10" applyNumberFormat="1" applyFont="1" applyFill="1" applyBorder="1" applyProtection="1"/>
    <xf numFmtId="3" fontId="20" fillId="3" borderId="9" xfId="10" applyNumberFormat="1" applyFont="1" applyFill="1" applyBorder="1" applyProtection="1"/>
    <xf numFmtId="3" fontId="20" fillId="3" borderId="8" xfId="10" applyNumberFormat="1" applyFont="1" applyFill="1" applyBorder="1" applyAlignment="1" applyProtection="1">
      <alignment horizontal="right" indent="1"/>
    </xf>
    <xf numFmtId="3" fontId="20" fillId="3" borderId="9" xfId="10" applyNumberFormat="1" applyFont="1" applyFill="1" applyBorder="1" applyAlignment="1" applyProtection="1">
      <alignment horizontal="right" indent="1"/>
    </xf>
    <xf numFmtId="166" fontId="17" fillId="3" borderId="0" xfId="7" applyNumberFormat="1" applyFont="1" applyFill="1" applyBorder="1" applyAlignment="1" applyProtection="1">
      <alignment horizontal="right" indent="1"/>
    </xf>
    <xf numFmtId="167" fontId="20" fillId="3" borderId="10" xfId="10" applyNumberFormat="1" applyFont="1" applyFill="1" applyBorder="1" applyAlignment="1" applyProtection="1">
      <alignment horizontal="right" indent="1"/>
    </xf>
    <xf numFmtId="164" fontId="21" fillId="3" borderId="0" xfId="7" applyFill="1" applyProtection="1"/>
    <xf numFmtId="164" fontId="21" fillId="3" borderId="0" xfId="7" applyFill="1"/>
    <xf numFmtId="169" fontId="12" fillId="0" borderId="0" xfId="13" applyNumberFormat="1" applyFont="1" applyFill="1" applyBorder="1" applyAlignment="1" applyProtection="1">
      <alignment vertical="center"/>
    </xf>
    <xf numFmtId="169" fontId="0" fillId="0" borderId="0" xfId="13" applyNumberFormat="1" applyFont="1" applyFill="1" applyAlignment="1" applyProtection="1"/>
    <xf numFmtId="164" fontId="0" fillId="3" borderId="0" xfId="13" applyFont="1" applyFill="1" applyProtection="1"/>
    <xf numFmtId="169" fontId="12" fillId="3" borderId="0" xfId="13" applyNumberFormat="1" applyFont="1" applyFill="1" applyBorder="1" applyAlignment="1" applyProtection="1">
      <alignment vertical="center"/>
    </xf>
    <xf numFmtId="0" fontId="11" fillId="0" borderId="0" xfId="16" applyFont="1" applyFill="1" applyBorder="1" applyAlignment="1" applyProtection="1">
      <alignment vertical="center" wrapText="1"/>
    </xf>
    <xf numFmtId="0" fontId="11" fillId="0" borderId="0" xfId="14" applyFont="1" applyFill="1" applyBorder="1" applyAlignment="1" applyProtection="1">
      <alignment vertical="center"/>
    </xf>
    <xf numFmtId="0" fontId="12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5" xfId="0" applyFont="1" applyFill="1" applyBorder="1" applyAlignment="1">
      <alignment horizontal="right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center"/>
    </xf>
    <xf numFmtId="0" fontId="12" fillId="3" borderId="2" xfId="0" quotePrefix="1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14" fontId="11" fillId="3" borderId="0" xfId="0" applyNumberFormat="1" applyFont="1" applyFill="1" applyAlignment="1" applyProtection="1">
      <alignment horizontal="left"/>
      <protection locked="0"/>
    </xf>
    <xf numFmtId="172" fontId="11" fillId="3" borderId="0" xfId="0" applyNumberFormat="1" applyFont="1" applyFill="1" applyAlignment="1">
      <alignment horizontal="right"/>
    </xf>
    <xf numFmtId="3" fontId="12" fillId="3" borderId="4" xfId="10" applyNumberFormat="1" applyFont="1" applyFill="1" applyBorder="1" applyAlignment="1" applyProtection="1">
      <alignment horizontal="right" indent="1"/>
    </xf>
    <xf numFmtId="3" fontId="12" fillId="0" borderId="2" xfId="0" applyNumberFormat="1" applyFont="1" applyFill="1" applyBorder="1" applyProtection="1"/>
    <xf numFmtId="3" fontId="11" fillId="0" borderId="2" xfId="0" applyNumberFormat="1" applyFont="1" applyFill="1" applyBorder="1" applyProtection="1"/>
    <xf numFmtId="0" fontId="11" fillId="0" borderId="2" xfId="0" applyFont="1" applyFill="1" applyBorder="1"/>
    <xf numFmtId="0" fontId="12" fillId="3" borderId="0" xfId="0" applyFont="1" applyFill="1" applyBorder="1" applyAlignment="1">
      <alignment horizontal="center"/>
    </xf>
    <xf numFmtId="0" fontId="28" fillId="0" borderId="0" xfId="0" applyFont="1" applyFill="1"/>
    <xf numFmtId="175" fontId="44" fillId="3" borderId="0" xfId="0" applyNumberFormat="1" applyFont="1" applyFill="1" applyBorder="1" applyAlignment="1">
      <alignment horizontal="center"/>
    </xf>
    <xf numFmtId="176" fontId="28" fillId="3" borderId="0" xfId="0" applyNumberFormat="1" applyFont="1" applyFill="1" applyBorder="1" applyAlignment="1">
      <alignment horizontal="right"/>
    </xf>
    <xf numFmtId="177" fontId="28" fillId="3" borderId="0" xfId="0" applyNumberFormat="1" applyFont="1" applyFill="1"/>
    <xf numFmtId="178" fontId="11" fillId="3" borderId="0" xfId="0" applyNumberFormat="1" applyFont="1" applyFill="1" applyAlignment="1" applyProtection="1">
      <alignment horizontal="left"/>
    </xf>
    <xf numFmtId="176" fontId="11" fillId="3" borderId="0" xfId="0" applyNumberFormat="1" applyFont="1" applyFill="1" applyBorder="1" applyAlignment="1">
      <alignment horizontal="right"/>
    </xf>
    <xf numFmtId="177" fontId="11" fillId="3" borderId="0" xfId="0" applyNumberFormat="1" applyFont="1" applyFill="1"/>
    <xf numFmtId="178" fontId="11" fillId="3" borderId="0" xfId="0" applyNumberFormat="1" applyFont="1" applyFill="1" applyBorder="1" applyAlignment="1" applyProtection="1">
      <alignment horizontal="left"/>
    </xf>
    <xf numFmtId="177" fontId="11" fillId="3" borderId="0" xfId="0" applyNumberFormat="1" applyFont="1" applyFill="1" applyBorder="1"/>
    <xf numFmtId="178" fontId="11" fillId="3" borderId="2" xfId="0" applyNumberFormat="1" applyFont="1" applyFill="1" applyBorder="1" applyAlignment="1" applyProtection="1">
      <alignment horizontal="left"/>
    </xf>
    <xf numFmtId="176" fontId="11" fillId="3" borderId="2" xfId="0" applyNumberFormat="1" applyFont="1" applyFill="1" applyBorder="1" applyAlignment="1">
      <alignment horizontal="right"/>
    </xf>
    <xf numFmtId="177" fontId="11" fillId="3" borderId="2" xfId="0" applyNumberFormat="1" applyFont="1" applyFill="1" applyBorder="1"/>
    <xf numFmtId="0" fontId="11" fillId="0" borderId="0" xfId="0" applyFont="1" applyFill="1" applyAlignment="1" applyProtection="1">
      <alignment horizontal="left"/>
    </xf>
    <xf numFmtId="3" fontId="11" fillId="0" borderId="0" xfId="0" applyNumberFormat="1" applyFont="1" applyFill="1" applyAlignment="1" applyProtection="1">
      <alignment horizontal="right"/>
    </xf>
    <xf numFmtId="0" fontId="6" fillId="0" borderId="0" xfId="0" applyFont="1" applyFill="1" applyProtection="1"/>
    <xf numFmtId="0" fontId="10" fillId="0" borderId="0" xfId="6" applyFont="1" applyFill="1" applyAlignment="1" applyProtection="1">
      <alignment horizontal="right"/>
    </xf>
    <xf numFmtId="164" fontId="11" fillId="0" borderId="0" xfId="11" applyNumberFormat="1" applyFont="1" applyFill="1" applyBorder="1" applyAlignment="1" applyProtection="1">
      <alignment horizontal="left" wrapText="1"/>
    </xf>
    <xf numFmtId="0" fontId="12" fillId="0" borderId="0" xfId="15" applyFont="1" applyFill="1" applyBorder="1" applyAlignment="1" applyProtection="1">
      <alignment horizontal="left" vertical="top" wrapText="1"/>
    </xf>
    <xf numFmtId="2" fontId="19" fillId="4" borderId="0" xfId="7" applyNumberFormat="1" applyFont="1" applyFill="1" applyBorder="1" applyAlignment="1" applyProtection="1">
      <alignment horizontal="right"/>
    </xf>
    <xf numFmtId="2" fontId="19" fillId="4" borderId="6" xfId="7" applyNumberFormat="1" applyFont="1" applyFill="1" applyBorder="1" applyAlignment="1" applyProtection="1">
      <alignment horizontal="right" wrapText="1"/>
    </xf>
    <xf numFmtId="3" fontId="11" fillId="3" borderId="0" xfId="7" applyNumberFormat="1" applyFont="1" applyFill="1" applyBorder="1" applyAlignment="1" applyProtection="1">
      <alignment horizontal="right"/>
    </xf>
    <xf numFmtId="3" fontId="11" fillId="3" borderId="6" xfId="7" applyNumberFormat="1" applyFont="1" applyFill="1" applyBorder="1" applyAlignment="1" applyProtection="1">
      <alignment horizontal="right"/>
    </xf>
    <xf numFmtId="167" fontId="11" fillId="3" borderId="0" xfId="7" applyNumberFormat="1" applyFont="1" applyFill="1" applyBorder="1" applyAlignment="1" applyProtection="1">
      <alignment horizontal="right"/>
    </xf>
    <xf numFmtId="164" fontId="12" fillId="3" borderId="6" xfId="7" applyFont="1" applyFill="1" applyBorder="1" applyAlignment="1" applyProtection="1">
      <alignment horizontal="left"/>
    </xf>
    <xf numFmtId="3" fontId="12" fillId="3" borderId="6" xfId="7" applyNumberFormat="1" applyFont="1" applyFill="1" applyBorder="1" applyAlignment="1" applyProtection="1">
      <alignment horizontal="right"/>
    </xf>
    <xf numFmtId="171" fontId="12" fillId="3" borderId="6" xfId="7" applyNumberFormat="1" applyFont="1" applyFill="1" applyBorder="1" applyAlignment="1" applyProtection="1">
      <alignment horizontal="right"/>
    </xf>
    <xf numFmtId="167" fontId="12" fillId="3" borderId="8" xfId="7" applyNumberFormat="1" applyFont="1" applyFill="1" applyBorder="1" applyAlignment="1" applyProtection="1">
      <alignment horizontal="right"/>
    </xf>
    <xf numFmtId="0" fontId="10" fillId="0" borderId="0" xfId="6" applyFont="1" applyFill="1" applyAlignment="1" applyProtection="1">
      <alignment horizontal="right"/>
    </xf>
    <xf numFmtId="0" fontId="17" fillId="0" borderId="0" xfId="0" applyFont="1" applyFill="1" applyBorder="1" applyAlignment="1" applyProtection="1">
      <alignment wrapText="1"/>
    </xf>
    <xf numFmtId="176" fontId="11" fillId="0" borderId="0" xfId="0" applyNumberFormat="1" applyFont="1" applyFill="1" applyBorder="1" applyAlignment="1">
      <alignment horizontal="right"/>
    </xf>
    <xf numFmtId="164" fontId="11" fillId="0" borderId="0" xfId="11" applyNumberFormat="1" applyFont="1" applyFill="1" applyBorder="1" applyAlignment="1" applyProtection="1">
      <alignment wrapText="1"/>
    </xf>
    <xf numFmtId="0" fontId="20" fillId="3" borderId="0" xfId="1" applyFont="1" applyFill="1" applyBorder="1" applyAlignment="1" applyProtection="1">
      <alignment wrapText="1"/>
    </xf>
    <xf numFmtId="0" fontId="20" fillId="3" borderId="0" xfId="1" applyFont="1" applyFill="1" applyBorder="1" applyProtection="1"/>
    <xf numFmtId="3" fontId="20" fillId="3" borderId="0" xfId="1" applyNumberFormat="1" applyFont="1" applyFill="1" applyBorder="1" applyProtection="1"/>
    <xf numFmtId="2" fontId="19" fillId="4" borderId="0" xfId="7" applyNumberFormat="1" applyFont="1" applyFill="1" applyBorder="1" applyAlignment="1" applyProtection="1">
      <alignment wrapText="1"/>
    </xf>
    <xf numFmtId="1" fontId="19" fillId="4" borderId="6" xfId="7" applyNumberFormat="1" applyFont="1" applyFill="1" applyBorder="1" applyAlignment="1" applyProtection="1">
      <alignment horizontal="right"/>
    </xf>
    <xf numFmtId="1" fontId="19" fillId="4" borderId="6" xfId="7" applyNumberFormat="1" applyFont="1" applyFill="1" applyBorder="1" applyAlignment="1" applyProtection="1">
      <alignment wrapText="1"/>
    </xf>
    <xf numFmtId="1" fontId="19" fillId="4" borderId="6" xfId="7" applyNumberFormat="1" applyFont="1" applyFill="1" applyBorder="1" applyAlignment="1" applyProtection="1">
      <alignment horizontal="right" wrapText="1"/>
    </xf>
    <xf numFmtId="164" fontId="19" fillId="4" borderId="6" xfId="7" applyFont="1" applyFill="1" applyBorder="1" applyAlignment="1" applyProtection="1">
      <alignment horizontal="right"/>
    </xf>
    <xf numFmtId="0" fontId="5" fillId="0" borderId="0" xfId="3" applyFill="1" applyProtection="1"/>
    <xf numFmtId="0" fontId="33" fillId="0" borderId="0" xfId="3" applyFont="1" applyFill="1" applyBorder="1" applyProtection="1"/>
    <xf numFmtId="0" fontId="34" fillId="0" borderId="0" xfId="3" applyFont="1" applyFill="1" applyBorder="1" applyProtection="1"/>
    <xf numFmtId="0" fontId="12" fillId="0" borderId="0" xfId="3" applyFont="1" applyFill="1" applyBorder="1" applyAlignment="1" applyProtection="1"/>
    <xf numFmtId="0" fontId="48" fillId="0" borderId="0" xfId="3" applyFont="1" applyFill="1" applyBorder="1" applyProtection="1"/>
    <xf numFmtId="0" fontId="12" fillId="0" borderId="0" xfId="3" applyFont="1" applyFill="1" applyBorder="1" applyAlignment="1" applyProtection="1">
      <alignment horizontal="left" vertical="center" indent="1"/>
    </xf>
    <xf numFmtId="0" fontId="34" fillId="0" borderId="0" xfId="3" applyFont="1" applyFill="1" applyBorder="1" applyAlignment="1" applyProtection="1">
      <alignment horizontal="left" indent="1"/>
    </xf>
    <xf numFmtId="1" fontId="4" fillId="0" borderId="0" xfId="3" applyNumberFormat="1" applyFont="1" applyFill="1" applyBorder="1" applyAlignment="1" applyProtection="1">
      <alignment horizontal="left" indent="1"/>
    </xf>
    <xf numFmtId="0" fontId="20" fillId="3" borderId="0" xfId="3" applyFont="1" applyFill="1"/>
    <xf numFmtId="3" fontId="20" fillId="3" borderId="0" xfId="3" applyNumberFormat="1" applyFont="1" applyFill="1"/>
    <xf numFmtId="0" fontId="12" fillId="0" borderId="0" xfId="3" applyFont="1" applyFill="1" applyBorder="1" applyAlignment="1" applyProtection="1">
      <alignment vertical="top" wrapText="1"/>
    </xf>
    <xf numFmtId="0" fontId="17" fillId="3" borderId="6" xfId="3" applyFont="1" applyFill="1" applyBorder="1"/>
    <xf numFmtId="3" fontId="17" fillId="3" borderId="6" xfId="3" applyNumberFormat="1" applyFont="1" applyFill="1" applyBorder="1"/>
    <xf numFmtId="0" fontId="34" fillId="3" borderId="0" xfId="3" applyFont="1" applyFill="1" applyBorder="1" applyAlignment="1" applyProtection="1">
      <alignment horizontal="left" indent="1"/>
    </xf>
    <xf numFmtId="0" fontId="17" fillId="3" borderId="0" xfId="3" applyFont="1" applyFill="1"/>
    <xf numFmtId="3" fontId="17" fillId="3" borderId="0" xfId="3" applyNumberFormat="1" applyFont="1" applyFill="1"/>
    <xf numFmtId="0" fontId="49" fillId="0" borderId="0" xfId="3" applyFont="1" applyFill="1" applyProtection="1"/>
    <xf numFmtId="0" fontId="5" fillId="3" borderId="0" xfId="3" applyFill="1" applyProtection="1"/>
    <xf numFmtId="0" fontId="3" fillId="0" borderId="0" xfId="3" applyFont="1" applyFill="1" applyProtection="1"/>
    <xf numFmtId="3" fontId="5" fillId="3" borderId="0" xfId="3" applyNumberFormat="1" applyFill="1" applyProtection="1"/>
    <xf numFmtId="0" fontId="20" fillId="3" borderId="12" xfId="3" applyFont="1" applyFill="1" applyBorder="1"/>
    <xf numFmtId="3" fontId="20" fillId="3" borderId="12" xfId="3" applyNumberFormat="1" applyFont="1" applyFill="1" applyBorder="1"/>
    <xf numFmtId="0" fontId="50" fillId="0" borderId="0" xfId="3" applyFont="1" applyFill="1" applyProtection="1"/>
    <xf numFmtId="0" fontId="5" fillId="0" borderId="0" xfId="3" applyFont="1" applyFill="1" applyProtection="1"/>
    <xf numFmtId="1" fontId="20" fillId="3" borderId="9" xfId="7" applyNumberFormat="1" applyFont="1" applyFill="1" applyBorder="1" applyAlignment="1" applyProtection="1">
      <alignment horizontal="right"/>
    </xf>
    <xf numFmtId="3" fontId="17" fillId="3" borderId="0" xfId="8" applyNumberFormat="1" applyFont="1" applyFill="1" applyProtection="1"/>
    <xf numFmtId="3" fontId="17" fillId="3" borderId="8" xfId="8" applyNumberFormat="1" applyFont="1" applyFill="1" applyBorder="1" applyProtection="1"/>
    <xf numFmtId="3" fontId="20" fillId="0" borderId="0" xfId="10" applyNumberFormat="1" applyFont="1" applyFill="1" applyBorder="1" applyAlignment="1" applyProtection="1">
      <alignment horizontal="right" indent="1"/>
    </xf>
    <xf numFmtId="167" fontId="20" fillId="0" borderId="0" xfId="10" applyNumberFormat="1" applyFont="1" applyFill="1" applyBorder="1" applyAlignment="1" applyProtection="1">
      <alignment horizontal="right" indent="1"/>
    </xf>
    <xf numFmtId="3" fontId="17" fillId="3" borderId="0" xfId="10" applyNumberFormat="1" applyFont="1" applyFill="1" applyBorder="1" applyAlignment="1" applyProtection="1">
      <alignment horizontal="right" indent="1"/>
    </xf>
    <xf numFmtId="167" fontId="17" fillId="3" borderId="0" xfId="10" applyNumberFormat="1" applyFont="1" applyFill="1" applyBorder="1" applyAlignment="1" applyProtection="1">
      <alignment horizontal="right" indent="1"/>
    </xf>
    <xf numFmtId="3" fontId="51" fillId="3" borderId="0" xfId="4" applyNumberFormat="1" applyFont="1" applyFill="1" applyBorder="1" applyAlignment="1" applyProtection="1">
      <alignment horizontal="left" indent="1"/>
    </xf>
    <xf numFmtId="3" fontId="51" fillId="3" borderId="0" xfId="10" applyNumberFormat="1" applyFont="1" applyFill="1" applyBorder="1" applyAlignment="1" applyProtection="1">
      <alignment horizontal="right" indent="1"/>
    </xf>
    <xf numFmtId="167" fontId="51" fillId="3" borderId="0" xfId="10" applyNumberFormat="1" applyFont="1" applyFill="1" applyBorder="1" applyAlignment="1" applyProtection="1">
      <alignment horizontal="right" indent="1"/>
    </xf>
    <xf numFmtId="0" fontId="17" fillId="3" borderId="0" xfId="0" applyFont="1" applyFill="1" applyBorder="1" applyAlignment="1" applyProtection="1">
      <alignment horizontal="left"/>
    </xf>
    <xf numFmtId="167" fontId="20" fillId="3" borderId="8" xfId="10" applyNumberFormat="1" applyFont="1" applyFill="1" applyBorder="1" applyAlignment="1" applyProtection="1">
      <alignment horizontal="right" indent="1"/>
    </xf>
    <xf numFmtId="3" fontId="17" fillId="3" borderId="9" xfId="10" applyNumberFormat="1" applyFont="1" applyFill="1" applyBorder="1" applyProtection="1"/>
    <xf numFmtId="3" fontId="17" fillId="3" borderId="9" xfId="7" applyNumberFormat="1" applyFont="1" applyFill="1" applyBorder="1" applyAlignment="1" applyProtection="1">
      <alignment horizontal="right" indent="1"/>
    </xf>
    <xf numFmtId="167" fontId="17" fillId="3" borderId="9" xfId="10" applyNumberFormat="1" applyFont="1" applyFill="1" applyBorder="1" applyAlignment="1" applyProtection="1">
      <alignment horizontal="right" indent="1"/>
    </xf>
    <xf numFmtId="167" fontId="20" fillId="3" borderId="9" xfId="10" applyNumberFormat="1" applyFont="1" applyFill="1" applyBorder="1" applyAlignment="1" applyProtection="1">
      <alignment horizontal="right" indent="1"/>
    </xf>
    <xf numFmtId="3" fontId="12" fillId="3" borderId="8" xfId="7" applyNumberFormat="1" applyFont="1" applyFill="1" applyBorder="1" applyAlignment="1" applyProtection="1">
      <alignment horizontal="right"/>
    </xf>
    <xf numFmtId="165" fontId="11" fillId="3" borderId="0" xfId="7" applyNumberFormat="1" applyFont="1" applyFill="1" applyBorder="1" applyAlignment="1" applyProtection="1">
      <alignment horizontal="right"/>
    </xf>
    <xf numFmtId="165" fontId="12" fillId="3" borderId="8" xfId="7" applyNumberFormat="1" applyFont="1" applyFill="1" applyBorder="1" applyAlignment="1" applyProtection="1">
      <alignment horizontal="right"/>
    </xf>
    <xf numFmtId="164" fontId="12" fillId="3" borderId="0" xfId="7" applyFont="1" applyFill="1" applyBorder="1" applyAlignment="1" applyProtection="1">
      <alignment horizontal="left"/>
    </xf>
    <xf numFmtId="3" fontId="12" fillId="3" borderId="0" xfId="7" applyNumberFormat="1" applyFont="1" applyFill="1" applyBorder="1" applyAlignment="1" applyProtection="1">
      <alignment horizontal="right"/>
    </xf>
    <xf numFmtId="0" fontId="20" fillId="3" borderId="8" xfId="1" applyFont="1" applyFill="1" applyBorder="1" applyProtection="1"/>
    <xf numFmtId="3" fontId="20" fillId="3" borderId="8" xfId="1" applyNumberFormat="1" applyFont="1" applyFill="1" applyBorder="1" applyProtection="1"/>
    <xf numFmtId="168" fontId="0" fillId="0" borderId="0" xfId="0" applyNumberFormat="1"/>
    <xf numFmtId="179" fontId="0" fillId="0" borderId="0" xfId="0" applyNumberFormat="1"/>
    <xf numFmtId="3" fontId="0" fillId="0" borderId="0" xfId="0" applyNumberFormat="1"/>
    <xf numFmtId="165" fontId="11" fillId="3" borderId="8" xfId="7" applyNumberFormat="1" applyFont="1" applyFill="1" applyBorder="1" applyAlignment="1" applyProtection="1">
      <alignment horizontal="right"/>
    </xf>
    <xf numFmtId="0" fontId="12" fillId="3" borderId="0" xfId="3" applyFont="1" applyFill="1" applyBorder="1" applyAlignment="1" applyProtection="1">
      <alignment horizontal="center"/>
    </xf>
    <xf numFmtId="0" fontId="20" fillId="3" borderId="0" xfId="0" applyFont="1" applyFill="1" applyAlignment="1">
      <alignment horizontal="right" vertical="center" readingOrder="1"/>
    </xf>
    <xf numFmtId="164" fontId="34" fillId="3" borderId="0" xfId="7" applyFont="1" applyFill="1" applyBorder="1" applyProtection="1"/>
    <xf numFmtId="0" fontId="20" fillId="3" borderId="0" xfId="0" applyFont="1" applyFill="1" applyAlignment="1">
      <alignment horizontal="left" vertical="center" wrapText="1" readingOrder="1"/>
    </xf>
    <xf numFmtId="0" fontId="11" fillId="3" borderId="0" xfId="3" applyFont="1" applyFill="1" applyBorder="1" applyAlignment="1" applyProtection="1">
      <alignment horizontal="right"/>
    </xf>
    <xf numFmtId="164" fontId="11" fillId="3" borderId="0" xfId="7" applyFont="1" applyFill="1" applyBorder="1" applyAlignment="1" applyProtection="1">
      <alignment horizontal="left" vertical="center"/>
    </xf>
    <xf numFmtId="164" fontId="11" fillId="3" borderId="0" xfId="7" applyFont="1" applyFill="1" applyBorder="1" applyAlignment="1" applyProtection="1">
      <alignment horizontal="left" vertical="center" indent="1"/>
    </xf>
    <xf numFmtId="164" fontId="12" fillId="3" borderId="0" xfId="7" applyFont="1" applyFill="1" applyBorder="1" applyAlignment="1" applyProtection="1">
      <alignment horizontal="left" vertical="center" indent="1"/>
    </xf>
    <xf numFmtId="164" fontId="42" fillId="3" borderId="0" xfId="7" applyFont="1" applyFill="1" applyBorder="1" applyProtection="1"/>
    <xf numFmtId="164" fontId="15" fillId="3" borderId="0" xfId="7" applyFont="1" applyFill="1" applyProtection="1"/>
    <xf numFmtId="0" fontId="12" fillId="0" borderId="0" xfId="16" applyFont="1" applyFill="1" applyBorder="1" applyAlignment="1" applyProtection="1">
      <alignment vertical="top" wrapText="1"/>
    </xf>
    <xf numFmtId="179" fontId="17" fillId="0" borderId="0" xfId="8" applyNumberFormat="1" applyFont="1" applyFill="1" applyProtection="1"/>
    <xf numFmtId="180" fontId="17" fillId="0" borderId="0" xfId="8" applyNumberFormat="1" applyFont="1" applyFill="1" applyProtection="1"/>
    <xf numFmtId="0" fontId="21" fillId="0" borderId="0" xfId="16" applyFont="1" applyFill="1" applyBorder="1" applyProtection="1"/>
    <xf numFmtId="1" fontId="17" fillId="3" borderId="0" xfId="8" applyNumberFormat="1" applyFont="1" applyFill="1" applyProtection="1"/>
    <xf numFmtId="1" fontId="17" fillId="3" borderId="8" xfId="8" applyNumberFormat="1" applyFont="1" applyFill="1" applyBorder="1" applyProtection="1"/>
    <xf numFmtId="3" fontId="19" fillId="6" borderId="0" xfId="3" applyNumberFormat="1" applyFont="1" applyFill="1" applyBorder="1" applyAlignment="1" applyProtection="1">
      <alignment horizontal="right"/>
    </xf>
    <xf numFmtId="3" fontId="19" fillId="7" borderId="0" xfId="3" applyNumberFormat="1" applyFont="1" applyFill="1" applyBorder="1" applyAlignment="1" applyProtection="1">
      <alignment horizontal="right"/>
    </xf>
    <xf numFmtId="3" fontId="19" fillId="6" borderId="0" xfId="3" applyNumberFormat="1" applyFont="1" applyFill="1" applyBorder="1" applyAlignment="1" applyProtection="1">
      <alignment horizontal="right" indent="4"/>
    </xf>
    <xf numFmtId="3" fontId="19" fillId="7" borderId="0" xfId="3" applyNumberFormat="1" applyFont="1" applyFill="1" applyBorder="1" applyAlignment="1" applyProtection="1">
      <alignment horizontal="right" indent="4"/>
    </xf>
    <xf numFmtId="167" fontId="17" fillId="3" borderId="0" xfId="8" applyNumberFormat="1" applyFont="1" applyFill="1" applyProtection="1"/>
    <xf numFmtId="167" fontId="17" fillId="3" borderId="14" xfId="8" applyNumberFormat="1" applyFont="1" applyFill="1" applyBorder="1" applyProtection="1"/>
    <xf numFmtId="165" fontId="21" fillId="0" borderId="0" xfId="7" applyNumberFormat="1"/>
    <xf numFmtId="172" fontId="11" fillId="0" borderId="0" xfId="0" applyNumberFormat="1" applyFont="1" applyFill="1" applyAlignment="1">
      <alignment horizontal="right"/>
    </xf>
    <xf numFmtId="4" fontId="12" fillId="3" borderId="4" xfId="10" applyNumberFormat="1" applyFont="1" applyFill="1" applyBorder="1" applyAlignment="1" applyProtection="1">
      <alignment horizontal="right" indent="1"/>
    </xf>
    <xf numFmtId="0" fontId="10" fillId="0" borderId="0" xfId="6" applyFont="1" applyFill="1" applyAlignment="1" applyProtection="1">
      <alignment horizontal="right"/>
    </xf>
    <xf numFmtId="2" fontId="19" fillId="4" borderId="0" xfId="7" applyNumberFormat="1" applyFont="1" applyFill="1" applyBorder="1" applyAlignment="1" applyProtection="1">
      <alignment horizontal="center"/>
    </xf>
    <xf numFmtId="0" fontId="12" fillId="3" borderId="0" xfId="3" applyFont="1" applyFill="1" applyBorder="1" applyAlignment="1" applyProtection="1">
      <alignment horizontal="center" vertical="center"/>
    </xf>
    <xf numFmtId="165" fontId="52" fillId="0" borderId="0" xfId="7" applyNumberFormat="1" applyFont="1"/>
    <xf numFmtId="165" fontId="21" fillId="0" borderId="0" xfId="7" applyNumberFormat="1" applyFont="1"/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20" fillId="3" borderId="15" xfId="0" applyFont="1" applyFill="1" applyBorder="1"/>
    <xf numFmtId="0" fontId="20" fillId="3" borderId="14" xfId="0" applyFont="1" applyFill="1" applyBorder="1"/>
    <xf numFmtId="0" fontId="20" fillId="3" borderId="14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center" vertical="center"/>
    </xf>
    <xf numFmtId="166" fontId="17" fillId="3" borderId="14" xfId="8" applyNumberFormat="1" applyFont="1" applyFill="1" applyBorder="1" applyProtection="1"/>
    <xf numFmtId="2" fontId="19" fillId="4" borderId="6" xfId="7" applyNumberFormat="1" applyFont="1" applyFill="1" applyBorder="1" applyAlignment="1" applyProtection="1">
      <alignment horizontal="center"/>
    </xf>
    <xf numFmtId="182" fontId="11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Protection="1"/>
    <xf numFmtId="3" fontId="11" fillId="3" borderId="0" xfId="10" applyNumberFormat="1" applyFont="1" applyFill="1" applyBorder="1" applyAlignment="1" applyProtection="1">
      <alignment horizontal="right" indent="1"/>
    </xf>
    <xf numFmtId="166" fontId="8" fillId="0" borderId="0" xfId="0" applyNumberFormat="1" applyFont="1" applyFill="1" applyBorder="1" applyProtection="1"/>
    <xf numFmtId="167" fontId="8" fillId="0" borderId="0" xfId="0" applyNumberFormat="1" applyFont="1" applyFill="1" applyBorder="1" applyProtection="1"/>
    <xf numFmtId="3" fontId="12" fillId="3" borderId="9" xfId="10" applyNumberFormat="1" applyFont="1" applyFill="1" applyBorder="1" applyAlignment="1" applyProtection="1">
      <alignment horizontal="right" indent="1"/>
    </xf>
    <xf numFmtId="3" fontId="8" fillId="0" borderId="0" xfId="0" applyNumberFormat="1" applyFont="1" applyFill="1" applyBorder="1" applyProtection="1"/>
    <xf numFmtId="168" fontId="12" fillId="3" borderId="9" xfId="10" applyNumberFormat="1" applyFont="1" applyFill="1" applyBorder="1" applyAlignment="1" applyProtection="1">
      <alignment horizontal="right" indent="1"/>
    </xf>
    <xf numFmtId="3" fontId="12" fillId="0" borderId="0" xfId="10" applyNumberFormat="1" applyFont="1" applyFill="1" applyBorder="1" applyProtection="1"/>
    <xf numFmtId="168" fontId="12" fillId="0" borderId="0" xfId="10" applyNumberFormat="1" applyFont="1" applyFill="1" applyBorder="1" applyAlignment="1" applyProtection="1">
      <alignment horizontal="right" indent="1"/>
    </xf>
    <xf numFmtId="3" fontId="12" fillId="3" borderId="14" xfId="7" applyNumberFormat="1" applyFont="1" applyFill="1" applyBorder="1" applyAlignment="1" applyProtection="1">
      <alignment horizontal="right"/>
    </xf>
    <xf numFmtId="0" fontId="53" fillId="0" borderId="0" xfId="3" applyFont="1" applyFill="1" applyBorder="1" applyProtection="1"/>
    <xf numFmtId="0" fontId="31" fillId="0" borderId="0" xfId="16" applyFont="1" applyFill="1" applyBorder="1" applyProtection="1"/>
    <xf numFmtId="0" fontId="10" fillId="0" borderId="0" xfId="6" applyFont="1" applyFill="1" applyAlignment="1" applyProtection="1"/>
    <xf numFmtId="0" fontId="12" fillId="3" borderId="0" xfId="12" applyFont="1" applyFill="1" applyBorder="1" applyAlignment="1" applyProtection="1">
      <alignment horizontal="justify" vertical="center"/>
    </xf>
    <xf numFmtId="164" fontId="17" fillId="0" borderId="0" xfId="7" applyFont="1" applyFill="1" applyBorder="1" applyAlignment="1" applyProtection="1">
      <alignment horizontal="right"/>
    </xf>
    <xf numFmtId="0" fontId="19" fillId="6" borderId="0" xfId="3" quotePrefix="1" applyFont="1" applyFill="1" applyBorder="1" applyAlignment="1" applyProtection="1">
      <alignment horizontal="right" vertical="center"/>
    </xf>
    <xf numFmtId="0" fontId="19" fillId="7" borderId="0" xfId="3" quotePrefix="1" applyFont="1" applyFill="1" applyBorder="1" applyAlignment="1" applyProtection="1">
      <alignment horizontal="right" vertical="center"/>
    </xf>
    <xf numFmtId="0" fontId="12" fillId="3" borderId="0" xfId="3" applyFont="1" applyFill="1" applyBorder="1" applyAlignment="1" applyProtection="1">
      <alignment horizontal="left" vertical="center"/>
    </xf>
    <xf numFmtId="0" fontId="19" fillId="6" borderId="0" xfId="3" quotePrefix="1" applyFont="1" applyFill="1" applyBorder="1" applyAlignment="1" applyProtection="1">
      <alignment horizontal="left" vertical="center"/>
    </xf>
    <xf numFmtId="0" fontId="19" fillId="7" borderId="0" xfId="3" quotePrefix="1" applyFont="1" applyFill="1" applyBorder="1" applyAlignment="1" applyProtection="1">
      <alignment horizontal="left" vertical="center"/>
    </xf>
    <xf numFmtId="164" fontId="34" fillId="3" borderId="0" xfId="7" applyFont="1" applyFill="1" applyBorder="1" applyAlignment="1" applyProtection="1">
      <alignment vertical="center"/>
    </xf>
    <xf numFmtId="167" fontId="32" fillId="0" borderId="0" xfId="0" applyNumberFormat="1" applyFont="1" applyFill="1"/>
    <xf numFmtId="183" fontId="21" fillId="0" borderId="0" xfId="7" applyNumberFormat="1"/>
    <xf numFmtId="184" fontId="21" fillId="0" borderId="0" xfId="7" applyNumberFormat="1"/>
    <xf numFmtId="3" fontId="54" fillId="0" borderId="0" xfId="0" applyNumberFormat="1" applyFont="1"/>
    <xf numFmtId="168" fontId="54" fillId="0" borderId="0" xfId="0" applyNumberFormat="1" applyFont="1"/>
    <xf numFmtId="181" fontId="54" fillId="0" borderId="0" xfId="0" applyNumberFormat="1" applyFont="1"/>
    <xf numFmtId="0" fontId="54" fillId="0" borderId="0" xfId="0" applyFont="1"/>
    <xf numFmtId="0" fontId="32" fillId="0" borderId="0" xfId="8" applyFont="1" applyFill="1" applyBorder="1" applyProtection="1"/>
    <xf numFmtId="172" fontId="54" fillId="0" borderId="0" xfId="0" applyNumberFormat="1" applyFont="1"/>
    <xf numFmtId="165" fontId="55" fillId="0" borderId="0" xfId="7" applyNumberFormat="1" applyFont="1"/>
    <xf numFmtId="165" fontId="56" fillId="0" borderId="0" xfId="7" applyNumberFormat="1" applyFont="1"/>
    <xf numFmtId="164" fontId="10" fillId="0" borderId="0" xfId="7" applyFont="1" applyFill="1" applyAlignment="1" applyProtection="1">
      <alignment horizontal="right"/>
    </xf>
    <xf numFmtId="164" fontId="39" fillId="0" borderId="0" xfId="7" applyFont="1" applyFill="1" applyBorder="1" applyProtection="1"/>
    <xf numFmtId="164" fontId="38" fillId="0" borderId="0" xfId="7" applyFont="1" applyFill="1" applyBorder="1" applyProtection="1"/>
    <xf numFmtId="164" fontId="57" fillId="0" borderId="0" xfId="7" applyFont="1" applyFill="1" applyBorder="1" applyProtection="1"/>
    <xf numFmtId="164" fontId="39" fillId="0" borderId="0" xfId="7" applyFont="1" applyFill="1" applyBorder="1" applyAlignment="1" applyProtection="1">
      <alignment horizontal="left" indent="1"/>
    </xf>
    <xf numFmtId="164" fontId="23" fillId="8" borderId="0" xfId="7" applyFont="1" applyFill="1" applyBorder="1" applyAlignment="1" applyProtection="1">
      <alignment horizontal="left"/>
    </xf>
    <xf numFmtId="164" fontId="12" fillId="0" borderId="0" xfId="7" quotePrefix="1" applyFont="1" applyFill="1" applyBorder="1" applyAlignment="1" applyProtection="1">
      <alignment vertical="top" wrapText="1"/>
    </xf>
    <xf numFmtId="167" fontId="29" fillId="8" borderId="2" xfId="7" applyNumberFormat="1" applyFont="1" applyFill="1" applyBorder="1" applyProtection="1"/>
    <xf numFmtId="1" fontId="23" fillId="8" borderId="2" xfId="7" applyNumberFormat="1" applyFont="1" applyFill="1" applyBorder="1" applyAlignment="1" applyProtection="1">
      <alignment horizontal="right" indent="1"/>
    </xf>
    <xf numFmtId="167" fontId="59" fillId="0" borderId="0" xfId="7" applyNumberFormat="1" applyFont="1" applyFill="1" applyBorder="1" applyProtection="1"/>
    <xf numFmtId="167" fontId="7" fillId="0" borderId="0" xfId="7" applyNumberFormat="1" applyFont="1" applyFill="1" applyBorder="1" applyProtection="1"/>
    <xf numFmtId="3" fontId="11" fillId="3" borderId="0" xfId="7" applyNumberFormat="1" applyFont="1" applyFill="1" applyBorder="1" applyAlignment="1" applyProtection="1">
      <alignment horizontal="right" indent="1"/>
    </xf>
    <xf numFmtId="167" fontId="11" fillId="3" borderId="0" xfId="7" applyNumberFormat="1" applyFont="1" applyFill="1" applyBorder="1" applyAlignment="1" applyProtection="1">
      <alignment horizontal="right" indent="1"/>
    </xf>
    <xf numFmtId="168" fontId="5" fillId="0" borderId="0" xfId="7" applyNumberFormat="1" applyFont="1" applyFill="1" applyBorder="1" applyProtection="1"/>
    <xf numFmtId="164" fontId="11" fillId="0" borderId="0" xfId="7" applyFont="1" applyFill="1" applyProtection="1"/>
    <xf numFmtId="167" fontId="12" fillId="3" borderId="2" xfId="7" applyNumberFormat="1" applyFont="1" applyFill="1" applyBorder="1" applyProtection="1"/>
    <xf numFmtId="3" fontId="12" fillId="3" borderId="8" xfId="7" applyNumberFormat="1" applyFont="1" applyFill="1" applyBorder="1" applyAlignment="1" applyProtection="1">
      <alignment horizontal="right" indent="1"/>
    </xf>
    <xf numFmtId="167" fontId="12" fillId="3" borderId="8" xfId="7" applyNumberFormat="1" applyFont="1" applyFill="1" applyBorder="1" applyAlignment="1" applyProtection="1">
      <alignment horizontal="right" indent="1"/>
    </xf>
    <xf numFmtId="167" fontId="11" fillId="3" borderId="5" xfId="7" applyNumberFormat="1" applyFont="1" applyFill="1" applyBorder="1" applyAlignment="1" applyProtection="1">
      <alignment horizontal="left"/>
    </xf>
    <xf numFmtId="167" fontId="11" fillId="3" borderId="0" xfId="7" applyNumberFormat="1" applyFont="1" applyFill="1" applyBorder="1" applyAlignment="1" applyProtection="1">
      <alignment horizontal="left"/>
    </xf>
    <xf numFmtId="3" fontId="11" fillId="3" borderId="8" xfId="7" applyNumberFormat="1" applyFont="1" applyFill="1" applyBorder="1" applyAlignment="1" applyProtection="1">
      <alignment horizontal="right" indent="1"/>
    </xf>
    <xf numFmtId="167" fontId="11" fillId="3" borderId="8" xfId="7" applyNumberFormat="1" applyFont="1" applyFill="1" applyBorder="1" applyAlignment="1" applyProtection="1">
      <alignment horizontal="right" indent="1"/>
    </xf>
    <xf numFmtId="167" fontId="12" fillId="3" borderId="16" xfId="7" applyNumberFormat="1" applyFont="1" applyFill="1" applyBorder="1" applyProtection="1"/>
    <xf numFmtId="3" fontId="12" fillId="3" borderId="17" xfId="7" applyNumberFormat="1" applyFont="1" applyFill="1" applyBorder="1" applyAlignment="1" applyProtection="1">
      <alignment horizontal="right" indent="1"/>
    </xf>
    <xf numFmtId="167" fontId="12" fillId="3" borderId="17" xfId="7" applyNumberFormat="1" applyFont="1" applyFill="1" applyBorder="1" applyAlignment="1" applyProtection="1">
      <alignment horizontal="right" indent="1"/>
    </xf>
    <xf numFmtId="0" fontId="60" fillId="0" borderId="0" xfId="11" applyFont="1" applyFill="1" applyProtection="1"/>
    <xf numFmtId="167" fontId="17" fillId="0" borderId="0" xfId="7" applyNumberFormat="1" applyFont="1" applyFill="1" applyBorder="1" applyProtection="1"/>
    <xf numFmtId="3" fontId="7" fillId="0" borderId="0" xfId="7" applyNumberFormat="1" applyFont="1" applyFill="1" applyBorder="1" applyProtection="1"/>
    <xf numFmtId="3" fontId="17" fillId="0" borderId="0" xfId="7" applyNumberFormat="1" applyFont="1" applyFill="1" applyBorder="1" applyProtection="1"/>
    <xf numFmtId="1" fontId="20" fillId="3" borderId="9" xfId="7" quotePrefix="1" applyNumberFormat="1" applyFont="1" applyFill="1" applyBorder="1" applyAlignment="1" applyProtection="1">
      <alignment horizontal="right" indent="1"/>
    </xf>
    <xf numFmtId="167" fontId="17" fillId="3" borderId="0" xfId="7" applyNumberFormat="1" applyFont="1" applyFill="1" applyBorder="1" applyAlignment="1" applyProtection="1">
      <alignment horizontal="right" indent="1"/>
    </xf>
    <xf numFmtId="0" fontId="0" fillId="0" borderId="0" xfId="0" applyFill="1"/>
    <xf numFmtId="4" fontId="17" fillId="0" borderId="0" xfId="10" applyNumberFormat="1" applyFont="1" applyFill="1" applyBorder="1" applyAlignment="1" applyProtection="1">
      <alignment horizontal="right" indent="1"/>
    </xf>
    <xf numFmtId="164" fontId="23" fillId="9" borderId="0" xfId="7" applyFont="1" applyFill="1" applyBorder="1" applyAlignment="1" applyProtection="1">
      <alignment horizontal="left"/>
    </xf>
    <xf numFmtId="164" fontId="23" fillId="9" borderId="2" xfId="7" applyFont="1" applyFill="1" applyBorder="1" applyAlignment="1" applyProtection="1">
      <alignment horizontal="left"/>
    </xf>
    <xf numFmtId="1" fontId="23" fillId="9" borderId="2" xfId="7" applyNumberFormat="1" applyFont="1" applyFill="1" applyBorder="1" applyAlignment="1" applyProtection="1">
      <alignment horizontal="right" indent="1"/>
    </xf>
    <xf numFmtId="164" fontId="21" fillId="0" borderId="0" xfId="7" applyFont="1" applyFill="1" applyBorder="1" applyProtection="1"/>
    <xf numFmtId="167" fontId="12" fillId="3" borderId="4" xfId="10" applyNumberFormat="1" applyFont="1" applyFill="1" applyBorder="1" applyAlignment="1" applyProtection="1">
      <alignment horizontal="right" indent="1"/>
    </xf>
    <xf numFmtId="164" fontId="21" fillId="0" borderId="0" xfId="7" applyFont="1" applyFill="1" applyProtection="1"/>
    <xf numFmtId="164" fontId="8" fillId="0" borderId="0" xfId="7" applyFont="1" applyFill="1" applyProtection="1"/>
    <xf numFmtId="3" fontId="8" fillId="0" borderId="0" xfId="7" applyNumberFormat="1" applyFont="1" applyFill="1" applyProtection="1"/>
    <xf numFmtId="165" fontId="8" fillId="0" borderId="0" xfId="7" applyNumberFormat="1" applyFont="1" applyFill="1" applyProtection="1"/>
    <xf numFmtId="3" fontId="8" fillId="0" borderId="0" xfId="7" applyNumberFormat="1" applyFont="1" applyFill="1" applyAlignment="1" applyProtection="1">
      <alignment horizontal="right"/>
    </xf>
    <xf numFmtId="165" fontId="8" fillId="0" borderId="0" xfId="7" applyNumberFormat="1" applyFont="1" applyFill="1" applyAlignment="1" applyProtection="1">
      <alignment horizontal="right"/>
    </xf>
    <xf numFmtId="167" fontId="17" fillId="0" borderId="0" xfId="9" applyNumberFormat="1" applyFont="1" applyFill="1" applyBorder="1" applyAlignment="1">
      <alignment horizontal="right"/>
    </xf>
    <xf numFmtId="167" fontId="17" fillId="0" borderId="0" xfId="9" applyNumberFormat="1" applyFont="1" applyFill="1" applyBorder="1" applyAlignment="1"/>
    <xf numFmtId="0" fontId="20" fillId="0" borderId="0" xfId="9" applyFont="1" applyFill="1" applyBorder="1" applyAlignment="1">
      <alignment horizontal="right" textRotation="90"/>
    </xf>
    <xf numFmtId="167" fontId="20" fillId="0" borderId="0" xfId="9" applyNumberFormat="1" applyFont="1" applyFill="1" applyBorder="1" applyAlignment="1">
      <alignment horizontal="right"/>
    </xf>
    <xf numFmtId="165" fontId="21" fillId="0" borderId="0" xfId="7" applyNumberFormat="1" applyFont="1" applyFill="1" applyBorder="1" applyProtection="1"/>
    <xf numFmtId="168" fontId="17" fillId="0" borderId="0" xfId="10" applyNumberFormat="1" applyFont="1" applyFill="1" applyBorder="1" applyAlignment="1" applyProtection="1">
      <alignment horizontal="right" indent="1"/>
    </xf>
    <xf numFmtId="0" fontId="10" fillId="0" borderId="0" xfId="11" applyFont="1" applyFill="1" applyAlignment="1" applyProtection="1">
      <alignment horizontal="right"/>
    </xf>
    <xf numFmtId="0" fontId="29" fillId="8" borderId="0" xfId="11" applyFont="1" applyFill="1" applyBorder="1" applyAlignment="1" applyProtection="1">
      <alignment horizontal="center"/>
    </xf>
    <xf numFmtId="0" fontId="29" fillId="8" borderId="8" xfId="11" applyFont="1" applyFill="1" applyBorder="1" applyAlignment="1" applyProtection="1">
      <alignment horizontal="center"/>
    </xf>
    <xf numFmtId="3" fontId="23" fillId="8" borderId="8" xfId="4" applyNumberFormat="1" applyFont="1" applyFill="1" applyBorder="1" applyAlignment="1" applyProtection="1">
      <alignment horizontal="right" indent="1"/>
    </xf>
    <xf numFmtId="167" fontId="11" fillId="3" borderId="0" xfId="11" applyNumberFormat="1" applyFont="1" applyFill="1" applyBorder="1" applyAlignment="1" applyProtection="1">
      <alignment horizontal="left"/>
    </xf>
    <xf numFmtId="167" fontId="11" fillId="3" borderId="0" xfId="10" applyNumberFormat="1" applyFont="1" applyFill="1" applyBorder="1" applyAlignment="1" applyProtection="1">
      <alignment horizontal="right" indent="1"/>
    </xf>
    <xf numFmtId="3" fontId="8" fillId="0" borderId="0" xfId="4" applyNumberFormat="1" applyFont="1" applyFill="1" applyBorder="1" applyProtection="1"/>
    <xf numFmtId="3" fontId="11" fillId="0" borderId="0" xfId="4" applyNumberFormat="1" applyFont="1" applyFill="1" applyBorder="1" applyProtection="1"/>
    <xf numFmtId="0" fontId="51" fillId="3" borderId="0" xfId="11" applyFont="1" applyFill="1" applyBorder="1" applyAlignment="1" applyProtection="1">
      <alignment horizontal="left" indent="1"/>
    </xf>
    <xf numFmtId="0" fontId="51" fillId="3" borderId="0" xfId="11" applyFont="1" applyFill="1" applyAlignment="1" applyProtection="1">
      <alignment horizontal="left" indent="1"/>
    </xf>
    <xf numFmtId="0" fontId="11" fillId="0" borderId="0" xfId="4" applyFont="1" applyFill="1" applyBorder="1" applyAlignment="1" applyProtection="1"/>
    <xf numFmtId="0" fontId="11" fillId="0" borderId="0" xfId="4" applyFont="1" applyFill="1" applyAlignment="1" applyProtection="1">
      <alignment vertical="top"/>
    </xf>
    <xf numFmtId="0" fontId="17" fillId="3" borderId="0" xfId="11" applyFont="1" applyFill="1" applyBorder="1" applyAlignment="1" applyProtection="1">
      <alignment horizontal="left"/>
    </xf>
    <xf numFmtId="3" fontId="12" fillId="3" borderId="2" xfId="4" applyNumberFormat="1" applyFont="1" applyFill="1" applyBorder="1" applyAlignment="1" applyProtection="1">
      <alignment horizontal="left"/>
    </xf>
    <xf numFmtId="3" fontId="12" fillId="3" borderId="0" xfId="10" applyNumberFormat="1" applyFont="1" applyFill="1" applyBorder="1" applyAlignment="1" applyProtection="1">
      <alignment horizontal="right" indent="1"/>
    </xf>
    <xf numFmtId="167" fontId="12" fillId="3" borderId="0" xfId="10" applyNumberFormat="1" applyFont="1" applyFill="1" applyBorder="1" applyAlignment="1" applyProtection="1">
      <alignment horizontal="right" indent="1"/>
    </xf>
    <xf numFmtId="0" fontId="11" fillId="0" borderId="0" xfId="4" applyFont="1" applyFill="1" applyAlignment="1" applyProtection="1">
      <alignment vertical="center"/>
    </xf>
    <xf numFmtId="3" fontId="11" fillId="3" borderId="9" xfId="10" applyNumberFormat="1" applyFont="1" applyFill="1" applyBorder="1" applyAlignment="1" applyProtection="1">
      <alignment horizontal="right" indent="1"/>
    </xf>
    <xf numFmtId="167" fontId="11" fillId="3" borderId="9" xfId="10" applyNumberFormat="1" applyFont="1" applyFill="1" applyBorder="1" applyAlignment="1" applyProtection="1">
      <alignment horizontal="right" indent="1"/>
    </xf>
    <xf numFmtId="167" fontId="12" fillId="3" borderId="9" xfId="10" applyNumberFormat="1" applyFont="1" applyFill="1" applyBorder="1" applyAlignment="1" applyProtection="1">
      <alignment horizontal="right" indent="1"/>
    </xf>
    <xf numFmtId="0" fontId="21" fillId="0" borderId="0" xfId="11" applyAlignment="1"/>
    <xf numFmtId="0" fontId="17" fillId="0" borderId="0" xfId="11" applyNumberFormat="1" applyFont="1" applyFill="1" applyBorder="1" applyAlignment="1" applyProtection="1">
      <alignment vertical="center" wrapText="1"/>
    </xf>
    <xf numFmtId="0" fontId="21" fillId="0" borderId="0" xfId="11" applyAlignment="1">
      <alignment wrapText="1"/>
    </xf>
    <xf numFmtId="166" fontId="21" fillId="0" borderId="0" xfId="11" applyNumberFormat="1"/>
    <xf numFmtId="166" fontId="61" fillId="0" borderId="0" xfId="11" applyNumberFormat="1" applyFont="1"/>
    <xf numFmtId="0" fontId="12" fillId="0" borderId="0" xfId="4" applyFont="1" applyFill="1"/>
    <xf numFmtId="0" fontId="12" fillId="0" borderId="0" xfId="4" applyFont="1" applyFill="1" applyProtection="1"/>
    <xf numFmtId="0" fontId="61" fillId="0" borderId="0" xfId="11" applyFont="1"/>
    <xf numFmtId="0" fontId="8" fillId="0" borderId="0" xfId="11" applyFont="1"/>
    <xf numFmtId="1" fontId="8" fillId="0" borderId="0" xfId="11" applyNumberFormat="1" applyFont="1"/>
    <xf numFmtId="166" fontId="8" fillId="0" borderId="0" xfId="11" applyNumberFormat="1" applyFont="1"/>
    <xf numFmtId="3" fontId="11" fillId="0" borderId="0" xfId="11" applyNumberFormat="1" applyFont="1" applyFill="1" applyBorder="1" applyAlignment="1" applyProtection="1">
      <alignment horizontal="right"/>
    </xf>
    <xf numFmtId="1" fontId="11" fillId="0" borderId="0" xfId="11" applyNumberFormat="1" applyFont="1" applyFill="1" applyBorder="1" applyAlignment="1" applyProtection="1">
      <alignment horizontal="right"/>
    </xf>
    <xf numFmtId="166" fontId="11" fillId="0" borderId="0" xfId="11" applyNumberFormat="1" applyFont="1" applyFill="1" applyBorder="1" applyAlignment="1" applyProtection="1">
      <alignment horizontal="right"/>
    </xf>
    <xf numFmtId="0" fontId="11" fillId="3" borderId="0" xfId="11" applyFont="1" applyFill="1" applyBorder="1" applyAlignment="1" applyProtection="1">
      <alignment horizontal="left"/>
    </xf>
    <xf numFmtId="3" fontId="11" fillId="0" borderId="0" xfId="11" applyNumberFormat="1" applyFont="1" applyFill="1" applyBorder="1" applyAlignment="1" applyProtection="1">
      <alignment horizontal="left" indent="1"/>
    </xf>
    <xf numFmtId="166" fontId="8" fillId="0" borderId="0" xfId="4" applyNumberFormat="1" applyFont="1" applyFill="1" applyProtection="1"/>
    <xf numFmtId="180" fontId="8" fillId="0" borderId="0" xfId="4" applyNumberFormat="1" applyFont="1" applyFill="1" applyBorder="1" applyProtection="1"/>
    <xf numFmtId="164" fontId="21" fillId="0" borderId="0" xfId="7" applyNumberFormat="1" applyFont="1" applyFill="1" applyBorder="1" applyProtection="1"/>
    <xf numFmtId="164" fontId="21" fillId="0" borderId="0" xfId="7" applyNumberFormat="1" applyFont="1" applyFill="1" applyProtection="1"/>
    <xf numFmtId="164" fontId="8" fillId="0" borderId="0" xfId="11" applyNumberFormat="1" applyFont="1"/>
    <xf numFmtId="167" fontId="0" fillId="0" borderId="0" xfId="0" applyNumberFormat="1"/>
    <xf numFmtId="0" fontId="12" fillId="0" borderId="0" xfId="15" applyFont="1" applyFill="1" applyBorder="1" applyAlignment="1" applyProtection="1">
      <alignment horizontal="left" vertical="top" wrapText="1"/>
    </xf>
    <xf numFmtId="0" fontId="1" fillId="0" borderId="0" xfId="20"/>
    <xf numFmtId="0" fontId="62" fillId="0" borderId="0" xfId="19" applyFill="1"/>
    <xf numFmtId="0" fontId="1" fillId="11" borderId="0" xfId="20" applyFill="1"/>
    <xf numFmtId="0" fontId="1" fillId="12" borderId="0" xfId="20" applyFill="1"/>
    <xf numFmtId="1" fontId="1" fillId="0" borderId="0" xfId="20" applyNumberFormat="1"/>
    <xf numFmtId="0" fontId="1" fillId="13" borderId="0" xfId="20" applyFill="1"/>
    <xf numFmtId="0" fontId="1" fillId="14" borderId="0" xfId="20" applyFill="1"/>
    <xf numFmtId="0" fontId="12" fillId="0" borderId="0" xfId="15" applyFont="1" applyFill="1" applyBorder="1" applyAlignment="1" applyProtection="1">
      <alignment vertical="top"/>
    </xf>
    <xf numFmtId="164" fontId="12" fillId="3" borderId="9" xfId="7" applyFont="1" applyFill="1" applyBorder="1" applyAlignment="1" applyProtection="1">
      <alignment horizontal="right" wrapText="1"/>
    </xf>
    <xf numFmtId="172" fontId="11" fillId="0" borderId="0" xfId="0" applyNumberFormat="1" applyFont="1" applyFill="1" applyBorder="1" applyAlignment="1">
      <alignment horizontal="right"/>
    </xf>
    <xf numFmtId="171" fontId="11" fillId="0" borderId="0" xfId="0" applyNumberFormat="1" applyFont="1" applyFill="1" applyBorder="1" applyAlignment="1">
      <alignment horizontal="right"/>
    </xf>
    <xf numFmtId="0" fontId="32" fillId="0" borderId="0" xfId="0" applyFont="1" applyFill="1"/>
    <xf numFmtId="0" fontId="17" fillId="0" borderId="0" xfId="0" applyFont="1" applyFill="1" applyBorder="1" applyProtection="1"/>
    <xf numFmtId="1" fontId="17" fillId="0" borderId="0" xfId="0" applyNumberFormat="1" applyFont="1" applyFill="1" applyBorder="1" applyProtection="1"/>
    <xf numFmtId="168" fontId="17" fillId="0" borderId="0" xfId="0" applyNumberFormat="1" applyFont="1" applyFill="1" applyBorder="1" applyProtection="1"/>
    <xf numFmtId="164" fontId="11" fillId="3" borderId="8" xfId="7" applyFont="1" applyFill="1" applyBorder="1" applyAlignment="1" applyProtection="1">
      <alignment horizontal="left"/>
    </xf>
    <xf numFmtId="167" fontId="11" fillId="3" borderId="8" xfId="10" applyNumberFormat="1" applyFont="1" applyFill="1" applyBorder="1" applyAlignment="1" applyProtection="1">
      <alignment horizontal="right" indent="1"/>
    </xf>
    <xf numFmtId="3" fontId="11" fillId="3" borderId="8" xfId="10" applyNumberFormat="1" applyFont="1" applyFill="1" applyBorder="1" applyAlignment="1" applyProtection="1">
      <alignment horizontal="right" indent="1"/>
    </xf>
    <xf numFmtId="167" fontId="11" fillId="0" borderId="0" xfId="10" applyNumberFormat="1" applyFont="1" applyFill="1" applyBorder="1" applyAlignment="1" applyProtection="1">
      <alignment horizontal="right" indent="1"/>
    </xf>
    <xf numFmtId="3" fontId="11" fillId="0" borderId="0" xfId="10" applyNumberFormat="1" applyFont="1" applyFill="1" applyBorder="1" applyAlignment="1" applyProtection="1">
      <alignment horizontal="right" indent="1"/>
    </xf>
    <xf numFmtId="185" fontId="17" fillId="0" borderId="0" xfId="0" applyNumberFormat="1" applyFont="1" applyFill="1" applyBorder="1" applyProtection="1"/>
    <xf numFmtId="0" fontId="17" fillId="0" borderId="0" xfId="20" applyFont="1"/>
    <xf numFmtId="164" fontId="12" fillId="0" borderId="0" xfId="7" applyFont="1" applyFill="1" applyBorder="1" applyAlignment="1" applyProtection="1">
      <alignment horizontal="right" wrapText="1"/>
    </xf>
    <xf numFmtId="3" fontId="17" fillId="0" borderId="0" xfId="0" applyNumberFormat="1" applyFont="1" applyFill="1" applyBorder="1" applyProtection="1"/>
    <xf numFmtId="0" fontId="1" fillId="0" borderId="0" xfId="20" applyFill="1"/>
    <xf numFmtId="176" fontId="0" fillId="0" borderId="0" xfId="0" applyNumberFormat="1"/>
    <xf numFmtId="3" fontId="20" fillId="3" borderId="14" xfId="8" applyNumberFormat="1" applyFont="1" applyFill="1" applyBorder="1" applyProtection="1"/>
    <xf numFmtId="167" fontId="12" fillId="3" borderId="6" xfId="7" applyNumberFormat="1" applyFont="1" applyFill="1" applyBorder="1" applyAlignment="1" applyProtection="1">
      <alignment horizontal="right"/>
    </xf>
    <xf numFmtId="0" fontId="11" fillId="0" borderId="0" xfId="7" applyNumberFormat="1" applyFont="1" applyFill="1" applyAlignment="1" applyProtection="1">
      <alignment horizontal="justify" wrapText="1"/>
    </xf>
    <xf numFmtId="0" fontId="11" fillId="0" borderId="5" xfId="7" applyNumberFormat="1" applyFont="1" applyFill="1" applyBorder="1" applyAlignment="1" applyProtection="1">
      <alignment horizontal="left"/>
    </xf>
    <xf numFmtId="0" fontId="11" fillId="0" borderId="0" xfId="7" applyNumberFormat="1" applyFont="1" applyFill="1" applyBorder="1" applyAlignment="1" applyProtection="1">
      <alignment horizontal="left"/>
    </xf>
    <xf numFmtId="164" fontId="12" fillId="0" borderId="0" xfId="7" applyFont="1" applyFill="1" applyBorder="1" applyAlignment="1" applyProtection="1">
      <alignment horizontal="left" vertical="top" wrapText="1"/>
    </xf>
    <xf numFmtId="164" fontId="58" fillId="8" borderId="0" xfId="7" applyFont="1" applyFill="1" applyBorder="1" applyAlignment="1" applyProtection="1">
      <alignment horizontal="right" indent="1"/>
    </xf>
    <xf numFmtId="164" fontId="21" fillId="8" borderId="0" xfId="7" applyFill="1" applyBorder="1" applyAlignment="1">
      <alignment horizontal="right" indent="1"/>
    </xf>
    <xf numFmtId="164" fontId="58" fillId="8" borderId="2" xfId="7" applyFont="1" applyFill="1" applyBorder="1" applyAlignment="1" applyProtection="1">
      <alignment horizontal="right" indent="1"/>
    </xf>
    <xf numFmtId="0" fontId="11" fillId="0" borderId="18" xfId="7" applyNumberFormat="1" applyFont="1" applyFill="1" applyBorder="1" applyAlignment="1" applyProtection="1">
      <alignment horizontal="justify"/>
    </xf>
    <xf numFmtId="0" fontId="11" fillId="0" borderId="0" xfId="7" applyNumberFormat="1" applyFont="1" applyFill="1" applyBorder="1" applyAlignment="1" applyProtection="1">
      <alignment horizontal="justify"/>
    </xf>
    <xf numFmtId="0" fontId="17" fillId="0" borderId="0" xfId="7" applyNumberFormat="1" applyFont="1" applyFill="1" applyBorder="1" applyAlignment="1" applyProtection="1">
      <alignment horizontal="left" vertical="center" wrapText="1"/>
    </xf>
    <xf numFmtId="0" fontId="17" fillId="0" borderId="0" xfId="7" applyNumberFormat="1" applyFont="1" applyFill="1" applyBorder="1" applyAlignment="1" applyProtection="1">
      <alignment horizontal="justify"/>
    </xf>
    <xf numFmtId="164" fontId="23" fillId="9" borderId="0" xfId="7" applyFont="1" applyFill="1" applyBorder="1" applyAlignment="1" applyProtection="1">
      <alignment horizontal="right" indent="1"/>
    </xf>
    <xf numFmtId="164" fontId="5" fillId="0" borderId="0" xfId="7" applyFont="1" applyBorder="1" applyAlignment="1">
      <alignment horizontal="right" indent="1"/>
    </xf>
    <xf numFmtId="164" fontId="23" fillId="9" borderId="2" xfId="7" applyFont="1" applyFill="1" applyBorder="1" applyAlignment="1" applyProtection="1">
      <alignment horizontal="right" indent="1"/>
    </xf>
    <xf numFmtId="164" fontId="12" fillId="0" borderId="0" xfId="13" applyFont="1" applyFill="1" applyBorder="1" applyAlignment="1" applyProtection="1">
      <alignment horizontal="left" vertical="top" wrapText="1"/>
    </xf>
    <xf numFmtId="0" fontId="23" fillId="2" borderId="2" xfId="14" applyFont="1" applyFill="1" applyBorder="1" applyAlignment="1" applyProtection="1">
      <alignment horizontal="center"/>
    </xf>
    <xf numFmtId="0" fontId="11" fillId="0" borderId="5" xfId="14" applyFont="1" applyFill="1" applyBorder="1" applyAlignment="1" applyProtection="1">
      <alignment horizontal="left" wrapText="1"/>
    </xf>
    <xf numFmtId="164" fontId="11" fillId="0" borderId="0" xfId="11" applyNumberFormat="1" applyFont="1" applyFill="1" applyBorder="1" applyAlignment="1" applyProtection="1">
      <alignment horizontal="left" wrapText="1"/>
    </xf>
    <xf numFmtId="164" fontId="12" fillId="0" borderId="0" xfId="11" applyNumberFormat="1" applyFont="1" applyFill="1" applyBorder="1" applyAlignment="1" applyProtection="1">
      <alignment horizontal="left" vertical="top" wrapText="1"/>
    </xf>
    <xf numFmtId="0" fontId="12" fillId="0" borderId="0" xfId="15" applyFont="1" applyFill="1" applyBorder="1" applyAlignment="1" applyProtection="1">
      <alignment horizontal="left" vertical="top" wrapText="1"/>
    </xf>
    <xf numFmtId="2" fontId="19" fillId="4" borderId="0" xfId="7" applyNumberFormat="1" applyFont="1" applyFill="1" applyBorder="1" applyAlignment="1" applyProtection="1">
      <alignment horizontal="right"/>
    </xf>
    <xf numFmtId="0" fontId="12" fillId="0" borderId="0" xfId="16" applyFont="1" applyFill="1" applyBorder="1" applyAlignment="1" applyProtection="1">
      <alignment horizontal="left" vertical="top" wrapText="1"/>
    </xf>
    <xf numFmtId="2" fontId="19" fillId="4" borderId="0" xfId="7" applyNumberFormat="1" applyFont="1" applyFill="1" applyBorder="1" applyAlignment="1" applyProtection="1">
      <alignment horizontal="right" wrapText="1"/>
    </xf>
    <xf numFmtId="2" fontId="19" fillId="4" borderId="6" xfId="7" applyNumberFormat="1" applyFont="1" applyFill="1" applyBorder="1" applyAlignment="1" applyProtection="1">
      <alignment horizontal="right" wrapText="1"/>
    </xf>
    <xf numFmtId="1" fontId="19" fillId="4" borderId="8" xfId="7" applyNumberFormat="1" applyFont="1" applyFill="1" applyBorder="1" applyAlignment="1" applyProtection="1">
      <alignment horizontal="right"/>
    </xf>
    <xf numFmtId="164" fontId="11" fillId="0" borderId="11" xfId="11" applyNumberFormat="1" applyFont="1" applyFill="1" applyBorder="1" applyAlignment="1" applyProtection="1">
      <alignment horizontal="left" wrapText="1"/>
    </xf>
    <xf numFmtId="0" fontId="12" fillId="0" borderId="0" xfId="3" applyFont="1" applyFill="1" applyBorder="1" applyAlignment="1" applyProtection="1">
      <alignment horizontal="left" vertical="top" wrapText="1"/>
    </xf>
    <xf numFmtId="3" fontId="23" fillId="8" borderId="8" xfId="11" applyNumberFormat="1" applyFont="1" applyFill="1" applyBorder="1" applyAlignment="1" applyProtection="1">
      <alignment horizontal="center" wrapText="1"/>
    </xf>
    <xf numFmtId="0" fontId="21" fillId="8" borderId="8" xfId="11" applyFill="1" applyBorder="1" applyAlignment="1">
      <alignment horizontal="center" wrapText="1"/>
    </xf>
    <xf numFmtId="0" fontId="12" fillId="0" borderId="0" xfId="4" applyFont="1" applyFill="1" applyAlignment="1" applyProtection="1">
      <alignment horizontal="left" vertical="top" wrapText="1"/>
    </xf>
    <xf numFmtId="0" fontId="17" fillId="0" borderId="0" xfId="11" applyNumberFormat="1" applyFont="1" applyFill="1" applyBorder="1" applyAlignment="1" applyProtection="1">
      <alignment horizontal="left"/>
    </xf>
    <xf numFmtId="0" fontId="17" fillId="0" borderId="0" xfId="11" applyNumberFormat="1" applyFont="1" applyFill="1" applyBorder="1" applyAlignment="1" applyProtection="1">
      <alignment horizontal="justify" vertical="center" wrapText="1"/>
    </xf>
    <xf numFmtId="0" fontId="17" fillId="0" borderId="0" xfId="7" applyNumberFormat="1" applyFont="1" applyFill="1" applyBorder="1" applyAlignment="1" applyProtection="1">
      <alignment horizontal="left" vertical="center"/>
    </xf>
    <xf numFmtId="0" fontId="19" fillId="4" borderId="0" xfId="15" applyFont="1" applyFill="1" applyBorder="1" applyAlignment="1" applyProtection="1">
      <alignment horizontal="center"/>
    </xf>
    <xf numFmtId="2" fontId="19" fillId="4" borderId="0" xfId="7" applyNumberFormat="1" applyFont="1" applyFill="1" applyBorder="1" applyAlignment="1" applyProtection="1">
      <alignment horizontal="center"/>
    </xf>
    <xf numFmtId="0" fontId="12" fillId="3" borderId="0" xfId="3" applyFont="1" applyFill="1" applyBorder="1" applyAlignment="1" applyProtection="1">
      <alignment horizontal="center" vertical="center"/>
    </xf>
    <xf numFmtId="164" fontId="11" fillId="0" borderId="0" xfId="11" applyNumberFormat="1" applyFont="1" applyFill="1" applyBorder="1" applyAlignment="1" applyProtection="1">
      <alignment horizontal="justify" wrapText="1"/>
    </xf>
    <xf numFmtId="164" fontId="12" fillId="3" borderId="11" xfId="7" applyFont="1" applyFill="1" applyBorder="1" applyAlignment="1" applyProtection="1">
      <alignment horizontal="left" vertical="top"/>
    </xf>
    <xf numFmtId="164" fontId="12" fillId="3" borderId="0" xfId="7" applyFont="1" applyFill="1" applyBorder="1" applyAlignment="1" applyProtection="1">
      <alignment horizontal="left" vertical="top"/>
    </xf>
    <xf numFmtId="164" fontId="12" fillId="3" borderId="0" xfId="7" applyFont="1" applyFill="1" applyBorder="1" applyAlignment="1" applyProtection="1">
      <alignment horizontal="left" vertical="top" wrapText="1"/>
    </xf>
    <xf numFmtId="164" fontId="12" fillId="0" borderId="0" xfId="0" applyNumberFormat="1" applyFont="1" applyFill="1" applyAlignment="1">
      <alignment horizontal="left"/>
    </xf>
    <xf numFmtId="0" fontId="12" fillId="5" borderId="4" xfId="0" applyFont="1" applyFill="1" applyBorder="1" applyAlignment="1" applyProtection="1">
      <alignment horizontal="center" wrapText="1"/>
    </xf>
    <xf numFmtId="0" fontId="20" fillId="3" borderId="7" xfId="8" applyFont="1" applyFill="1" applyBorder="1" applyAlignment="1" applyProtection="1">
      <alignment horizontal="center"/>
    </xf>
    <xf numFmtId="0" fontId="20" fillId="3" borderId="15" xfId="0" applyFont="1" applyFill="1" applyBorder="1" applyAlignment="1">
      <alignment horizontal="center"/>
    </xf>
    <xf numFmtId="0" fontId="20" fillId="3" borderId="13" xfId="1" applyFont="1" applyFill="1" applyBorder="1" applyAlignment="1" applyProtection="1">
      <alignment horizontal="left" vertical="top"/>
    </xf>
    <xf numFmtId="0" fontId="20" fillId="3" borderId="0" xfId="1" applyFont="1" applyFill="1" applyBorder="1" applyAlignment="1" applyProtection="1">
      <alignment horizontal="left" vertical="top"/>
    </xf>
    <xf numFmtId="0" fontId="20" fillId="3" borderId="0" xfId="1" applyFont="1" applyFill="1" applyBorder="1" applyAlignment="1" applyProtection="1">
      <alignment horizontal="left" vertical="top" wrapText="1"/>
    </xf>
    <xf numFmtId="0" fontId="20" fillId="3" borderId="8" xfId="1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</cellXfs>
  <cellStyles count="21">
    <cellStyle name="Hipervínculo 2" xfId="12"/>
    <cellStyle name="Neutral" xfId="19" builtinId="28"/>
    <cellStyle name="Normal" xfId="0" builtinId="0"/>
    <cellStyle name="Normal 2" xfId="2"/>
    <cellStyle name="Normal 2 2" xfId="7"/>
    <cellStyle name="Normal 3" xfId="3"/>
    <cellStyle name="Normal 3 2" xfId="11"/>
    <cellStyle name="Normal 4" xfId="5"/>
    <cellStyle name="Normal 4 2" xfId="18"/>
    <cellStyle name="Normal 5" xfId="20"/>
    <cellStyle name="Normal 6" xfId="8"/>
    <cellStyle name="Normal 6 2" xfId="13"/>
    <cellStyle name="Normal 7" xfId="15"/>
    <cellStyle name="Normal_4.1.5" xfId="1"/>
    <cellStyle name="Normal_5 Regimen Especial" xfId="16"/>
    <cellStyle name="Normal_7 Red de Transporte - Salvo perdidas" xfId="14"/>
    <cellStyle name="Normal_A1 Comparacion Internacional" xfId="6"/>
    <cellStyle name="Normal_cuadro 1.1 2" xfId="10"/>
    <cellStyle name="Normal_Libro1_1" xfId="9"/>
    <cellStyle name="Normal_Sector Electrico en 2007" xfId="17"/>
    <cellStyle name="Normal_TTTTTTT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DAEEF5"/>
      <color rgb="FF92CDDC"/>
      <color rgb="FF31869B"/>
      <color rgb="FF215967"/>
      <color rgb="FF004563"/>
      <color rgb="FFA0A0A0"/>
      <color rgb="FF666666"/>
      <color rgb="FFCFA2CA"/>
      <color rgb="FF9A5CBC"/>
      <color rgb="FFE4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3'!$F$13:$J$13</c:f>
              <c:numCache>
                <c:formatCode>#,##0</c:formatCode>
                <c:ptCount val="5"/>
                <c:pt idx="0">
                  <c:v>18784.958560000006</c:v>
                </c:pt>
                <c:pt idx="1">
                  <c:v>18925.261560000006</c:v>
                </c:pt>
                <c:pt idx="2">
                  <c:v>19013.238560000009</c:v>
                </c:pt>
                <c:pt idx="3">
                  <c:v>19038.601270000006</c:v>
                </c:pt>
                <c:pt idx="4">
                  <c:v>19132.893270000008</c:v>
                </c:pt>
              </c:numCache>
            </c:numRef>
          </c:val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3'!$F$17:$J$17</c:f>
              <c:numCache>
                <c:formatCode>#,##0</c:formatCode>
                <c:ptCount val="5"/>
                <c:pt idx="0">
                  <c:v>1544.972</c:v>
                </c:pt>
                <c:pt idx="1">
                  <c:v>1673.682</c:v>
                </c:pt>
                <c:pt idx="2">
                  <c:v>1800.0359999999998</c:v>
                </c:pt>
                <c:pt idx="3">
                  <c:v>1808.319</c:v>
                </c:pt>
                <c:pt idx="4">
                  <c:v>1853.6219999999998</c:v>
                </c:pt>
              </c:numCache>
            </c:numRef>
          </c:val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3'!$F$21:$J$21</c:f>
              <c:numCache>
                <c:formatCode>#,##0</c:formatCode>
                <c:ptCount val="5"/>
                <c:pt idx="0">
                  <c:v>1289.135</c:v>
                </c:pt>
                <c:pt idx="1">
                  <c:v>1346.9589999999998</c:v>
                </c:pt>
                <c:pt idx="2">
                  <c:v>1354.1649999999997</c:v>
                </c:pt>
                <c:pt idx="3">
                  <c:v>1355.0969999999998</c:v>
                </c:pt>
                <c:pt idx="4">
                  <c:v>1490.559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34306368"/>
        <c:axId val="142910280"/>
      </c:barChart>
      <c:catAx>
        <c:axId val="3343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10280"/>
        <c:crosses val="autoZero"/>
        <c:auto val="1"/>
        <c:lblAlgn val="ctr"/>
        <c:lblOffset val="100"/>
        <c:noMultiLvlLbl val="0"/>
      </c:catAx>
      <c:valAx>
        <c:axId val="1429102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0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2432545931758525"/>
                  <c:y val="-8.9835005918377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3.3771205428589718E-2"/>
                  <c:y val="0.1450531624723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259740093463928"/>
                  <c:y val="0.1410430754979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8172050444913898"/>
                  <c:y val="3.921568627450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3024492670123552"/>
                  <c:y val="9.87226596675415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48935407464311"/>
                  <c:y val="0.240246616231794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5953677741501824"/>
                  <c:y val="0.206258452987494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5259663273798094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26666666666666666"/>
                  <c:y val="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1593494654631585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18810478102001957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1'!$C$256:$C$268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1'!$F$256:$F$268</c:f>
              <c:numCache>
                <c:formatCode>#,##0.0\ \ \ _)</c:formatCode>
                <c:ptCount val="13"/>
                <c:pt idx="0">
                  <c:v>0.9</c:v>
                </c:pt>
                <c:pt idx="1">
                  <c:v>21.6</c:v>
                </c:pt>
                <c:pt idx="2">
                  <c:v>16.5</c:v>
                </c:pt>
                <c:pt idx="3">
                  <c:v>13.1</c:v>
                </c:pt>
                <c:pt idx="4">
                  <c:v>10.700000000000003</c:v>
                </c:pt>
                <c:pt idx="5">
                  <c:v>1</c:v>
                </c:pt>
                <c:pt idx="6">
                  <c:v>0.3</c:v>
                </c:pt>
                <c:pt idx="7">
                  <c:v>18.5</c:v>
                </c:pt>
                <c:pt idx="8">
                  <c:v>7.2</c:v>
                </c:pt>
                <c:pt idx="9">
                  <c:v>3.1</c:v>
                </c:pt>
                <c:pt idx="10">
                  <c:v>2.1</c:v>
                </c:pt>
                <c:pt idx="11">
                  <c:v>1.4</c:v>
                </c:pt>
                <c:pt idx="12">
                  <c:v>3.6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0237423980539018"/>
                  <c:y val="-7.41487314085739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163075347288907"/>
                  <c:y val="-5.63306057331071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6694961910249023"/>
                  <c:y val="0.10009860532139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2.0011522949874871E-3"/>
                  <c:y val="0.23228037671761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4934536841431406"/>
                  <c:y val="0.22470320621686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6592151590807247"/>
                  <c:y val="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6276525190448754"/>
                  <c:y val="9.8722659667541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4643825619358556"/>
                  <c:y val="0.21410282538212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33064541322578578"/>
                  <c:y val="0.158551181102362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31869918699186994"/>
                  <c:y val="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19837385570706101"/>
                  <c:y val="-6.3929597035664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1'!$C$290:$C$302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1'!$F$290:$F$302</c:f>
              <c:numCache>
                <c:formatCode>#,##0.0\ \ \ _)</c:formatCode>
                <c:ptCount val="13"/>
                <c:pt idx="0">
                  <c:v>2.1</c:v>
                </c:pt>
                <c:pt idx="1">
                  <c:v>17.399999999999999</c:v>
                </c:pt>
                <c:pt idx="2">
                  <c:v>18.5</c:v>
                </c:pt>
                <c:pt idx="3">
                  <c:v>22.6</c:v>
                </c:pt>
                <c:pt idx="4">
                  <c:v>8.7000000000000171</c:v>
                </c:pt>
                <c:pt idx="5">
                  <c:v>0.8</c:v>
                </c:pt>
                <c:pt idx="6">
                  <c:v>0.2</c:v>
                </c:pt>
                <c:pt idx="7">
                  <c:v>11.7</c:v>
                </c:pt>
                <c:pt idx="8">
                  <c:v>14.6</c:v>
                </c:pt>
                <c:pt idx="9">
                  <c:v>0</c:v>
                </c:pt>
                <c:pt idx="10">
                  <c:v>0.5</c:v>
                </c:pt>
                <c:pt idx="11">
                  <c:v>1.1000000000000001</c:v>
                </c:pt>
                <c:pt idx="12">
                  <c:v>1.8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689301458296"/>
          <c:y val="0.17550835750794308"/>
          <c:w val="0.82717094969458926"/>
          <c:h val="0.6893600635446885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'Data 1'!$C$355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1'!$D$338:$H$338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1'!$D$352:$H$352</c:f>
              <c:numCache>
                <c:formatCode>#,##0.0</c:formatCode>
                <c:ptCount val="5"/>
                <c:pt idx="0">
                  <c:v>42.300000000000004</c:v>
                </c:pt>
                <c:pt idx="1">
                  <c:v>36.699999999999996</c:v>
                </c:pt>
                <c:pt idx="2">
                  <c:v>40.5</c:v>
                </c:pt>
                <c:pt idx="3">
                  <c:v>33.699999999999996</c:v>
                </c:pt>
                <c:pt idx="4">
                  <c:v>40.099999999999994</c:v>
                </c:pt>
              </c:numCache>
            </c:numRef>
          </c:val>
        </c:ser>
        <c:ser>
          <c:idx val="0"/>
          <c:order val="1"/>
          <c:tx>
            <c:strRef>
              <c:f>'Data 1'!$C$356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1'!$D$338:$H$338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1'!$D$353:$H$353</c:f>
              <c:numCache>
                <c:formatCode>#,##0.0</c:formatCode>
                <c:ptCount val="5"/>
                <c:pt idx="0">
                  <c:v>57.7</c:v>
                </c:pt>
                <c:pt idx="1">
                  <c:v>63.300000000000004</c:v>
                </c:pt>
                <c:pt idx="2">
                  <c:v>59.5</c:v>
                </c:pt>
                <c:pt idx="3">
                  <c:v>66.3</c:v>
                </c:pt>
                <c:pt idx="4">
                  <c:v>59.9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36674432"/>
        <c:axId val="336674824"/>
      </c:barChart>
      <c:catAx>
        <c:axId val="33667443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low"/>
        <c:spPr>
          <a:ln w="3175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824"/>
        <c:crosses val="autoZero"/>
        <c:auto val="0"/>
        <c:lblAlgn val="ctr"/>
        <c:lblOffset val="100"/>
        <c:noMultiLvlLbl val="0"/>
      </c:catAx>
      <c:valAx>
        <c:axId val="336674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457608299500762E-2"/>
          <c:y val="6.9335369776025689E-3"/>
          <c:w val="0.85193643717032674"/>
          <c:h val="0.137855130494009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450327099478E-2"/>
          <c:y val="0.17933153599862162"/>
          <c:w val="0.81619185598641442"/>
          <c:h val="0.6749394115182020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1'!$C$309</c:f>
              <c:strCache>
                <c:ptCount val="1"/>
                <c:pt idx="0">
                  <c:v>Carbon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1'!$D$309:$H$309</c:f>
              <c:numCache>
                <c:formatCode>#,##0</c:formatCode>
                <c:ptCount val="5"/>
                <c:pt idx="0">
                  <c:v>39005364.832449995</c:v>
                </c:pt>
                <c:pt idx="1">
                  <c:v>48217054.785449997</c:v>
                </c:pt>
                <c:pt idx="2">
                  <c:v>33260364.291000001</c:v>
                </c:pt>
                <c:pt idx="3">
                  <c:v>40300794.128200002</c:v>
                </c:pt>
                <c:pt idx="4">
                  <c:v>33137681.540849995</c:v>
                </c:pt>
              </c:numCache>
            </c:numRef>
          </c:val>
        </c:ser>
        <c:ser>
          <c:idx val="3"/>
          <c:order val="1"/>
          <c:tx>
            <c:strRef>
              <c:f>'Data 1'!$C$310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1'!$D$310:$H$310</c:f>
              <c:numCache>
                <c:formatCode>#,##0</c:formatCode>
                <c:ptCount val="5"/>
                <c:pt idx="0">
                  <c:v>7814588.1912500001</c:v>
                </c:pt>
                <c:pt idx="1">
                  <c:v>9262781.8571999986</c:v>
                </c:pt>
                <c:pt idx="2">
                  <c:v>9421334.5154599994</c:v>
                </c:pt>
                <c:pt idx="3">
                  <c:v>12449752.88823</c:v>
                </c:pt>
                <c:pt idx="4">
                  <c:v>9769141.3238300011</c:v>
                </c:pt>
              </c:numCache>
            </c:numRef>
          </c:val>
        </c:ser>
        <c:ser>
          <c:idx val="4"/>
          <c:order val="2"/>
          <c:tx>
            <c:strRef>
              <c:f>'Data 1'!$C$311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1'!$D$311:$H$311</c:f>
              <c:numCache>
                <c:formatCode>#,##0</c:formatCode>
                <c:ptCount val="5"/>
                <c:pt idx="0">
                  <c:v>8927367.88026</c:v>
                </c:pt>
                <c:pt idx="1">
                  <c:v>9312651.3744300008</c:v>
                </c:pt>
                <c:pt idx="2">
                  <c:v>9573358.6295400001</c:v>
                </c:pt>
                <c:pt idx="3">
                  <c:v>10424958.113530001</c:v>
                </c:pt>
                <c:pt idx="4">
                  <c:v>10720665.794290001</c:v>
                </c:pt>
              </c:numCache>
            </c:numRef>
          </c:val>
        </c:ser>
        <c:ser>
          <c:idx val="10"/>
          <c:order val="3"/>
          <c:tx>
            <c:strRef>
              <c:f>'Data 1'!$C$312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1'!$D$312:$H$312</c:f>
              <c:numCache>
                <c:formatCode>#,##0</c:formatCode>
                <c:ptCount val="5"/>
                <c:pt idx="0">
                  <c:v>440002.45367999998</c:v>
                </c:pt>
                <c:pt idx="1">
                  <c:v>557931.53784</c:v>
                </c:pt>
                <c:pt idx="2">
                  <c:v>593114.07492000004</c:v>
                </c:pt>
                <c:pt idx="3">
                  <c:v>590190.92663999996</c:v>
                </c:pt>
                <c:pt idx="4">
                  <c:v>550964.99676000001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5608"/>
        <c:axId val="336676000"/>
      </c:barChart>
      <c:catAx>
        <c:axId val="33667560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000"/>
        <c:crosses val="autoZero"/>
        <c:auto val="1"/>
        <c:lblAlgn val="ctr"/>
        <c:lblOffset val="100"/>
        <c:noMultiLvlLbl val="0"/>
      </c:catAx>
      <c:valAx>
        <c:axId val="3366760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5608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426883885793033"/>
          <c:y val="3.2500889965456033E-2"/>
          <c:w val="0.54820382228946685"/>
          <c:h val="6.435021941104253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6382108190471E-2"/>
          <c:y val="0.1515304244181718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1'!$C$318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12700"/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1'!$D$318:$H$318</c:f>
              <c:numCache>
                <c:formatCode>#,##0</c:formatCode>
                <c:ptCount val="5"/>
                <c:pt idx="0">
                  <c:v>39178.524159203997</c:v>
                </c:pt>
                <c:pt idx="1">
                  <c:v>28379.011570850002</c:v>
                </c:pt>
                <c:pt idx="2">
                  <c:v>36111.434365772002</c:v>
                </c:pt>
                <c:pt idx="3">
                  <c:v>18447.346771659999</c:v>
                </c:pt>
                <c:pt idx="4">
                  <c:v>34096.796785872</c:v>
                </c:pt>
              </c:numCache>
            </c:numRef>
          </c:val>
        </c:ser>
        <c:ser>
          <c:idx val="5"/>
          <c:order val="1"/>
          <c:tx>
            <c:strRef>
              <c:f>'Data 1'!$C$324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1'!$D$324:$H$324</c:f>
              <c:numCache>
                <c:formatCode>#,##0</c:formatCode>
                <c:ptCount val="5"/>
                <c:pt idx="0">
                  <c:v>50636.662464000001</c:v>
                </c:pt>
                <c:pt idx="1">
                  <c:v>47715.882145000003</c:v>
                </c:pt>
                <c:pt idx="2">
                  <c:v>47298.163668000001</c:v>
                </c:pt>
                <c:pt idx="3">
                  <c:v>47508.105951999998</c:v>
                </c:pt>
                <c:pt idx="4">
                  <c:v>48901.728058000001</c:v>
                </c:pt>
              </c:numCache>
            </c:numRef>
          </c:val>
        </c:ser>
        <c:ser>
          <c:idx val="6"/>
          <c:order val="2"/>
          <c:tx>
            <c:strRef>
              <c:f>'Data 1'!$C$325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1'!$D$325:$H$325</c:f>
              <c:numCache>
                <c:formatCode>#,##0</c:formatCode>
                <c:ptCount val="5"/>
                <c:pt idx="0">
                  <c:v>7802.7909200000104</c:v>
                </c:pt>
                <c:pt idx="1">
                  <c:v>7845.3145369999993</c:v>
                </c:pt>
                <c:pt idx="2">
                  <c:v>7579.2182120000007</c:v>
                </c:pt>
                <c:pt idx="3">
                  <c:v>8000.7121639999996</c:v>
                </c:pt>
                <c:pt idx="4">
                  <c:v>7362.7444520000099</c:v>
                </c:pt>
              </c:numCache>
            </c:numRef>
          </c:val>
        </c:ser>
        <c:ser>
          <c:idx val="9"/>
          <c:order val="3"/>
          <c:tx>
            <c:strRef>
              <c:f>'Data 1'!$C$326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1'!$D$326:$H$326</c:f>
              <c:numCache>
                <c:formatCode>#,##0</c:formatCode>
                <c:ptCount val="5"/>
                <c:pt idx="0">
                  <c:v>4958.9149260000004</c:v>
                </c:pt>
                <c:pt idx="1">
                  <c:v>5085.2355140000009</c:v>
                </c:pt>
                <c:pt idx="2">
                  <c:v>5071.2017019999994</c:v>
                </c:pt>
                <c:pt idx="3">
                  <c:v>5347.9524650000003</c:v>
                </c:pt>
                <c:pt idx="4">
                  <c:v>4424.3286090000001</c:v>
                </c:pt>
              </c:numCache>
            </c:numRef>
          </c:val>
        </c:ser>
        <c:ser>
          <c:idx val="7"/>
          <c:order val="4"/>
          <c:tx>
            <c:strRef>
              <c:f>'Data 1'!$C$327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1'!$D$327:$H$327</c:f>
              <c:numCache>
                <c:formatCode>#,##0</c:formatCode>
                <c:ptCount val="5"/>
                <c:pt idx="0">
                  <c:v>3805.563474</c:v>
                </c:pt>
                <c:pt idx="1">
                  <c:v>3422.5667469999999</c:v>
                </c:pt>
                <c:pt idx="2">
                  <c:v>3415.0193380000001</c:v>
                </c:pt>
                <c:pt idx="3">
                  <c:v>3599.155882</c:v>
                </c:pt>
                <c:pt idx="4">
                  <c:v>3546.1180210000002</c:v>
                </c:pt>
              </c:numCache>
            </c:numRef>
          </c:val>
        </c:ser>
        <c:ser>
          <c:idx val="1"/>
          <c:order val="5"/>
          <c:tx>
            <c:strRef>
              <c:f>'Data 1'!$C$330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1'!$D$330:$H$330</c:f>
              <c:numCache>
                <c:formatCode>#,##0</c:formatCode>
                <c:ptCount val="5"/>
                <c:pt idx="0">
                  <c:v>545.53808600000002</c:v>
                </c:pt>
                <c:pt idx="1">
                  <c:v>662.65547500000002</c:v>
                </c:pt>
                <c:pt idx="2">
                  <c:v>649.73991049999995</c:v>
                </c:pt>
                <c:pt idx="3">
                  <c:v>728.150432999999</c:v>
                </c:pt>
                <c:pt idx="4">
                  <c:v>732.97066150000001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6784"/>
        <c:axId val="336677176"/>
      </c:barChart>
      <c:catAx>
        <c:axId val="3366767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7176"/>
        <c:crosses val="autoZero"/>
        <c:auto val="1"/>
        <c:lblAlgn val="ctr"/>
        <c:lblOffset val="100"/>
        <c:noMultiLvlLbl val="0"/>
      </c:catAx>
      <c:valAx>
        <c:axId val="3366771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5E-2"/>
          <c:y val="2.0610715046648895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50622072105667E-2"/>
          <c:y val="0.17767422423763543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1'!$C$319</c:f>
              <c:strCache>
                <c:ptCount val="1"/>
                <c:pt idx="0">
                  <c:v>Turbinación bombeo (1)</c:v>
                </c:pt>
              </c:strCache>
            </c:strRef>
          </c:tx>
          <c:spPr>
            <a:solidFill>
              <a:srgbClr val="007CF9"/>
            </a:solidFill>
            <a:ln w="12700"/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1'!$D$319:$H$319</c:f>
              <c:numCache>
                <c:formatCode>#,##0</c:formatCode>
                <c:ptCount val="5"/>
                <c:pt idx="0">
                  <c:v>3415.996026796</c:v>
                </c:pt>
                <c:pt idx="1">
                  <c:v>2895.3657881499998</c:v>
                </c:pt>
                <c:pt idx="2">
                  <c:v>3134.328910228</c:v>
                </c:pt>
                <c:pt idx="3">
                  <c:v>2248.9644183400001</c:v>
                </c:pt>
                <c:pt idx="4">
                  <c:v>2009.3771881279999</c:v>
                </c:pt>
              </c:numCache>
            </c:numRef>
          </c:val>
        </c:ser>
        <c:ser>
          <c:idx val="5"/>
          <c:order val="1"/>
          <c:tx>
            <c:strRef>
              <c:f>'Data 1'!$C$320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1'!$D$320:$H$320</c:f>
              <c:numCache>
                <c:formatCode>#,##0</c:formatCode>
                <c:ptCount val="5"/>
                <c:pt idx="0">
                  <c:v>54781.281335</c:v>
                </c:pt>
                <c:pt idx="1">
                  <c:v>54661.803305000001</c:v>
                </c:pt>
                <c:pt idx="2">
                  <c:v>56021.682058999999</c:v>
                </c:pt>
                <c:pt idx="3">
                  <c:v>55539.351045999996</c:v>
                </c:pt>
                <c:pt idx="4">
                  <c:v>53197.615882999999</c:v>
                </c:pt>
              </c:numCache>
            </c:numRef>
          </c:val>
        </c:ser>
        <c:ser>
          <c:idx val="6"/>
          <c:order val="2"/>
          <c:tx>
            <c:strRef>
              <c:f>'Data 1'!$C$321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1'!$D$321:$H$321</c:f>
              <c:numCache>
                <c:formatCode>#,##0</c:formatCode>
                <c:ptCount val="5"/>
                <c:pt idx="0">
                  <c:v>41058.278770999998</c:v>
                </c:pt>
                <c:pt idx="1">
                  <c:v>50754.794511</c:v>
                </c:pt>
                <c:pt idx="2">
                  <c:v>35010.909780000002</c:v>
                </c:pt>
                <c:pt idx="3">
                  <c:v>42421.888556000005</c:v>
                </c:pt>
                <c:pt idx="4">
                  <c:v>34881.770042999997</c:v>
                </c:pt>
              </c:numCache>
            </c:numRef>
          </c:val>
        </c:ser>
        <c:ser>
          <c:idx val="9"/>
          <c:order val="3"/>
          <c:tx>
            <c:strRef>
              <c:f>'Data 1'!$C$323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1'!$D$323:$H$323</c:f>
              <c:numCache>
                <c:formatCode>#,##0</c:formatCode>
                <c:ptCount val="5"/>
                <c:pt idx="0">
                  <c:v>21120.508624999999</c:v>
                </c:pt>
                <c:pt idx="1">
                  <c:v>25034.545559999999</c:v>
                </c:pt>
                <c:pt idx="2">
                  <c:v>25463.066258000003</c:v>
                </c:pt>
                <c:pt idx="3">
                  <c:v>33647.980778999998</c:v>
                </c:pt>
                <c:pt idx="4">
                  <c:v>26403.084659</c:v>
                </c:pt>
              </c:numCache>
            </c:numRef>
          </c:val>
        </c:ser>
        <c:ser>
          <c:idx val="7"/>
          <c:order val="4"/>
          <c:tx>
            <c:strRef>
              <c:f>'Data 1'!$C$328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1'!$D$328:$H$328</c:f>
              <c:numCache>
                <c:formatCode>#,##0</c:formatCode>
                <c:ptCount val="5"/>
                <c:pt idx="0">
                  <c:v>24128.021298</c:v>
                </c:pt>
                <c:pt idx="1">
                  <c:v>25169.328039</c:v>
                </c:pt>
                <c:pt idx="2">
                  <c:v>25873.942241999997</c:v>
                </c:pt>
                <c:pt idx="3">
                  <c:v>28175.562469</c:v>
                </c:pt>
                <c:pt idx="4">
                  <c:v>28974.772417</c:v>
                </c:pt>
              </c:numCache>
            </c:numRef>
          </c:val>
        </c:ser>
        <c:ser>
          <c:idx val="1"/>
          <c:order val="5"/>
          <c:tx>
            <c:strRef>
              <c:f>'Data 1'!$C$329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1'!$D$317:$H$317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1'!$D$329:$H$329</c:f>
              <c:numCache>
                <c:formatCode>#,##0</c:formatCode>
                <c:ptCount val="5"/>
                <c:pt idx="0">
                  <c:v>1833.3435569999999</c:v>
                </c:pt>
                <c:pt idx="1">
                  <c:v>2324.7147409999998</c:v>
                </c:pt>
                <c:pt idx="2">
                  <c:v>2471.3086455000002</c:v>
                </c:pt>
                <c:pt idx="3">
                  <c:v>2459.1288610000001</c:v>
                </c:pt>
                <c:pt idx="4">
                  <c:v>2295.6874865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7742712"/>
        <c:axId val="337743104"/>
      </c:barChart>
      <c:catAx>
        <c:axId val="337742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104"/>
        <c:crosses val="autoZero"/>
        <c:auto val="1"/>
        <c:lblAlgn val="ctr"/>
        <c:lblOffset val="100"/>
        <c:noMultiLvlLbl val="0"/>
      </c:catAx>
      <c:valAx>
        <c:axId val="3377431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2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8E-2"/>
          <c:y val="4.2397214896201907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99724243330345E-2"/>
          <c:y val="0.24832210268547319"/>
          <c:w val="0.82884245877493157"/>
          <c:h val="0.57718120805369133"/>
        </c:manualLayout>
      </c:layout>
      <c:areaChart>
        <c:grouping val="standard"/>
        <c:varyColors val="0"/>
        <c:ser>
          <c:idx val="1"/>
          <c:order val="0"/>
          <c:tx>
            <c:strRef>
              <c:f>'Data 4'!$D$6:$D$7</c:f>
              <c:strCache>
                <c:ptCount val="2"/>
                <c:pt idx="0">
                  <c:v>Producible</c:v>
                </c:pt>
                <c:pt idx="1">
                  <c:v>2018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4563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'Data 4'!$D$8:$D$372</c:f>
              <c:numCache>
                <c:formatCode>0\ \ \ \ _)</c:formatCode>
                <c:ptCount val="365"/>
                <c:pt idx="0">
                  <c:v>107.88135805200038</c:v>
                </c:pt>
                <c:pt idx="1">
                  <c:v>106.79630875999985</c:v>
                </c:pt>
                <c:pt idx="2">
                  <c:v>124.77749660000056</c:v>
                </c:pt>
                <c:pt idx="3">
                  <c:v>119.58731484599919</c:v>
                </c:pt>
                <c:pt idx="4">
                  <c:v>120.35012729400026</c:v>
                </c:pt>
                <c:pt idx="5">
                  <c:v>105.77221650599999</c:v>
                </c:pt>
                <c:pt idx="6">
                  <c:v>98.458093232000152</c:v>
                </c:pt>
                <c:pt idx="7">
                  <c:v>99.757455161999815</c:v>
                </c:pt>
                <c:pt idx="8">
                  <c:v>88.95906277600065</c:v>
                </c:pt>
                <c:pt idx="9">
                  <c:v>97.591731657999432</c:v>
                </c:pt>
                <c:pt idx="10">
                  <c:v>91.420214731999963</c:v>
                </c:pt>
                <c:pt idx="11">
                  <c:v>99.253143072000128</c:v>
                </c:pt>
                <c:pt idx="12">
                  <c:v>81.108525740000388</c:v>
                </c:pt>
                <c:pt idx="13">
                  <c:v>77.843521599999278</c:v>
                </c:pt>
                <c:pt idx="14">
                  <c:v>81.147773526000762</c:v>
                </c:pt>
                <c:pt idx="15">
                  <c:v>80.801034311999544</c:v>
                </c:pt>
                <c:pt idx="16">
                  <c:v>92.883437954000257</c:v>
                </c:pt>
                <c:pt idx="17">
                  <c:v>73.970259667999912</c:v>
                </c:pt>
                <c:pt idx="18">
                  <c:v>59.893059246000249</c:v>
                </c:pt>
                <c:pt idx="19">
                  <c:v>56.403515999999868</c:v>
                </c:pt>
                <c:pt idx="20">
                  <c:v>87.476849279999485</c:v>
                </c:pt>
                <c:pt idx="21">
                  <c:v>94.27746432200037</c:v>
                </c:pt>
                <c:pt idx="22">
                  <c:v>71.359911038000021</c:v>
                </c:pt>
                <c:pt idx="23">
                  <c:v>75.372917997999579</c:v>
                </c:pt>
                <c:pt idx="24">
                  <c:v>73.951607154000314</c:v>
                </c:pt>
                <c:pt idx="25">
                  <c:v>88.363976406000475</c:v>
                </c:pt>
                <c:pt idx="26">
                  <c:v>76.196114011999384</c:v>
                </c:pt>
                <c:pt idx="27">
                  <c:v>74.181140028000016</c:v>
                </c:pt>
                <c:pt idx="28">
                  <c:v>76.000416010000336</c:v>
                </c:pt>
                <c:pt idx="29">
                  <c:v>62.410825923999774</c:v>
                </c:pt>
                <c:pt idx="30">
                  <c:v>65.165746878000078</c:v>
                </c:pt>
                <c:pt idx="31">
                  <c:v>61.746009000000413</c:v>
                </c:pt>
                <c:pt idx="32">
                  <c:v>70.320572835999727</c:v>
                </c:pt>
                <c:pt idx="33">
                  <c:v>60.116614275999673</c:v>
                </c:pt>
                <c:pt idx="34">
                  <c:v>82.003756379999714</c:v>
                </c:pt>
                <c:pt idx="35">
                  <c:v>79.076439846000653</c:v>
                </c:pt>
                <c:pt idx="36">
                  <c:v>79.006717319999424</c:v>
                </c:pt>
                <c:pt idx="37">
                  <c:v>64.202171916000665</c:v>
                </c:pt>
                <c:pt idx="38">
                  <c:v>63.245197533999587</c:v>
                </c:pt>
                <c:pt idx="39">
                  <c:v>68.850626578000103</c:v>
                </c:pt>
                <c:pt idx="40">
                  <c:v>68.119414094000135</c:v>
                </c:pt>
                <c:pt idx="41">
                  <c:v>96.709272532000242</c:v>
                </c:pt>
                <c:pt idx="42">
                  <c:v>69.374099871999704</c:v>
                </c:pt>
                <c:pt idx="43">
                  <c:v>94.226937927999998</c:v>
                </c:pt>
                <c:pt idx="44">
                  <c:v>112.94239189800008</c:v>
                </c:pt>
                <c:pt idx="45">
                  <c:v>133.20955556600001</c:v>
                </c:pt>
                <c:pt idx="46">
                  <c:v>128.22247856600001</c:v>
                </c:pt>
                <c:pt idx="47">
                  <c:v>138.29318329399976</c:v>
                </c:pt>
                <c:pt idx="48">
                  <c:v>133.09562086599985</c:v>
                </c:pt>
                <c:pt idx="49">
                  <c:v>134.08807781600044</c:v>
                </c:pt>
                <c:pt idx="50">
                  <c:v>134.19744140599948</c:v>
                </c:pt>
                <c:pt idx="51">
                  <c:v>118.39809074400038</c:v>
                </c:pt>
                <c:pt idx="52">
                  <c:v>100.02392709400036</c:v>
                </c:pt>
                <c:pt idx="53">
                  <c:v>62.946316363999244</c:v>
                </c:pt>
                <c:pt idx="54">
                  <c:v>95.437508968000529</c:v>
                </c:pt>
                <c:pt idx="55">
                  <c:v>86.890734556000154</c:v>
                </c:pt>
                <c:pt idx="56">
                  <c:v>94.1496125179996</c:v>
                </c:pt>
                <c:pt idx="57">
                  <c:v>72.37554608999983</c:v>
                </c:pt>
                <c:pt idx="58">
                  <c:v>105.78097549199975</c:v>
                </c:pt>
                <c:pt idx="59">
                  <c:v>178.97618384800083</c:v>
                </c:pt>
                <c:pt idx="60">
                  <c:v>201.87922154199967</c:v>
                </c:pt>
                <c:pt idx="61">
                  <c:v>231.73287105800031</c:v>
                </c:pt>
                <c:pt idx="62">
                  <c:v>266.12065454999953</c:v>
                </c:pt>
                <c:pt idx="63">
                  <c:v>280.74580680800011</c:v>
                </c:pt>
                <c:pt idx="64">
                  <c:v>238.09295641399979</c:v>
                </c:pt>
                <c:pt idx="65">
                  <c:v>215.68241361599979</c:v>
                </c:pt>
                <c:pt idx="66">
                  <c:v>180.87940396600015</c:v>
                </c:pt>
                <c:pt idx="67">
                  <c:v>258.95272941599984</c:v>
                </c:pt>
                <c:pt idx="68">
                  <c:v>508.44548281800013</c:v>
                </c:pt>
                <c:pt idx="69">
                  <c:v>448.65534165200074</c:v>
                </c:pt>
                <c:pt idx="70">
                  <c:v>403.89899181799939</c:v>
                </c:pt>
                <c:pt idx="71">
                  <c:v>296.73816719600023</c:v>
                </c:pt>
                <c:pt idx="72">
                  <c:v>477.04428482599985</c:v>
                </c:pt>
                <c:pt idx="73">
                  <c:v>391.77740065199976</c:v>
                </c:pt>
                <c:pt idx="74">
                  <c:v>372.82974446600082</c:v>
                </c:pt>
                <c:pt idx="75">
                  <c:v>367.35045325000027</c:v>
                </c:pt>
                <c:pt idx="76">
                  <c:v>322.26224502999889</c:v>
                </c:pt>
                <c:pt idx="77">
                  <c:v>319.38545180199981</c:v>
                </c:pt>
                <c:pt idx="78">
                  <c:v>243.13658571799974</c:v>
                </c:pt>
                <c:pt idx="79">
                  <c:v>212.59201234800111</c:v>
                </c:pt>
                <c:pt idx="80">
                  <c:v>259.68345436999954</c:v>
                </c:pt>
                <c:pt idx="81">
                  <c:v>224.13770267200005</c:v>
                </c:pt>
                <c:pt idx="82">
                  <c:v>227.59051367600011</c:v>
                </c:pt>
                <c:pt idx="83">
                  <c:v>197.52312554999975</c:v>
                </c:pt>
                <c:pt idx="84">
                  <c:v>174.8848153020009</c:v>
                </c:pt>
                <c:pt idx="85">
                  <c:v>197.23462537199973</c:v>
                </c:pt>
                <c:pt idx="86">
                  <c:v>183.20252793400036</c:v>
                </c:pt>
                <c:pt idx="87">
                  <c:v>191.34412434999959</c:v>
                </c:pt>
                <c:pt idx="88">
                  <c:v>203.25224934199892</c:v>
                </c:pt>
                <c:pt idx="89">
                  <c:v>208.34432219400006</c:v>
                </c:pt>
                <c:pt idx="90">
                  <c:v>180.64150813600008</c:v>
                </c:pt>
                <c:pt idx="91">
                  <c:v>206.37544046400032</c:v>
                </c:pt>
                <c:pt idx="92">
                  <c:v>216.29181377199993</c:v>
                </c:pt>
                <c:pt idx="93">
                  <c:v>250.4421531560001</c:v>
                </c:pt>
                <c:pt idx="94">
                  <c:v>196.75356750199958</c:v>
                </c:pt>
                <c:pt idx="95">
                  <c:v>213.14845145800007</c:v>
                </c:pt>
                <c:pt idx="96">
                  <c:v>221.89963566800003</c:v>
                </c:pt>
                <c:pt idx="97">
                  <c:v>216.58029402600059</c:v>
                </c:pt>
                <c:pt idx="98">
                  <c:v>335.0971228579993</c:v>
                </c:pt>
                <c:pt idx="99">
                  <c:v>294.00715951600051</c:v>
                </c:pt>
                <c:pt idx="100">
                  <c:v>233.95205999800001</c:v>
                </c:pt>
                <c:pt idx="101">
                  <c:v>312.5590238920006</c:v>
                </c:pt>
                <c:pt idx="102">
                  <c:v>281.98019153599904</c:v>
                </c:pt>
                <c:pt idx="103">
                  <c:v>248.8532110080003</c:v>
                </c:pt>
                <c:pt idx="104">
                  <c:v>240.30816856599944</c:v>
                </c:pt>
                <c:pt idx="105">
                  <c:v>294.59839659800144</c:v>
                </c:pt>
                <c:pt idx="106">
                  <c:v>272.20633826600016</c:v>
                </c:pt>
                <c:pt idx="107">
                  <c:v>249.06921030199931</c:v>
                </c:pt>
                <c:pt idx="108">
                  <c:v>264.19075051200065</c:v>
                </c:pt>
                <c:pt idx="109">
                  <c:v>249.09278344799864</c:v>
                </c:pt>
                <c:pt idx="110">
                  <c:v>222.01873109600058</c:v>
                </c:pt>
                <c:pt idx="111">
                  <c:v>211.81981888000064</c:v>
                </c:pt>
                <c:pt idx="112">
                  <c:v>195.711148388</c:v>
                </c:pt>
                <c:pt idx="113">
                  <c:v>189.28117098399866</c:v>
                </c:pt>
                <c:pt idx="114">
                  <c:v>188.01630592400014</c:v>
                </c:pt>
                <c:pt idx="115">
                  <c:v>206.57081500400136</c:v>
                </c:pt>
                <c:pt idx="116">
                  <c:v>188.28614137799855</c:v>
                </c:pt>
                <c:pt idx="117">
                  <c:v>172.85823433800155</c:v>
                </c:pt>
                <c:pt idx="118">
                  <c:v>178.46927254399873</c:v>
                </c:pt>
                <c:pt idx="119">
                  <c:v>183.99924002800128</c:v>
                </c:pt>
                <c:pt idx="120">
                  <c:v>161.65691020799983</c:v>
                </c:pt>
                <c:pt idx="121">
                  <c:v>128.06781125199848</c:v>
                </c:pt>
                <c:pt idx="122">
                  <c:v>130.00942126000126</c:v>
                </c:pt>
                <c:pt idx="123">
                  <c:v>132.96972305199881</c:v>
                </c:pt>
                <c:pt idx="124">
                  <c:v>121.54813403200133</c:v>
                </c:pt>
                <c:pt idx="125">
                  <c:v>137.2518057020001</c:v>
                </c:pt>
                <c:pt idx="126">
                  <c:v>105.63689861999892</c:v>
                </c:pt>
                <c:pt idx="127">
                  <c:v>145.62727066000002</c:v>
                </c:pt>
                <c:pt idx="128">
                  <c:v>132.0360730939999</c:v>
                </c:pt>
                <c:pt idx="129">
                  <c:v>120.90950401200124</c:v>
                </c:pt>
                <c:pt idx="130">
                  <c:v>102.17908499999903</c:v>
                </c:pt>
                <c:pt idx="131">
                  <c:v>136.54319795999945</c:v>
                </c:pt>
                <c:pt idx="132">
                  <c:v>128.6606574579998</c:v>
                </c:pt>
                <c:pt idx="133">
                  <c:v>130.08944532800001</c:v>
                </c:pt>
                <c:pt idx="134">
                  <c:v>99.221303692001769</c:v>
                </c:pt>
                <c:pt idx="135">
                  <c:v>88.95393867199833</c:v>
                </c:pt>
                <c:pt idx="136">
                  <c:v>87.020850502001025</c:v>
                </c:pt>
                <c:pt idx="137">
                  <c:v>84.824577687999167</c:v>
                </c:pt>
                <c:pt idx="138">
                  <c:v>106.60432858400048</c:v>
                </c:pt>
                <c:pt idx="139">
                  <c:v>94.506611524000135</c:v>
                </c:pt>
                <c:pt idx="140">
                  <c:v>111.65892237600006</c:v>
                </c:pt>
                <c:pt idx="141">
                  <c:v>106.11552120600081</c:v>
                </c:pt>
                <c:pt idx="142">
                  <c:v>88.032414835999262</c:v>
                </c:pt>
                <c:pt idx="143">
                  <c:v>114.12488026600067</c:v>
                </c:pt>
                <c:pt idx="144">
                  <c:v>107.27478100799881</c:v>
                </c:pt>
                <c:pt idx="145">
                  <c:v>136.31513850000027</c:v>
                </c:pt>
                <c:pt idx="146">
                  <c:v>113.51495125200046</c:v>
                </c:pt>
                <c:pt idx="147">
                  <c:v>133.85502454600058</c:v>
                </c:pt>
                <c:pt idx="148">
                  <c:v>196.81222730799868</c:v>
                </c:pt>
                <c:pt idx="149">
                  <c:v>102.38139329200044</c:v>
                </c:pt>
                <c:pt idx="150">
                  <c:v>135.12242443399947</c:v>
                </c:pt>
                <c:pt idx="151">
                  <c:v>133.39863303799979</c:v>
                </c:pt>
                <c:pt idx="152">
                  <c:v>110.16120857600038</c:v>
                </c:pt>
                <c:pt idx="153">
                  <c:v>133.13508642200037</c:v>
                </c:pt>
                <c:pt idx="154">
                  <c:v>125.16039812600037</c:v>
                </c:pt>
                <c:pt idx="155">
                  <c:v>108.21749664799873</c:v>
                </c:pt>
                <c:pt idx="156">
                  <c:v>152.0800622720013</c:v>
                </c:pt>
                <c:pt idx="157">
                  <c:v>122.23485515199907</c:v>
                </c:pt>
                <c:pt idx="158">
                  <c:v>155.66738297000077</c:v>
                </c:pt>
                <c:pt idx="159">
                  <c:v>156.41429758999922</c:v>
                </c:pt>
                <c:pt idx="160">
                  <c:v>160.31979624999963</c:v>
                </c:pt>
                <c:pt idx="161">
                  <c:v>172.05950685200102</c:v>
                </c:pt>
                <c:pt idx="162">
                  <c:v>141.56010300799986</c:v>
                </c:pt>
                <c:pt idx="163">
                  <c:v>134.04998326200044</c:v>
                </c:pt>
                <c:pt idx="164">
                  <c:v>154.5719258279988</c:v>
                </c:pt>
                <c:pt idx="165">
                  <c:v>125.88783140400163</c:v>
                </c:pt>
                <c:pt idx="166">
                  <c:v>133.88790612799949</c:v>
                </c:pt>
                <c:pt idx="167">
                  <c:v>101.50121065599893</c:v>
                </c:pt>
                <c:pt idx="168">
                  <c:v>131.60801880799997</c:v>
                </c:pt>
                <c:pt idx="169">
                  <c:v>94.09487812800036</c:v>
                </c:pt>
                <c:pt idx="170">
                  <c:v>98.447361891999748</c:v>
                </c:pt>
                <c:pt idx="171">
                  <c:v>94.177948864000996</c:v>
                </c:pt>
                <c:pt idx="172">
                  <c:v>97.57355473599884</c:v>
                </c:pt>
                <c:pt idx="173">
                  <c:v>69.95211200800145</c:v>
                </c:pt>
                <c:pt idx="174">
                  <c:v>80.486353501998749</c:v>
                </c:pt>
                <c:pt idx="175">
                  <c:v>98.987697599999805</c:v>
                </c:pt>
                <c:pt idx="176">
                  <c:v>80.226755246000977</c:v>
                </c:pt>
                <c:pt idx="177">
                  <c:v>70.470804656000197</c:v>
                </c:pt>
                <c:pt idx="178">
                  <c:v>76.559782204000328</c:v>
                </c:pt>
                <c:pt idx="179">
                  <c:v>84.107286497999098</c:v>
                </c:pt>
                <c:pt idx="180">
                  <c:v>94.462659259999342</c:v>
                </c:pt>
                <c:pt idx="181">
                  <c:v>83.338849070001217</c:v>
                </c:pt>
                <c:pt idx="182">
                  <c:v>87.420733355998905</c:v>
                </c:pt>
                <c:pt idx="183">
                  <c:v>84.813546732000418</c:v>
                </c:pt>
                <c:pt idx="184">
                  <c:v>85.806586398000107</c:v>
                </c:pt>
                <c:pt idx="185">
                  <c:v>69.067776566000461</c:v>
                </c:pt>
                <c:pt idx="186">
                  <c:v>83.776372238000349</c:v>
                </c:pt>
                <c:pt idx="187">
                  <c:v>62.486061319999862</c:v>
                </c:pt>
                <c:pt idx="188">
                  <c:v>45.631659867999552</c:v>
                </c:pt>
                <c:pt idx="189">
                  <c:v>73.311981030000396</c:v>
                </c:pt>
                <c:pt idx="190">
                  <c:v>71.794247876000213</c:v>
                </c:pt>
                <c:pt idx="191">
                  <c:v>57.788365144000302</c:v>
                </c:pt>
                <c:pt idx="192">
                  <c:v>67.739662909999794</c:v>
                </c:pt>
                <c:pt idx="193">
                  <c:v>37.331865595998764</c:v>
                </c:pt>
                <c:pt idx="194">
                  <c:v>22.407540530000581</c:v>
                </c:pt>
                <c:pt idx="195">
                  <c:v>6.4594428000008488</c:v>
                </c:pt>
                <c:pt idx="196">
                  <c:v>7.1025660679983993</c:v>
                </c:pt>
                <c:pt idx="197">
                  <c:v>5.5651982060000442</c:v>
                </c:pt>
                <c:pt idx="198">
                  <c:v>6.9440533500001038</c:v>
                </c:pt>
                <c:pt idx="199">
                  <c:v>8.0249501500002083</c:v>
                </c:pt>
                <c:pt idx="200">
                  <c:v>5.3168332739994799</c:v>
                </c:pt>
                <c:pt idx="201">
                  <c:v>4.3119792700016841</c:v>
                </c:pt>
                <c:pt idx="202">
                  <c:v>3.1189806419999369</c:v>
                </c:pt>
                <c:pt idx="203">
                  <c:v>61.252217533999847</c:v>
                </c:pt>
                <c:pt idx="204">
                  <c:v>54.407446888000237</c:v>
                </c:pt>
                <c:pt idx="205">
                  <c:v>48.709267289998735</c:v>
                </c:pt>
                <c:pt idx="206">
                  <c:v>48.217975548000481</c:v>
                </c:pt>
                <c:pt idx="207">
                  <c:v>48.653518313999172</c:v>
                </c:pt>
                <c:pt idx="208">
                  <c:v>41.133053298001698</c:v>
                </c:pt>
                <c:pt idx="209">
                  <c:v>36.667447007999222</c:v>
                </c:pt>
                <c:pt idx="210">
                  <c:v>42.800289232000388</c:v>
                </c:pt>
                <c:pt idx="211">
                  <c:v>34.62886707999931</c:v>
                </c:pt>
                <c:pt idx="212">
                  <c:v>50.132945983210476</c:v>
                </c:pt>
                <c:pt idx="213">
                  <c:v>61.407141113210471</c:v>
                </c:pt>
                <c:pt idx="214">
                  <c:v>72.930721039210482</c:v>
                </c:pt>
                <c:pt idx="215">
                  <c:v>47.757173181210469</c:v>
                </c:pt>
                <c:pt idx="216">
                  <c:v>38.16197266721047</c:v>
                </c:pt>
                <c:pt idx="217">
                  <c:v>54.84471650920861</c:v>
                </c:pt>
                <c:pt idx="218">
                  <c:v>41.054548483212336</c:v>
                </c:pt>
                <c:pt idx="219">
                  <c:v>40.945528410027094</c:v>
                </c:pt>
                <c:pt idx="220">
                  <c:v>35.890170946025236</c:v>
                </c:pt>
                <c:pt idx="221">
                  <c:v>27.282929104027097</c:v>
                </c:pt>
                <c:pt idx="222">
                  <c:v>38.531131088027095</c:v>
                </c:pt>
                <c:pt idx="223">
                  <c:v>28.996657410027094</c:v>
                </c:pt>
                <c:pt idx="224">
                  <c:v>32.700328826027103</c:v>
                </c:pt>
                <c:pt idx="225">
                  <c:v>29.534372512027097</c:v>
                </c:pt>
                <c:pt idx="226">
                  <c:v>26.66196313618147</c:v>
                </c:pt>
                <c:pt idx="227">
                  <c:v>34.910560152181468</c:v>
                </c:pt>
                <c:pt idx="228">
                  <c:v>20.839373648181471</c:v>
                </c:pt>
                <c:pt idx="229">
                  <c:v>22.254520180181469</c:v>
                </c:pt>
                <c:pt idx="230">
                  <c:v>21.562353994183329</c:v>
                </c:pt>
                <c:pt idx="231">
                  <c:v>52.047538474181465</c:v>
                </c:pt>
                <c:pt idx="232">
                  <c:v>49.612571990181472</c:v>
                </c:pt>
                <c:pt idx="233">
                  <c:v>47.513927093241612</c:v>
                </c:pt>
                <c:pt idx="234">
                  <c:v>48.315716417243472</c:v>
                </c:pt>
                <c:pt idx="235">
                  <c:v>30.094541563243467</c:v>
                </c:pt>
                <c:pt idx="236">
                  <c:v>11.077330043241608</c:v>
                </c:pt>
                <c:pt idx="237">
                  <c:v>13.507207849243466</c:v>
                </c:pt>
                <c:pt idx="238">
                  <c:v>46.478967559243465</c:v>
                </c:pt>
                <c:pt idx="239">
                  <c:v>40.741686009241604</c:v>
                </c:pt>
                <c:pt idx="240">
                  <c:v>34.851886490035746</c:v>
                </c:pt>
                <c:pt idx="241">
                  <c:v>43.851434152035743</c:v>
                </c:pt>
                <c:pt idx="242">
                  <c:v>28.641363582033883</c:v>
                </c:pt>
                <c:pt idx="243">
                  <c:v>16.292057982035747</c:v>
                </c:pt>
                <c:pt idx="244">
                  <c:v>28.81470031603574</c:v>
                </c:pt>
                <c:pt idx="245">
                  <c:v>39.482491496035742</c:v>
                </c:pt>
                <c:pt idx="246">
                  <c:v>33.947607858035745</c:v>
                </c:pt>
                <c:pt idx="247">
                  <c:v>37.366073555248455</c:v>
                </c:pt>
                <c:pt idx="248">
                  <c:v>26.666166277248458</c:v>
                </c:pt>
                <c:pt idx="249">
                  <c:v>24.865338769250318</c:v>
                </c:pt>
                <c:pt idx="250">
                  <c:v>29.209192431248454</c:v>
                </c:pt>
                <c:pt idx="251">
                  <c:v>19.454866435248455</c:v>
                </c:pt>
                <c:pt idx="252">
                  <c:v>34.97460958325032</c:v>
                </c:pt>
                <c:pt idx="253">
                  <c:v>52.271077133248461</c:v>
                </c:pt>
                <c:pt idx="254">
                  <c:v>55.014708317802551</c:v>
                </c:pt>
                <c:pt idx="255">
                  <c:v>51.861687353802552</c:v>
                </c:pt>
                <c:pt idx="256">
                  <c:v>36.703183287802545</c:v>
                </c:pt>
                <c:pt idx="257">
                  <c:v>15.31814298380255</c:v>
                </c:pt>
                <c:pt idx="258">
                  <c:v>8.5638278258025533</c:v>
                </c:pt>
                <c:pt idx="259">
                  <c:v>14.358251075802553</c:v>
                </c:pt>
                <c:pt idx="260">
                  <c:v>28.288171725802545</c:v>
                </c:pt>
                <c:pt idx="261">
                  <c:v>52.468209541696432</c:v>
                </c:pt>
                <c:pt idx="262">
                  <c:v>48.68029413969829</c:v>
                </c:pt>
                <c:pt idx="263">
                  <c:v>41.433091311696437</c:v>
                </c:pt>
                <c:pt idx="264">
                  <c:v>15.696338941696435</c:v>
                </c:pt>
                <c:pt idx="265">
                  <c:v>5.7461719036982979</c:v>
                </c:pt>
                <c:pt idx="266">
                  <c:v>18.109064911696436</c:v>
                </c:pt>
                <c:pt idx="267">
                  <c:v>18.974976891696439</c:v>
                </c:pt>
                <c:pt idx="268">
                  <c:v>10.52124702121337</c:v>
                </c:pt>
                <c:pt idx="269">
                  <c:v>10.045401815213365</c:v>
                </c:pt>
                <c:pt idx="270">
                  <c:v>10.143655751212435</c:v>
                </c:pt>
                <c:pt idx="271">
                  <c:v>8.887261627213368</c:v>
                </c:pt>
                <c:pt idx="272">
                  <c:v>8.1643874632124351</c:v>
                </c:pt>
                <c:pt idx="273">
                  <c:v>7.4216474952133646</c:v>
                </c:pt>
                <c:pt idx="274">
                  <c:v>4.6011112072124378</c:v>
                </c:pt>
                <c:pt idx="275">
                  <c:v>2.3978887607003272</c:v>
                </c:pt>
                <c:pt idx="276">
                  <c:v>7.0165802647012603</c:v>
                </c:pt>
                <c:pt idx="277">
                  <c:v>5.9194570727003306</c:v>
                </c:pt>
                <c:pt idx="278">
                  <c:v>3.939688852700332</c:v>
                </c:pt>
                <c:pt idx="279">
                  <c:v>1.9628066107003288</c:v>
                </c:pt>
                <c:pt idx="280">
                  <c:v>2.4994595447012617</c:v>
                </c:pt>
                <c:pt idx="281">
                  <c:v>5.0656057527003284</c:v>
                </c:pt>
                <c:pt idx="282">
                  <c:v>29.894012912888815</c:v>
                </c:pt>
                <c:pt idx="283">
                  <c:v>25.388038768888816</c:v>
                </c:pt>
                <c:pt idx="284">
                  <c:v>26.27798922088882</c:v>
                </c:pt>
                <c:pt idx="285">
                  <c:v>14.195625838888816</c:v>
                </c:pt>
                <c:pt idx="286">
                  <c:v>17.403796476889749</c:v>
                </c:pt>
                <c:pt idx="287">
                  <c:v>36.206548392888813</c:v>
                </c:pt>
                <c:pt idx="288">
                  <c:v>65.720114520888814</c:v>
                </c:pt>
                <c:pt idx="289">
                  <c:v>73.41911211498649</c:v>
                </c:pt>
                <c:pt idx="290">
                  <c:v>45.972942128986489</c:v>
                </c:pt>
                <c:pt idx="291">
                  <c:v>49.181581926986489</c:v>
                </c:pt>
                <c:pt idx="292">
                  <c:v>45.242321974987419</c:v>
                </c:pt>
                <c:pt idx="293">
                  <c:v>45.870039122986491</c:v>
                </c:pt>
                <c:pt idx="294">
                  <c:v>43.95936786498649</c:v>
                </c:pt>
                <c:pt idx="295">
                  <c:v>42.411564610986488</c:v>
                </c:pt>
                <c:pt idx="296">
                  <c:v>31.902728314450048</c:v>
                </c:pt>
                <c:pt idx="297">
                  <c:v>46.394517682450051</c:v>
                </c:pt>
                <c:pt idx="298">
                  <c:v>49.133572104450053</c:v>
                </c:pt>
                <c:pt idx="299">
                  <c:v>19.223126686450051</c:v>
                </c:pt>
                <c:pt idx="300">
                  <c:v>11.362558718450048</c:v>
                </c:pt>
                <c:pt idx="301">
                  <c:v>16.34274554445005</c:v>
                </c:pt>
                <c:pt idx="302">
                  <c:v>45.826717108450048</c:v>
                </c:pt>
                <c:pt idx="303">
                  <c:v>75.820311372363619</c:v>
                </c:pt>
                <c:pt idx="304">
                  <c:v>43.411714616363618</c:v>
                </c:pt>
                <c:pt idx="305">
                  <c:v>47.068532798362689</c:v>
                </c:pt>
                <c:pt idx="306">
                  <c:v>47.236419606363619</c:v>
                </c:pt>
                <c:pt idx="307">
                  <c:v>43.311584924363629</c:v>
                </c:pt>
                <c:pt idx="308">
                  <c:v>57.854179662362696</c:v>
                </c:pt>
                <c:pt idx="309">
                  <c:v>48.895141674363622</c:v>
                </c:pt>
                <c:pt idx="310">
                  <c:v>86.687051459148876</c:v>
                </c:pt>
                <c:pt idx="311">
                  <c:v>90.689681073148876</c:v>
                </c:pt>
                <c:pt idx="312">
                  <c:v>92.791015639148881</c:v>
                </c:pt>
                <c:pt idx="313">
                  <c:v>94.991232411147948</c:v>
                </c:pt>
                <c:pt idx="314">
                  <c:v>98.08205352914888</c:v>
                </c:pt>
                <c:pt idx="315">
                  <c:v>121.63856152914887</c:v>
                </c:pt>
                <c:pt idx="316">
                  <c:v>115.90107830914889</c:v>
                </c:pt>
                <c:pt idx="317">
                  <c:v>92.810070129739174</c:v>
                </c:pt>
                <c:pt idx="318">
                  <c:v>99.520008713739188</c:v>
                </c:pt>
                <c:pt idx="319">
                  <c:v>100.59266706573825</c:v>
                </c:pt>
                <c:pt idx="320">
                  <c:v>76.280739461739188</c:v>
                </c:pt>
                <c:pt idx="321">
                  <c:v>72.245325381739178</c:v>
                </c:pt>
                <c:pt idx="322">
                  <c:v>107.82468873573919</c:v>
                </c:pt>
                <c:pt idx="323">
                  <c:v>95.246582345739185</c:v>
                </c:pt>
                <c:pt idx="324">
                  <c:v>84.208812363573003</c:v>
                </c:pt>
                <c:pt idx="325">
                  <c:v>100.01984260957394</c:v>
                </c:pt>
                <c:pt idx="326">
                  <c:v>93.962985249573933</c:v>
                </c:pt>
                <c:pt idx="327">
                  <c:v>71.455035399573006</c:v>
                </c:pt>
                <c:pt idx="328">
                  <c:v>73.540535463573931</c:v>
                </c:pt>
                <c:pt idx="329">
                  <c:v>89.012027399573014</c:v>
                </c:pt>
                <c:pt idx="330">
                  <c:v>91.772918073573933</c:v>
                </c:pt>
                <c:pt idx="331">
                  <c:v>100.60704683628585</c:v>
                </c:pt>
                <c:pt idx="332">
                  <c:v>105.96454600028585</c:v>
                </c:pt>
                <c:pt idx="333">
                  <c:v>97.361790356285852</c:v>
                </c:pt>
                <c:pt idx="334">
                  <c:v>90.377634360286791</c:v>
                </c:pt>
                <c:pt idx="335">
                  <c:v>84.844575290285846</c:v>
                </c:pt>
                <c:pt idx="336">
                  <c:v>108.34941833628585</c:v>
                </c:pt>
                <c:pt idx="337">
                  <c:v>126.35694536228586</c:v>
                </c:pt>
                <c:pt idx="338">
                  <c:v>87.494353344428589</c:v>
                </c:pt>
                <c:pt idx="339">
                  <c:v>77.762694294428599</c:v>
                </c:pt>
                <c:pt idx="340">
                  <c:v>62.162336000428596</c:v>
                </c:pt>
                <c:pt idx="341">
                  <c:v>55.688550724428588</c:v>
                </c:pt>
                <c:pt idx="342">
                  <c:v>55.537228698428592</c:v>
                </c:pt>
                <c:pt idx="343">
                  <c:v>67.036373550428593</c:v>
                </c:pt>
                <c:pt idx="344">
                  <c:v>96.08555970442859</c:v>
                </c:pt>
                <c:pt idx="345">
                  <c:v>108.86417666227644</c:v>
                </c:pt>
                <c:pt idx="346">
                  <c:v>84.336611072275517</c:v>
                </c:pt>
                <c:pt idx="347">
                  <c:v>86.406546054275523</c:v>
                </c:pt>
                <c:pt idx="348">
                  <c:v>74.523278642275514</c:v>
                </c:pt>
                <c:pt idx="349">
                  <c:v>69.943454598275508</c:v>
                </c:pt>
                <c:pt idx="350">
                  <c:v>111.32398648227644</c:v>
                </c:pt>
                <c:pt idx="351">
                  <c:v>93.909404482275505</c:v>
                </c:pt>
                <c:pt idx="352">
                  <c:v>100.34904894998714</c:v>
                </c:pt>
                <c:pt idx="353">
                  <c:v>105.37348162998713</c:v>
                </c:pt>
                <c:pt idx="354">
                  <c:v>94.125245369987141</c:v>
                </c:pt>
                <c:pt idx="355">
                  <c:v>95.900655389987136</c:v>
                </c:pt>
                <c:pt idx="356">
                  <c:v>90.088321709987142</c:v>
                </c:pt>
                <c:pt idx="357">
                  <c:v>92.536635409987142</c:v>
                </c:pt>
                <c:pt idx="358">
                  <c:v>78.138331777987133</c:v>
                </c:pt>
                <c:pt idx="359">
                  <c:v>80.337816800517686</c:v>
                </c:pt>
                <c:pt idx="360">
                  <c:v>100.55993795651675</c:v>
                </c:pt>
                <c:pt idx="361">
                  <c:v>78.452111536517677</c:v>
                </c:pt>
                <c:pt idx="362">
                  <c:v>61.675687186517678</c:v>
                </c:pt>
                <c:pt idx="363">
                  <c:v>62.068217364517679</c:v>
                </c:pt>
                <c:pt idx="364">
                  <c:v>67.649633472517692</c:v>
                </c:pt>
              </c:numCache>
            </c:numRef>
          </c:val>
        </c:ser>
        <c:ser>
          <c:idx val="2"/>
          <c:order val="1"/>
          <c:tx>
            <c:strRef>
              <c:f>'Data 4'!$E$5:$E$7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F8080"/>
            </a:solidFill>
            <a:ln w="25400">
              <a:solidFill>
                <a:srgbClr val="624FAC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'Data 4'!$E$8:$E$372</c:f>
              <c:numCache>
                <c:formatCode>0\ \ \ \ _)</c:formatCode>
                <c:ptCount val="365"/>
                <c:pt idx="0">
                  <c:v>124.98280708097418</c:v>
                </c:pt>
                <c:pt idx="1">
                  <c:v>124.98280708097418</c:v>
                </c:pt>
                <c:pt idx="2">
                  <c:v>124.98280708097418</c:v>
                </c:pt>
                <c:pt idx="3">
                  <c:v>124.98280708097418</c:v>
                </c:pt>
                <c:pt idx="4">
                  <c:v>124.98280708097418</c:v>
                </c:pt>
                <c:pt idx="5">
                  <c:v>124.98280708097418</c:v>
                </c:pt>
                <c:pt idx="6">
                  <c:v>124.98280708097418</c:v>
                </c:pt>
                <c:pt idx="7">
                  <c:v>124.98280708097418</c:v>
                </c:pt>
                <c:pt idx="8">
                  <c:v>124.98280708097418</c:v>
                </c:pt>
                <c:pt idx="9">
                  <c:v>124.98280708097418</c:v>
                </c:pt>
                <c:pt idx="10">
                  <c:v>124.98280708097418</c:v>
                </c:pt>
                <c:pt idx="11">
                  <c:v>124.98280708097418</c:v>
                </c:pt>
                <c:pt idx="12">
                  <c:v>124.98280708097418</c:v>
                </c:pt>
                <c:pt idx="13">
                  <c:v>124.98280708097418</c:v>
                </c:pt>
                <c:pt idx="14">
                  <c:v>124.98280708097418</c:v>
                </c:pt>
                <c:pt idx="15">
                  <c:v>124.98280708097418</c:v>
                </c:pt>
                <c:pt idx="16">
                  <c:v>124.98280708097418</c:v>
                </c:pt>
                <c:pt idx="17">
                  <c:v>124.98280708097418</c:v>
                </c:pt>
                <c:pt idx="18">
                  <c:v>124.98280708097418</c:v>
                </c:pt>
                <c:pt idx="19">
                  <c:v>124.98280708097418</c:v>
                </c:pt>
                <c:pt idx="20">
                  <c:v>124.98280708097418</c:v>
                </c:pt>
                <c:pt idx="21">
                  <c:v>124.98280708097418</c:v>
                </c:pt>
                <c:pt idx="22">
                  <c:v>124.98280708097418</c:v>
                </c:pt>
                <c:pt idx="23">
                  <c:v>124.98280708097418</c:v>
                </c:pt>
                <c:pt idx="24">
                  <c:v>124.98280708097418</c:v>
                </c:pt>
                <c:pt idx="25">
                  <c:v>124.98280708097418</c:v>
                </c:pt>
                <c:pt idx="26">
                  <c:v>124.98280708097418</c:v>
                </c:pt>
                <c:pt idx="27">
                  <c:v>124.98280708097418</c:v>
                </c:pt>
                <c:pt idx="28">
                  <c:v>124.98280708097418</c:v>
                </c:pt>
                <c:pt idx="29">
                  <c:v>124.98280708097418</c:v>
                </c:pt>
                <c:pt idx="30">
                  <c:v>124.98280708097418</c:v>
                </c:pt>
                <c:pt idx="31">
                  <c:v>122.23474632144273</c:v>
                </c:pt>
                <c:pt idx="32">
                  <c:v>122.23474632144273</c:v>
                </c:pt>
                <c:pt idx="33">
                  <c:v>122.23474632144273</c:v>
                </c:pt>
                <c:pt idx="34">
                  <c:v>122.23474632144273</c:v>
                </c:pt>
                <c:pt idx="35">
                  <c:v>122.23474632144273</c:v>
                </c:pt>
                <c:pt idx="36">
                  <c:v>122.23474632144273</c:v>
                </c:pt>
                <c:pt idx="37">
                  <c:v>122.23474632144273</c:v>
                </c:pt>
                <c:pt idx="38">
                  <c:v>122.23474632144273</c:v>
                </c:pt>
                <c:pt idx="39">
                  <c:v>122.23474632144273</c:v>
                </c:pt>
                <c:pt idx="40">
                  <c:v>122.23474632144273</c:v>
                </c:pt>
                <c:pt idx="41">
                  <c:v>122.23474632144273</c:v>
                </c:pt>
                <c:pt idx="42">
                  <c:v>122.23474632144273</c:v>
                </c:pt>
                <c:pt idx="43">
                  <c:v>122.23474632144273</c:v>
                </c:pt>
                <c:pt idx="44">
                  <c:v>122.23474632144273</c:v>
                </c:pt>
                <c:pt idx="45">
                  <c:v>122.23474632144273</c:v>
                </c:pt>
                <c:pt idx="46">
                  <c:v>122.23474632144273</c:v>
                </c:pt>
                <c:pt idx="47">
                  <c:v>122.23474632144273</c:v>
                </c:pt>
                <c:pt idx="48">
                  <c:v>122.23474632144273</c:v>
                </c:pt>
                <c:pt idx="49">
                  <c:v>122.23474632144273</c:v>
                </c:pt>
                <c:pt idx="50">
                  <c:v>122.23474632144273</c:v>
                </c:pt>
                <c:pt idx="51">
                  <c:v>122.23474632144273</c:v>
                </c:pt>
                <c:pt idx="52">
                  <c:v>122.23474632144273</c:v>
                </c:pt>
                <c:pt idx="53">
                  <c:v>122.23474632144273</c:v>
                </c:pt>
                <c:pt idx="54">
                  <c:v>122.23474632144273</c:v>
                </c:pt>
                <c:pt idx="55">
                  <c:v>122.23474632144273</c:v>
                </c:pt>
                <c:pt idx="56">
                  <c:v>122.23474632144273</c:v>
                </c:pt>
                <c:pt idx="57">
                  <c:v>122.23474632144273</c:v>
                </c:pt>
                <c:pt idx="58">
                  <c:v>122.23474632144273</c:v>
                </c:pt>
                <c:pt idx="59">
                  <c:v>123.04544911502903</c:v>
                </c:pt>
                <c:pt idx="60">
                  <c:v>123.04544911502903</c:v>
                </c:pt>
                <c:pt idx="61">
                  <c:v>123.04544911502903</c:v>
                </c:pt>
                <c:pt idx="62">
                  <c:v>123.04544911502903</c:v>
                </c:pt>
                <c:pt idx="63">
                  <c:v>123.04544911502903</c:v>
                </c:pt>
                <c:pt idx="64">
                  <c:v>123.04544911502903</c:v>
                </c:pt>
                <c:pt idx="65">
                  <c:v>123.04544911502903</c:v>
                </c:pt>
                <c:pt idx="66">
                  <c:v>123.04544911502903</c:v>
                </c:pt>
                <c:pt idx="67">
                  <c:v>123.04544911502903</c:v>
                </c:pt>
                <c:pt idx="68">
                  <c:v>123.04544911502903</c:v>
                </c:pt>
                <c:pt idx="69">
                  <c:v>123.04544911502903</c:v>
                </c:pt>
                <c:pt idx="70">
                  <c:v>123.04544911502903</c:v>
                </c:pt>
                <c:pt idx="71">
                  <c:v>123.04544911502903</c:v>
                </c:pt>
                <c:pt idx="72">
                  <c:v>123.04544911502903</c:v>
                </c:pt>
                <c:pt idx="73">
                  <c:v>123.04544911502903</c:v>
                </c:pt>
                <c:pt idx="74">
                  <c:v>123.04544911502903</c:v>
                </c:pt>
                <c:pt idx="75">
                  <c:v>123.04544911502903</c:v>
                </c:pt>
                <c:pt idx="76">
                  <c:v>123.04544911502903</c:v>
                </c:pt>
                <c:pt idx="77">
                  <c:v>123.04544911502903</c:v>
                </c:pt>
                <c:pt idx="78">
                  <c:v>123.04544911502903</c:v>
                </c:pt>
                <c:pt idx="79">
                  <c:v>123.04544911502903</c:v>
                </c:pt>
                <c:pt idx="80">
                  <c:v>123.04544911502903</c:v>
                </c:pt>
                <c:pt idx="81">
                  <c:v>123.04544911502903</c:v>
                </c:pt>
                <c:pt idx="82">
                  <c:v>123.04544911502903</c:v>
                </c:pt>
                <c:pt idx="83">
                  <c:v>123.04544911502903</c:v>
                </c:pt>
                <c:pt idx="84">
                  <c:v>123.04544911502903</c:v>
                </c:pt>
                <c:pt idx="85">
                  <c:v>123.04544911502903</c:v>
                </c:pt>
                <c:pt idx="86">
                  <c:v>123.04544911502903</c:v>
                </c:pt>
                <c:pt idx="87">
                  <c:v>123.04544911502903</c:v>
                </c:pt>
                <c:pt idx="88">
                  <c:v>123.04544911502903</c:v>
                </c:pt>
                <c:pt idx="89">
                  <c:v>123.04544911502903</c:v>
                </c:pt>
                <c:pt idx="90">
                  <c:v>124.98173132994</c:v>
                </c:pt>
                <c:pt idx="91">
                  <c:v>124.98173132994</c:v>
                </c:pt>
                <c:pt idx="92">
                  <c:v>124.98173132994</c:v>
                </c:pt>
                <c:pt idx="93">
                  <c:v>124.98173132994</c:v>
                </c:pt>
                <c:pt idx="94">
                  <c:v>124.98173132994</c:v>
                </c:pt>
                <c:pt idx="95">
                  <c:v>124.98173132994</c:v>
                </c:pt>
                <c:pt idx="96">
                  <c:v>124.98173132994</c:v>
                </c:pt>
                <c:pt idx="97">
                  <c:v>124.98173132994</c:v>
                </c:pt>
                <c:pt idx="98">
                  <c:v>124.98173132994</c:v>
                </c:pt>
                <c:pt idx="99">
                  <c:v>124.98173132994</c:v>
                </c:pt>
                <c:pt idx="100">
                  <c:v>124.98173132994</c:v>
                </c:pt>
                <c:pt idx="101">
                  <c:v>124.98173132994</c:v>
                </c:pt>
                <c:pt idx="102">
                  <c:v>124.98173132994</c:v>
                </c:pt>
                <c:pt idx="103">
                  <c:v>124.98173132994</c:v>
                </c:pt>
                <c:pt idx="104">
                  <c:v>124.98173132994</c:v>
                </c:pt>
                <c:pt idx="105">
                  <c:v>124.98173132994</c:v>
                </c:pt>
                <c:pt idx="106">
                  <c:v>124.98173132994</c:v>
                </c:pt>
                <c:pt idx="107">
                  <c:v>124.98173132994</c:v>
                </c:pt>
                <c:pt idx="108">
                  <c:v>124.98173132994</c:v>
                </c:pt>
                <c:pt idx="109">
                  <c:v>124.98173132994</c:v>
                </c:pt>
                <c:pt idx="110">
                  <c:v>124.98173132994</c:v>
                </c:pt>
                <c:pt idx="111">
                  <c:v>124.98173132994</c:v>
                </c:pt>
                <c:pt idx="112">
                  <c:v>124.98173132994</c:v>
                </c:pt>
                <c:pt idx="113">
                  <c:v>124.98173132994</c:v>
                </c:pt>
                <c:pt idx="114">
                  <c:v>124.98173132994</c:v>
                </c:pt>
                <c:pt idx="115">
                  <c:v>124.98173132994</c:v>
                </c:pt>
                <c:pt idx="116">
                  <c:v>124.98173132994</c:v>
                </c:pt>
                <c:pt idx="117">
                  <c:v>124.98173132994</c:v>
                </c:pt>
                <c:pt idx="118">
                  <c:v>124.98173132994</c:v>
                </c:pt>
                <c:pt idx="119">
                  <c:v>124.98173132994</c:v>
                </c:pt>
                <c:pt idx="120">
                  <c:v>106.79032108965163</c:v>
                </c:pt>
                <c:pt idx="121">
                  <c:v>106.79032108965163</c:v>
                </c:pt>
                <c:pt idx="122">
                  <c:v>106.79032108965163</c:v>
                </c:pt>
                <c:pt idx="123">
                  <c:v>106.79032108965163</c:v>
                </c:pt>
                <c:pt idx="124">
                  <c:v>106.79032108965163</c:v>
                </c:pt>
                <c:pt idx="125">
                  <c:v>106.79032108965163</c:v>
                </c:pt>
                <c:pt idx="126">
                  <c:v>106.79032108965163</c:v>
                </c:pt>
                <c:pt idx="127">
                  <c:v>106.79032108965163</c:v>
                </c:pt>
                <c:pt idx="128">
                  <c:v>106.79032108965163</c:v>
                </c:pt>
                <c:pt idx="129">
                  <c:v>106.79032108965163</c:v>
                </c:pt>
                <c:pt idx="130">
                  <c:v>106.79032108965163</c:v>
                </c:pt>
                <c:pt idx="131">
                  <c:v>106.79032108965163</c:v>
                </c:pt>
                <c:pt idx="132">
                  <c:v>106.79032108965163</c:v>
                </c:pt>
                <c:pt idx="133">
                  <c:v>106.79032108965163</c:v>
                </c:pt>
                <c:pt idx="134">
                  <c:v>106.79032108965163</c:v>
                </c:pt>
                <c:pt idx="135">
                  <c:v>106.79032108965163</c:v>
                </c:pt>
                <c:pt idx="136">
                  <c:v>106.79032108965163</c:v>
                </c:pt>
                <c:pt idx="137">
                  <c:v>106.79032108965163</c:v>
                </c:pt>
                <c:pt idx="138">
                  <c:v>106.79032108965163</c:v>
                </c:pt>
                <c:pt idx="139">
                  <c:v>106.79032108965163</c:v>
                </c:pt>
                <c:pt idx="140">
                  <c:v>106.79032108965163</c:v>
                </c:pt>
                <c:pt idx="141">
                  <c:v>106.79032108965163</c:v>
                </c:pt>
                <c:pt idx="142">
                  <c:v>106.79032108965163</c:v>
                </c:pt>
                <c:pt idx="143">
                  <c:v>106.79032108965163</c:v>
                </c:pt>
                <c:pt idx="144">
                  <c:v>106.79032108965163</c:v>
                </c:pt>
                <c:pt idx="145">
                  <c:v>106.79032108965163</c:v>
                </c:pt>
                <c:pt idx="146">
                  <c:v>106.79032108965163</c:v>
                </c:pt>
                <c:pt idx="147">
                  <c:v>106.79032108965163</c:v>
                </c:pt>
                <c:pt idx="148">
                  <c:v>106.79032108965163</c:v>
                </c:pt>
                <c:pt idx="149">
                  <c:v>106.79032108965163</c:v>
                </c:pt>
                <c:pt idx="150">
                  <c:v>106.79032108965163</c:v>
                </c:pt>
                <c:pt idx="151">
                  <c:v>64.364342968573325</c:v>
                </c:pt>
                <c:pt idx="152">
                  <c:v>64.364342968573325</c:v>
                </c:pt>
                <c:pt idx="153">
                  <c:v>64.364342968573325</c:v>
                </c:pt>
                <c:pt idx="154">
                  <c:v>64.364342968573325</c:v>
                </c:pt>
                <c:pt idx="155">
                  <c:v>64.364342968573325</c:v>
                </c:pt>
                <c:pt idx="156">
                  <c:v>64.364342968573325</c:v>
                </c:pt>
                <c:pt idx="157">
                  <c:v>64.364342968573325</c:v>
                </c:pt>
                <c:pt idx="158">
                  <c:v>64.364342968573325</c:v>
                </c:pt>
                <c:pt idx="159">
                  <c:v>64.364342968573325</c:v>
                </c:pt>
                <c:pt idx="160">
                  <c:v>64.364342968573325</c:v>
                </c:pt>
                <c:pt idx="161">
                  <c:v>64.364342968573325</c:v>
                </c:pt>
                <c:pt idx="162">
                  <c:v>64.364342968573325</c:v>
                </c:pt>
                <c:pt idx="163">
                  <c:v>64.364342968573325</c:v>
                </c:pt>
                <c:pt idx="164">
                  <c:v>64.364342968573325</c:v>
                </c:pt>
                <c:pt idx="165">
                  <c:v>64.364342968573325</c:v>
                </c:pt>
                <c:pt idx="166">
                  <c:v>64.364342968573325</c:v>
                </c:pt>
                <c:pt idx="167">
                  <c:v>64.364342968573325</c:v>
                </c:pt>
                <c:pt idx="168">
                  <c:v>64.364342968573325</c:v>
                </c:pt>
                <c:pt idx="169">
                  <c:v>64.364342968573325</c:v>
                </c:pt>
                <c:pt idx="170">
                  <c:v>64.364342968573325</c:v>
                </c:pt>
                <c:pt idx="171">
                  <c:v>64.364342968573325</c:v>
                </c:pt>
                <c:pt idx="172">
                  <c:v>64.364342968573325</c:v>
                </c:pt>
                <c:pt idx="173">
                  <c:v>64.364342968573325</c:v>
                </c:pt>
                <c:pt idx="174">
                  <c:v>64.364342968573325</c:v>
                </c:pt>
                <c:pt idx="175">
                  <c:v>64.364342968573325</c:v>
                </c:pt>
                <c:pt idx="176">
                  <c:v>64.364342968573325</c:v>
                </c:pt>
                <c:pt idx="177">
                  <c:v>64.364342968573325</c:v>
                </c:pt>
                <c:pt idx="178">
                  <c:v>64.364342968573325</c:v>
                </c:pt>
                <c:pt idx="179">
                  <c:v>64.364342968573325</c:v>
                </c:pt>
                <c:pt idx="180">
                  <c:v>64.364342968573325</c:v>
                </c:pt>
                <c:pt idx="181">
                  <c:v>28.016997662909688</c:v>
                </c:pt>
                <c:pt idx="182">
                  <c:v>28.016997662909688</c:v>
                </c:pt>
                <c:pt idx="183">
                  <c:v>28.016997662909688</c:v>
                </c:pt>
                <c:pt idx="184">
                  <c:v>28.016997662909688</c:v>
                </c:pt>
                <c:pt idx="185">
                  <c:v>28.016997662909688</c:v>
                </c:pt>
                <c:pt idx="186">
                  <c:v>28.016997662909688</c:v>
                </c:pt>
                <c:pt idx="187">
                  <c:v>28.016997662909688</c:v>
                </c:pt>
                <c:pt idx="188">
                  <c:v>28.016997662909688</c:v>
                </c:pt>
                <c:pt idx="189">
                  <c:v>28.016997662909688</c:v>
                </c:pt>
                <c:pt idx="190">
                  <c:v>28.016997662909688</c:v>
                </c:pt>
                <c:pt idx="191">
                  <c:v>28.016997662909688</c:v>
                </c:pt>
                <c:pt idx="192">
                  <c:v>28.016997662909688</c:v>
                </c:pt>
                <c:pt idx="193">
                  <c:v>28.016997662909688</c:v>
                </c:pt>
                <c:pt idx="194">
                  <c:v>28.016997662909688</c:v>
                </c:pt>
                <c:pt idx="195">
                  <c:v>28.016997662909688</c:v>
                </c:pt>
                <c:pt idx="196">
                  <c:v>28.016997662909688</c:v>
                </c:pt>
                <c:pt idx="197">
                  <c:v>28.016997662909688</c:v>
                </c:pt>
                <c:pt idx="198">
                  <c:v>28.016997662909688</c:v>
                </c:pt>
                <c:pt idx="199">
                  <c:v>28.016997662909688</c:v>
                </c:pt>
                <c:pt idx="200">
                  <c:v>28.016997662909688</c:v>
                </c:pt>
                <c:pt idx="201">
                  <c:v>28.016997662909688</c:v>
                </c:pt>
                <c:pt idx="202">
                  <c:v>28.016997662909688</c:v>
                </c:pt>
                <c:pt idx="203">
                  <c:v>28.016997662909688</c:v>
                </c:pt>
                <c:pt idx="204">
                  <c:v>28.016997662909688</c:v>
                </c:pt>
                <c:pt idx="205">
                  <c:v>28.016997662909688</c:v>
                </c:pt>
                <c:pt idx="206">
                  <c:v>28.016997662909688</c:v>
                </c:pt>
                <c:pt idx="207">
                  <c:v>28.016997662909688</c:v>
                </c:pt>
                <c:pt idx="208">
                  <c:v>28.016997662909688</c:v>
                </c:pt>
                <c:pt idx="209">
                  <c:v>28.016997662909688</c:v>
                </c:pt>
                <c:pt idx="210">
                  <c:v>28.016997662909688</c:v>
                </c:pt>
                <c:pt idx="211">
                  <c:v>28.016997662909688</c:v>
                </c:pt>
                <c:pt idx="212">
                  <c:v>16.99706947525484</c:v>
                </c:pt>
                <c:pt idx="213">
                  <c:v>16.99706947525484</c:v>
                </c:pt>
                <c:pt idx="214">
                  <c:v>16.99706947525484</c:v>
                </c:pt>
                <c:pt idx="215">
                  <c:v>16.99706947525484</c:v>
                </c:pt>
                <c:pt idx="216">
                  <c:v>16.99706947525484</c:v>
                </c:pt>
                <c:pt idx="217">
                  <c:v>16.99706947525484</c:v>
                </c:pt>
                <c:pt idx="218">
                  <c:v>16.99706947525484</c:v>
                </c:pt>
                <c:pt idx="219">
                  <c:v>16.99706947525484</c:v>
                </c:pt>
                <c:pt idx="220">
                  <c:v>16.99706947525484</c:v>
                </c:pt>
                <c:pt idx="221">
                  <c:v>16.99706947525484</c:v>
                </c:pt>
                <c:pt idx="222">
                  <c:v>16.99706947525484</c:v>
                </c:pt>
                <c:pt idx="223">
                  <c:v>16.99706947525484</c:v>
                </c:pt>
                <c:pt idx="224">
                  <c:v>16.99706947525484</c:v>
                </c:pt>
                <c:pt idx="225">
                  <c:v>16.99706947525484</c:v>
                </c:pt>
                <c:pt idx="226">
                  <c:v>16.99706947525484</c:v>
                </c:pt>
                <c:pt idx="227">
                  <c:v>16.99706947525484</c:v>
                </c:pt>
                <c:pt idx="228">
                  <c:v>16.99706947525484</c:v>
                </c:pt>
                <c:pt idx="229">
                  <c:v>16.99706947525484</c:v>
                </c:pt>
                <c:pt idx="230">
                  <c:v>16.99706947525484</c:v>
                </c:pt>
                <c:pt idx="231">
                  <c:v>16.99706947525484</c:v>
                </c:pt>
                <c:pt idx="232">
                  <c:v>16.99706947525484</c:v>
                </c:pt>
                <c:pt idx="233">
                  <c:v>16.99706947525484</c:v>
                </c:pt>
                <c:pt idx="234">
                  <c:v>16.99706947525484</c:v>
                </c:pt>
                <c:pt idx="235">
                  <c:v>16.99706947525484</c:v>
                </c:pt>
                <c:pt idx="236">
                  <c:v>16.99706947525484</c:v>
                </c:pt>
                <c:pt idx="237">
                  <c:v>16.99706947525484</c:v>
                </c:pt>
                <c:pt idx="238">
                  <c:v>16.99706947525484</c:v>
                </c:pt>
                <c:pt idx="239">
                  <c:v>16.99706947525484</c:v>
                </c:pt>
                <c:pt idx="240">
                  <c:v>16.99706947525484</c:v>
                </c:pt>
                <c:pt idx="241">
                  <c:v>16.99706947525484</c:v>
                </c:pt>
                <c:pt idx="242">
                  <c:v>16.99706947525484</c:v>
                </c:pt>
                <c:pt idx="243">
                  <c:v>22.743378673520009</c:v>
                </c:pt>
                <c:pt idx="244">
                  <c:v>22.743378673520009</c:v>
                </c:pt>
                <c:pt idx="245">
                  <c:v>22.743378673520009</c:v>
                </c:pt>
                <c:pt idx="246">
                  <c:v>22.743378673520009</c:v>
                </c:pt>
                <c:pt idx="247">
                  <c:v>22.743378673520009</c:v>
                </c:pt>
                <c:pt idx="248">
                  <c:v>22.743378673520009</c:v>
                </c:pt>
                <c:pt idx="249">
                  <c:v>22.743378673520009</c:v>
                </c:pt>
                <c:pt idx="250">
                  <c:v>22.743378673520009</c:v>
                </c:pt>
                <c:pt idx="251">
                  <c:v>22.743378673520009</c:v>
                </c:pt>
                <c:pt idx="252">
                  <c:v>22.743378673520009</c:v>
                </c:pt>
                <c:pt idx="253">
                  <c:v>22.743378673520009</c:v>
                </c:pt>
                <c:pt idx="254">
                  <c:v>22.743378673520009</c:v>
                </c:pt>
                <c:pt idx="255">
                  <c:v>22.743378673520009</c:v>
                </c:pt>
                <c:pt idx="256">
                  <c:v>22.743378673520009</c:v>
                </c:pt>
                <c:pt idx="257">
                  <c:v>22.743378673520009</c:v>
                </c:pt>
                <c:pt idx="258">
                  <c:v>22.743378673520009</c:v>
                </c:pt>
                <c:pt idx="259">
                  <c:v>22.743378673520009</c:v>
                </c:pt>
                <c:pt idx="260">
                  <c:v>22.743378673520009</c:v>
                </c:pt>
                <c:pt idx="261">
                  <c:v>22.743378673520009</c:v>
                </c:pt>
                <c:pt idx="262">
                  <c:v>22.743378673520009</c:v>
                </c:pt>
                <c:pt idx="263">
                  <c:v>22.743378673520009</c:v>
                </c:pt>
                <c:pt idx="264">
                  <c:v>22.743378673520009</c:v>
                </c:pt>
                <c:pt idx="265">
                  <c:v>22.743378673520009</c:v>
                </c:pt>
                <c:pt idx="266">
                  <c:v>22.743378673520009</c:v>
                </c:pt>
                <c:pt idx="267">
                  <c:v>22.743378673520009</c:v>
                </c:pt>
                <c:pt idx="268">
                  <c:v>22.743378673520009</c:v>
                </c:pt>
                <c:pt idx="269">
                  <c:v>22.743378673520009</c:v>
                </c:pt>
                <c:pt idx="270">
                  <c:v>22.743378673520009</c:v>
                </c:pt>
                <c:pt idx="271">
                  <c:v>22.743378673520009</c:v>
                </c:pt>
                <c:pt idx="272">
                  <c:v>22.743378673520009</c:v>
                </c:pt>
                <c:pt idx="273">
                  <c:v>45.741764250654825</c:v>
                </c:pt>
                <c:pt idx="274">
                  <c:v>45.741764250654825</c:v>
                </c:pt>
                <c:pt idx="275">
                  <c:v>45.741764250654825</c:v>
                </c:pt>
                <c:pt idx="276">
                  <c:v>45.741764250654825</c:v>
                </c:pt>
                <c:pt idx="277">
                  <c:v>45.741764250654825</c:v>
                </c:pt>
                <c:pt idx="278">
                  <c:v>45.741764250654825</c:v>
                </c:pt>
                <c:pt idx="279">
                  <c:v>45.741764250654825</c:v>
                </c:pt>
                <c:pt idx="280">
                  <c:v>45.741764250654825</c:v>
                </c:pt>
                <c:pt idx="281">
                  <c:v>45.741764250654825</c:v>
                </c:pt>
                <c:pt idx="282">
                  <c:v>45.741764250654825</c:v>
                </c:pt>
                <c:pt idx="283">
                  <c:v>45.741764250654825</c:v>
                </c:pt>
                <c:pt idx="284">
                  <c:v>45.741764250654825</c:v>
                </c:pt>
                <c:pt idx="285">
                  <c:v>45.741764250654825</c:v>
                </c:pt>
                <c:pt idx="286">
                  <c:v>45.741764250654825</c:v>
                </c:pt>
                <c:pt idx="287">
                  <c:v>45.741764250654825</c:v>
                </c:pt>
                <c:pt idx="288">
                  <c:v>45.741764250654825</c:v>
                </c:pt>
                <c:pt idx="289">
                  <c:v>45.741764250654825</c:v>
                </c:pt>
                <c:pt idx="290">
                  <c:v>45.741764250654825</c:v>
                </c:pt>
                <c:pt idx="291">
                  <c:v>45.741764250654825</c:v>
                </c:pt>
                <c:pt idx="292">
                  <c:v>45.741764250654825</c:v>
                </c:pt>
                <c:pt idx="293">
                  <c:v>45.741764250654825</c:v>
                </c:pt>
                <c:pt idx="294">
                  <c:v>45.741764250654825</c:v>
                </c:pt>
                <c:pt idx="295">
                  <c:v>45.741764250654825</c:v>
                </c:pt>
                <c:pt idx="296">
                  <c:v>45.741764250654825</c:v>
                </c:pt>
                <c:pt idx="297">
                  <c:v>45.741764250654825</c:v>
                </c:pt>
                <c:pt idx="298">
                  <c:v>45.741764250654825</c:v>
                </c:pt>
                <c:pt idx="299">
                  <c:v>45.741764250654825</c:v>
                </c:pt>
                <c:pt idx="300">
                  <c:v>45.741764250654825</c:v>
                </c:pt>
                <c:pt idx="301">
                  <c:v>45.741764250654825</c:v>
                </c:pt>
                <c:pt idx="302">
                  <c:v>45.741764250654825</c:v>
                </c:pt>
                <c:pt idx="303">
                  <c:v>45.741764250654825</c:v>
                </c:pt>
                <c:pt idx="304">
                  <c:v>80.413851096189973</c:v>
                </c:pt>
                <c:pt idx="305">
                  <c:v>80.413851096189973</c:v>
                </c:pt>
                <c:pt idx="306">
                  <c:v>80.413851096189973</c:v>
                </c:pt>
                <c:pt idx="307">
                  <c:v>80.413851096189973</c:v>
                </c:pt>
                <c:pt idx="308">
                  <c:v>80.413851096189973</c:v>
                </c:pt>
                <c:pt idx="309">
                  <c:v>80.413851096189973</c:v>
                </c:pt>
                <c:pt idx="310">
                  <c:v>80.413851096189973</c:v>
                </c:pt>
                <c:pt idx="311">
                  <c:v>80.413851096189973</c:v>
                </c:pt>
                <c:pt idx="312">
                  <c:v>80.413851096189973</c:v>
                </c:pt>
                <c:pt idx="313">
                  <c:v>80.413851096189973</c:v>
                </c:pt>
                <c:pt idx="314">
                  <c:v>80.413851096189973</c:v>
                </c:pt>
                <c:pt idx="315">
                  <c:v>80.413851096189973</c:v>
                </c:pt>
                <c:pt idx="316">
                  <c:v>80.413851096189973</c:v>
                </c:pt>
                <c:pt idx="317">
                  <c:v>80.413851096189973</c:v>
                </c:pt>
                <c:pt idx="318">
                  <c:v>80.413851096189973</c:v>
                </c:pt>
                <c:pt idx="319">
                  <c:v>80.413851096189973</c:v>
                </c:pt>
                <c:pt idx="320">
                  <c:v>80.413851096189973</c:v>
                </c:pt>
                <c:pt idx="321">
                  <c:v>80.413851096189973</c:v>
                </c:pt>
                <c:pt idx="322">
                  <c:v>80.413851096189973</c:v>
                </c:pt>
                <c:pt idx="323">
                  <c:v>80.413851096189973</c:v>
                </c:pt>
                <c:pt idx="324">
                  <c:v>80.413851096189973</c:v>
                </c:pt>
                <c:pt idx="325">
                  <c:v>80.413851096189973</c:v>
                </c:pt>
                <c:pt idx="326">
                  <c:v>80.413851096189973</c:v>
                </c:pt>
                <c:pt idx="327">
                  <c:v>80.413851096189973</c:v>
                </c:pt>
                <c:pt idx="328">
                  <c:v>80.413851096189973</c:v>
                </c:pt>
                <c:pt idx="329">
                  <c:v>80.413851096189973</c:v>
                </c:pt>
                <c:pt idx="330">
                  <c:v>80.413851096189973</c:v>
                </c:pt>
                <c:pt idx="331">
                  <c:v>80.413851096189973</c:v>
                </c:pt>
                <c:pt idx="332">
                  <c:v>80.413851096189973</c:v>
                </c:pt>
                <c:pt idx="333">
                  <c:v>80.413851096189973</c:v>
                </c:pt>
                <c:pt idx="334">
                  <c:v>101.95753277636452</c:v>
                </c:pt>
                <c:pt idx="335">
                  <c:v>101.95753277636452</c:v>
                </c:pt>
                <c:pt idx="336">
                  <c:v>101.95753277636452</c:v>
                </c:pt>
                <c:pt idx="337">
                  <c:v>101.95753277636452</c:v>
                </c:pt>
                <c:pt idx="338">
                  <c:v>101.95753277636452</c:v>
                </c:pt>
                <c:pt idx="339">
                  <c:v>101.95753277636452</c:v>
                </c:pt>
                <c:pt idx="340">
                  <c:v>101.95753277636452</c:v>
                </c:pt>
                <c:pt idx="341">
                  <c:v>101.95753277636452</c:v>
                </c:pt>
                <c:pt idx="342">
                  <c:v>101.95753277636452</c:v>
                </c:pt>
                <c:pt idx="343">
                  <c:v>101.95753277636452</c:v>
                </c:pt>
                <c:pt idx="344">
                  <c:v>101.95753277636452</c:v>
                </c:pt>
                <c:pt idx="345">
                  <c:v>101.95753277636452</c:v>
                </c:pt>
                <c:pt idx="346">
                  <c:v>101.95753277636452</c:v>
                </c:pt>
                <c:pt idx="347">
                  <c:v>101.95753277636452</c:v>
                </c:pt>
                <c:pt idx="348">
                  <c:v>101.95753277636452</c:v>
                </c:pt>
                <c:pt idx="349">
                  <c:v>101.95753277636452</c:v>
                </c:pt>
                <c:pt idx="350">
                  <c:v>101.95753277636452</c:v>
                </c:pt>
                <c:pt idx="351">
                  <c:v>101.95753277636452</c:v>
                </c:pt>
                <c:pt idx="352">
                  <c:v>101.95753277636452</c:v>
                </c:pt>
                <c:pt idx="353">
                  <c:v>101.95753277636452</c:v>
                </c:pt>
                <c:pt idx="354">
                  <c:v>101.95753277636452</c:v>
                </c:pt>
                <c:pt idx="355">
                  <c:v>101.95753277636452</c:v>
                </c:pt>
                <c:pt idx="356">
                  <c:v>101.95753277636452</c:v>
                </c:pt>
                <c:pt idx="357">
                  <c:v>101.95753277636452</c:v>
                </c:pt>
                <c:pt idx="358">
                  <c:v>101.95753277636452</c:v>
                </c:pt>
                <c:pt idx="359">
                  <c:v>101.95753277636452</c:v>
                </c:pt>
                <c:pt idx="360">
                  <c:v>101.95753277636452</c:v>
                </c:pt>
                <c:pt idx="361">
                  <c:v>101.95753277636452</c:v>
                </c:pt>
                <c:pt idx="362">
                  <c:v>101.95753277636452</c:v>
                </c:pt>
                <c:pt idx="363">
                  <c:v>101.95753277636452</c:v>
                </c:pt>
                <c:pt idx="364">
                  <c:v>101.95753277636452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3888"/>
        <c:axId val="337744280"/>
      </c:areaChart>
      <c:areaChart>
        <c:grouping val="standard"/>
        <c:varyColors val="0"/>
        <c:ser>
          <c:idx val="0"/>
          <c:order val="2"/>
          <c:tx>
            <c:strRef>
              <c:f>'Data 4'!$F$5:$F$7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5F5F5"/>
            </a:solidFill>
            <a:ln w="12700">
              <a:solidFill>
                <a:srgbClr val="004563"/>
              </a:solidFill>
              <a:prstDash val="solid"/>
            </a:ln>
          </c:spPr>
          <c:val>
            <c:numRef>
              <c:f>'Data 4'!$F$8:$F$372</c:f>
              <c:numCache>
                <c:formatCode>0\ \ \ \ _)</c:formatCode>
                <c:ptCount val="365"/>
                <c:pt idx="0">
                  <c:v>107.88135805200038</c:v>
                </c:pt>
                <c:pt idx="1">
                  <c:v>106.79630875999985</c:v>
                </c:pt>
                <c:pt idx="2">
                  <c:v>124.77749660000056</c:v>
                </c:pt>
                <c:pt idx="3">
                  <c:v>119.58731484599919</c:v>
                </c:pt>
                <c:pt idx="4">
                  <c:v>120.35012729400026</c:v>
                </c:pt>
                <c:pt idx="5">
                  <c:v>105.77221650599999</c:v>
                </c:pt>
                <c:pt idx="6">
                  <c:v>98.458093232000152</c:v>
                </c:pt>
                <c:pt idx="7">
                  <c:v>99.757455161999815</c:v>
                </c:pt>
                <c:pt idx="8">
                  <c:v>88.95906277600065</c:v>
                </c:pt>
                <c:pt idx="9">
                  <c:v>97.591731657999432</c:v>
                </c:pt>
                <c:pt idx="10">
                  <c:v>91.420214731999963</c:v>
                </c:pt>
                <c:pt idx="11">
                  <c:v>99.253143072000128</c:v>
                </c:pt>
                <c:pt idx="12">
                  <c:v>81.108525740000388</c:v>
                </c:pt>
                <c:pt idx="13">
                  <c:v>77.843521599999278</c:v>
                </c:pt>
                <c:pt idx="14">
                  <c:v>81.147773526000762</c:v>
                </c:pt>
                <c:pt idx="15">
                  <c:v>80.801034311999544</c:v>
                </c:pt>
                <c:pt idx="16">
                  <c:v>92.883437954000257</c:v>
                </c:pt>
                <c:pt idx="17">
                  <c:v>73.970259667999912</c:v>
                </c:pt>
                <c:pt idx="18">
                  <c:v>59.893059246000249</c:v>
                </c:pt>
                <c:pt idx="19">
                  <c:v>56.403515999999868</c:v>
                </c:pt>
                <c:pt idx="20">
                  <c:v>87.476849279999485</c:v>
                </c:pt>
                <c:pt idx="21">
                  <c:v>94.27746432200037</c:v>
                </c:pt>
                <c:pt idx="22">
                  <c:v>71.359911038000021</c:v>
                </c:pt>
                <c:pt idx="23">
                  <c:v>75.372917997999579</c:v>
                </c:pt>
                <c:pt idx="24">
                  <c:v>73.951607154000314</c:v>
                </c:pt>
                <c:pt idx="25">
                  <c:v>88.363976406000475</c:v>
                </c:pt>
                <c:pt idx="26">
                  <c:v>76.196114011999384</c:v>
                </c:pt>
                <c:pt idx="27">
                  <c:v>74.181140028000016</c:v>
                </c:pt>
                <c:pt idx="28">
                  <c:v>76.000416010000336</c:v>
                </c:pt>
                <c:pt idx="29">
                  <c:v>62.410825923999774</c:v>
                </c:pt>
                <c:pt idx="30">
                  <c:v>65.165746878000078</c:v>
                </c:pt>
                <c:pt idx="31">
                  <c:v>61.746009000000413</c:v>
                </c:pt>
                <c:pt idx="32">
                  <c:v>70.320572835999727</c:v>
                </c:pt>
                <c:pt idx="33">
                  <c:v>60.116614275999673</c:v>
                </c:pt>
                <c:pt idx="34">
                  <c:v>82.003756379999714</c:v>
                </c:pt>
                <c:pt idx="35">
                  <c:v>79.076439846000653</c:v>
                </c:pt>
                <c:pt idx="36">
                  <c:v>79.006717319999424</c:v>
                </c:pt>
                <c:pt idx="37">
                  <c:v>64.202171916000665</c:v>
                </c:pt>
                <c:pt idx="38">
                  <c:v>63.245197533999587</c:v>
                </c:pt>
                <c:pt idx="39">
                  <c:v>68.850626578000103</c:v>
                </c:pt>
                <c:pt idx="40">
                  <c:v>68.119414094000135</c:v>
                </c:pt>
                <c:pt idx="41">
                  <c:v>96.709272532000242</c:v>
                </c:pt>
                <c:pt idx="42">
                  <c:v>69.374099871999704</c:v>
                </c:pt>
                <c:pt idx="43">
                  <c:v>94.226937927999998</c:v>
                </c:pt>
                <c:pt idx="44">
                  <c:v>112.94239189800008</c:v>
                </c:pt>
                <c:pt idx="45">
                  <c:v>122.23474632144273</c:v>
                </c:pt>
                <c:pt idx="46">
                  <c:v>122.23474632144273</c:v>
                </c:pt>
                <c:pt idx="47">
                  <c:v>122.23474632144273</c:v>
                </c:pt>
                <c:pt idx="48">
                  <c:v>122.23474632144273</c:v>
                </c:pt>
                <c:pt idx="49">
                  <c:v>122.23474632144273</c:v>
                </c:pt>
                <c:pt idx="50">
                  <c:v>122.23474632144273</c:v>
                </c:pt>
                <c:pt idx="51">
                  <c:v>118.39809074400038</c:v>
                </c:pt>
                <c:pt idx="52">
                  <c:v>100.02392709400036</c:v>
                </c:pt>
                <c:pt idx="53">
                  <c:v>62.946316363999244</c:v>
                </c:pt>
                <c:pt idx="54">
                  <c:v>95.437508968000529</c:v>
                </c:pt>
                <c:pt idx="55">
                  <c:v>86.890734556000154</c:v>
                </c:pt>
                <c:pt idx="56">
                  <c:v>94.1496125179996</c:v>
                </c:pt>
                <c:pt idx="57">
                  <c:v>72.37554608999983</c:v>
                </c:pt>
                <c:pt idx="58">
                  <c:v>105.78097549199975</c:v>
                </c:pt>
                <c:pt idx="59">
                  <c:v>123.04544911502903</c:v>
                </c:pt>
                <c:pt idx="60">
                  <c:v>123.04544911502903</c:v>
                </c:pt>
                <c:pt idx="61">
                  <c:v>123.04544911502903</c:v>
                </c:pt>
                <c:pt idx="62">
                  <c:v>123.04544911502903</c:v>
                </c:pt>
                <c:pt idx="63">
                  <c:v>123.04544911502903</c:v>
                </c:pt>
                <c:pt idx="64">
                  <c:v>123.04544911502903</c:v>
                </c:pt>
                <c:pt idx="65">
                  <c:v>123.04544911502903</c:v>
                </c:pt>
                <c:pt idx="66">
                  <c:v>123.04544911502903</c:v>
                </c:pt>
                <c:pt idx="67">
                  <c:v>123.04544911502903</c:v>
                </c:pt>
                <c:pt idx="68">
                  <c:v>123.04544911502903</c:v>
                </c:pt>
                <c:pt idx="69">
                  <c:v>123.04544911502903</c:v>
                </c:pt>
                <c:pt idx="70">
                  <c:v>123.04544911502903</c:v>
                </c:pt>
                <c:pt idx="71">
                  <c:v>123.04544911502903</c:v>
                </c:pt>
                <c:pt idx="72">
                  <c:v>123.04544911502903</c:v>
                </c:pt>
                <c:pt idx="73">
                  <c:v>123.04544911502903</c:v>
                </c:pt>
                <c:pt idx="74">
                  <c:v>123.04544911502903</c:v>
                </c:pt>
                <c:pt idx="75">
                  <c:v>123.04544911502903</c:v>
                </c:pt>
                <c:pt idx="76">
                  <c:v>123.04544911502903</c:v>
                </c:pt>
                <c:pt idx="77">
                  <c:v>123.04544911502903</c:v>
                </c:pt>
                <c:pt idx="78">
                  <c:v>123.04544911502903</c:v>
                </c:pt>
                <c:pt idx="79">
                  <c:v>123.04544911502903</c:v>
                </c:pt>
                <c:pt idx="80">
                  <c:v>123.04544911502903</c:v>
                </c:pt>
                <c:pt idx="81">
                  <c:v>123.04544911502903</c:v>
                </c:pt>
                <c:pt idx="82">
                  <c:v>123.04544911502903</c:v>
                </c:pt>
                <c:pt idx="83">
                  <c:v>123.04544911502903</c:v>
                </c:pt>
                <c:pt idx="84">
                  <c:v>123.04544911502903</c:v>
                </c:pt>
                <c:pt idx="85">
                  <c:v>123.04544911502903</c:v>
                </c:pt>
                <c:pt idx="86">
                  <c:v>123.04544911502903</c:v>
                </c:pt>
                <c:pt idx="87">
                  <c:v>123.04544911502903</c:v>
                </c:pt>
                <c:pt idx="88">
                  <c:v>123.04544911502903</c:v>
                </c:pt>
                <c:pt idx="89">
                  <c:v>123.04544911502903</c:v>
                </c:pt>
                <c:pt idx="90">
                  <c:v>124.98173132994</c:v>
                </c:pt>
                <c:pt idx="91">
                  <c:v>124.98173132994</c:v>
                </c:pt>
                <c:pt idx="92">
                  <c:v>124.98173132994</c:v>
                </c:pt>
                <c:pt idx="93">
                  <c:v>124.98173132994</c:v>
                </c:pt>
                <c:pt idx="94">
                  <c:v>124.98173132994</c:v>
                </c:pt>
                <c:pt idx="95">
                  <c:v>124.98173132994</c:v>
                </c:pt>
                <c:pt idx="96">
                  <c:v>124.98173132994</c:v>
                </c:pt>
                <c:pt idx="97">
                  <c:v>124.98173132994</c:v>
                </c:pt>
                <c:pt idx="98">
                  <c:v>124.98173132994</c:v>
                </c:pt>
                <c:pt idx="99">
                  <c:v>124.98173132994</c:v>
                </c:pt>
                <c:pt idx="100">
                  <c:v>124.98173132994</c:v>
                </c:pt>
                <c:pt idx="101">
                  <c:v>124.98173132994</c:v>
                </c:pt>
                <c:pt idx="102">
                  <c:v>124.98173132994</c:v>
                </c:pt>
                <c:pt idx="103">
                  <c:v>124.98173132994</c:v>
                </c:pt>
                <c:pt idx="104">
                  <c:v>124.98173132994</c:v>
                </c:pt>
                <c:pt idx="105">
                  <c:v>124.98173132994</c:v>
                </c:pt>
                <c:pt idx="106">
                  <c:v>124.98173132994</c:v>
                </c:pt>
                <c:pt idx="107">
                  <c:v>124.98173132994</c:v>
                </c:pt>
                <c:pt idx="108">
                  <c:v>124.98173132994</c:v>
                </c:pt>
                <c:pt idx="109">
                  <c:v>124.98173132994</c:v>
                </c:pt>
                <c:pt idx="110">
                  <c:v>124.98173132994</c:v>
                </c:pt>
                <c:pt idx="111">
                  <c:v>124.98173132994</c:v>
                </c:pt>
                <c:pt idx="112">
                  <c:v>124.98173132994</c:v>
                </c:pt>
                <c:pt idx="113">
                  <c:v>124.98173132994</c:v>
                </c:pt>
                <c:pt idx="114">
                  <c:v>124.98173132994</c:v>
                </c:pt>
                <c:pt idx="115">
                  <c:v>124.98173132994</c:v>
                </c:pt>
                <c:pt idx="116">
                  <c:v>124.98173132994</c:v>
                </c:pt>
                <c:pt idx="117">
                  <c:v>124.98173132994</c:v>
                </c:pt>
                <c:pt idx="118">
                  <c:v>124.98173132994</c:v>
                </c:pt>
                <c:pt idx="119">
                  <c:v>124.98173132994</c:v>
                </c:pt>
                <c:pt idx="120">
                  <c:v>106.79032108965163</c:v>
                </c:pt>
                <c:pt idx="121">
                  <c:v>106.79032108965163</c:v>
                </c:pt>
                <c:pt idx="122">
                  <c:v>106.79032108965163</c:v>
                </c:pt>
                <c:pt idx="123">
                  <c:v>106.79032108965163</c:v>
                </c:pt>
                <c:pt idx="124">
                  <c:v>106.79032108965163</c:v>
                </c:pt>
                <c:pt idx="125">
                  <c:v>106.79032108965163</c:v>
                </c:pt>
                <c:pt idx="126">
                  <c:v>105.63689861999892</c:v>
                </c:pt>
                <c:pt idx="127">
                  <c:v>106.79032108965163</c:v>
                </c:pt>
                <c:pt idx="128">
                  <c:v>106.79032108965163</c:v>
                </c:pt>
                <c:pt idx="129">
                  <c:v>106.79032108965163</c:v>
                </c:pt>
                <c:pt idx="130">
                  <c:v>102.17908499999903</c:v>
                </c:pt>
                <c:pt idx="131">
                  <c:v>106.79032108965163</c:v>
                </c:pt>
                <c:pt idx="132">
                  <c:v>106.79032108965163</c:v>
                </c:pt>
                <c:pt idx="133">
                  <c:v>106.79032108965163</c:v>
                </c:pt>
                <c:pt idx="134">
                  <c:v>99.221303692001769</c:v>
                </c:pt>
                <c:pt idx="135">
                  <c:v>88.95393867199833</c:v>
                </c:pt>
                <c:pt idx="136">
                  <c:v>87.020850502001025</c:v>
                </c:pt>
                <c:pt idx="137">
                  <c:v>84.824577687999167</c:v>
                </c:pt>
                <c:pt idx="138">
                  <c:v>106.60432858400048</c:v>
                </c:pt>
                <c:pt idx="139">
                  <c:v>94.506611524000135</c:v>
                </c:pt>
                <c:pt idx="140">
                  <c:v>106.79032108965163</c:v>
                </c:pt>
                <c:pt idx="141">
                  <c:v>106.11552120600081</c:v>
                </c:pt>
                <c:pt idx="142">
                  <c:v>88.032414835999262</c:v>
                </c:pt>
                <c:pt idx="143">
                  <c:v>106.79032108965163</c:v>
                </c:pt>
                <c:pt idx="144">
                  <c:v>106.79032108965163</c:v>
                </c:pt>
                <c:pt idx="145">
                  <c:v>106.79032108965163</c:v>
                </c:pt>
                <c:pt idx="146">
                  <c:v>106.79032108965163</c:v>
                </c:pt>
                <c:pt idx="147">
                  <c:v>106.79032108965163</c:v>
                </c:pt>
                <c:pt idx="148">
                  <c:v>106.79032108965163</c:v>
                </c:pt>
                <c:pt idx="149">
                  <c:v>102.38139329200044</c:v>
                </c:pt>
                <c:pt idx="150">
                  <c:v>106.79032108965163</c:v>
                </c:pt>
                <c:pt idx="151">
                  <c:v>64.364342968573325</c:v>
                </c:pt>
                <c:pt idx="152">
                  <c:v>64.364342968573325</c:v>
                </c:pt>
                <c:pt idx="153">
                  <c:v>64.364342968573325</c:v>
                </c:pt>
                <c:pt idx="154">
                  <c:v>64.364342968573325</c:v>
                </c:pt>
                <c:pt idx="155">
                  <c:v>64.364342968573325</c:v>
                </c:pt>
                <c:pt idx="156">
                  <c:v>64.364342968573325</c:v>
                </c:pt>
                <c:pt idx="157">
                  <c:v>64.364342968573325</c:v>
                </c:pt>
                <c:pt idx="158">
                  <c:v>64.364342968573325</c:v>
                </c:pt>
                <c:pt idx="159">
                  <c:v>64.364342968573325</c:v>
                </c:pt>
                <c:pt idx="160">
                  <c:v>64.364342968573325</c:v>
                </c:pt>
                <c:pt idx="161">
                  <c:v>64.364342968573325</c:v>
                </c:pt>
                <c:pt idx="162">
                  <c:v>64.364342968573325</c:v>
                </c:pt>
                <c:pt idx="163">
                  <c:v>64.364342968573325</c:v>
                </c:pt>
                <c:pt idx="164">
                  <c:v>64.364342968573325</c:v>
                </c:pt>
                <c:pt idx="165">
                  <c:v>64.364342968573325</c:v>
                </c:pt>
                <c:pt idx="166">
                  <c:v>64.364342968573325</c:v>
                </c:pt>
                <c:pt idx="167">
                  <c:v>64.364342968573325</c:v>
                </c:pt>
                <c:pt idx="168">
                  <c:v>64.364342968573325</c:v>
                </c:pt>
                <c:pt idx="169">
                  <c:v>64.364342968573325</c:v>
                </c:pt>
                <c:pt idx="170">
                  <c:v>64.364342968573325</c:v>
                </c:pt>
                <c:pt idx="171">
                  <c:v>64.364342968573325</c:v>
                </c:pt>
                <c:pt idx="172">
                  <c:v>64.364342968573325</c:v>
                </c:pt>
                <c:pt idx="173">
                  <c:v>64.364342968573325</c:v>
                </c:pt>
                <c:pt idx="174">
                  <c:v>64.364342968573325</c:v>
                </c:pt>
                <c:pt idx="175">
                  <c:v>64.364342968573325</c:v>
                </c:pt>
                <c:pt idx="176">
                  <c:v>64.364342968573325</c:v>
                </c:pt>
                <c:pt idx="177">
                  <c:v>64.364342968573325</c:v>
                </c:pt>
                <c:pt idx="178">
                  <c:v>64.364342968573325</c:v>
                </c:pt>
                <c:pt idx="179">
                  <c:v>64.364342968573325</c:v>
                </c:pt>
                <c:pt idx="180">
                  <c:v>64.364342968573325</c:v>
                </c:pt>
                <c:pt idx="181">
                  <c:v>28.016997662909688</c:v>
                </c:pt>
                <c:pt idx="182">
                  <c:v>28.016997662909688</c:v>
                </c:pt>
                <c:pt idx="183">
                  <c:v>28.016997662909688</c:v>
                </c:pt>
                <c:pt idx="184">
                  <c:v>28.016997662909688</c:v>
                </c:pt>
                <c:pt idx="185">
                  <c:v>28.016997662909688</c:v>
                </c:pt>
                <c:pt idx="186">
                  <c:v>28.016997662909688</c:v>
                </c:pt>
                <c:pt idx="187">
                  <c:v>28.016997662909688</c:v>
                </c:pt>
                <c:pt idx="188">
                  <c:v>28.016997662909688</c:v>
                </c:pt>
                <c:pt idx="189">
                  <c:v>28.016997662909688</c:v>
                </c:pt>
                <c:pt idx="190">
                  <c:v>28.016997662909688</c:v>
                </c:pt>
                <c:pt idx="191">
                  <c:v>28.016997662909688</c:v>
                </c:pt>
                <c:pt idx="192">
                  <c:v>28.016997662909688</c:v>
                </c:pt>
                <c:pt idx="193">
                  <c:v>28.016997662909688</c:v>
                </c:pt>
                <c:pt idx="194">
                  <c:v>22.407540530000581</c:v>
                </c:pt>
                <c:pt idx="195">
                  <c:v>6.4594428000008488</c:v>
                </c:pt>
                <c:pt idx="196">
                  <c:v>7.1025660679983993</c:v>
                </c:pt>
                <c:pt idx="197">
                  <c:v>5.5651982060000442</c:v>
                </c:pt>
                <c:pt idx="198">
                  <c:v>6.9440533500001038</c:v>
                </c:pt>
                <c:pt idx="199">
                  <c:v>8.0249501500002083</c:v>
                </c:pt>
                <c:pt idx="200">
                  <c:v>5.3168332739994799</c:v>
                </c:pt>
                <c:pt idx="201">
                  <c:v>4.3119792700016841</c:v>
                </c:pt>
                <c:pt idx="202">
                  <c:v>3.1189806419999369</c:v>
                </c:pt>
                <c:pt idx="203">
                  <c:v>28.016997662909688</c:v>
                </c:pt>
                <c:pt idx="204">
                  <c:v>28.016997662909688</c:v>
                </c:pt>
                <c:pt idx="205">
                  <c:v>28.016997662909688</c:v>
                </c:pt>
                <c:pt idx="206">
                  <c:v>28.016997662909688</c:v>
                </c:pt>
                <c:pt idx="207">
                  <c:v>28.016997662909688</c:v>
                </c:pt>
                <c:pt idx="208">
                  <c:v>28.016997662909688</c:v>
                </c:pt>
                <c:pt idx="209">
                  <c:v>28.016997662909688</c:v>
                </c:pt>
                <c:pt idx="210">
                  <c:v>28.016997662909688</c:v>
                </c:pt>
                <c:pt idx="211">
                  <c:v>28.016997662909688</c:v>
                </c:pt>
                <c:pt idx="212">
                  <c:v>16.99706947525484</c:v>
                </c:pt>
                <c:pt idx="213">
                  <c:v>16.99706947525484</c:v>
                </c:pt>
                <c:pt idx="214">
                  <c:v>16.99706947525484</c:v>
                </c:pt>
                <c:pt idx="215">
                  <c:v>16.99706947525484</c:v>
                </c:pt>
                <c:pt idx="216">
                  <c:v>16.99706947525484</c:v>
                </c:pt>
                <c:pt idx="217">
                  <c:v>16.99706947525484</c:v>
                </c:pt>
                <c:pt idx="218">
                  <c:v>16.99706947525484</c:v>
                </c:pt>
                <c:pt idx="219">
                  <c:v>16.99706947525484</c:v>
                </c:pt>
                <c:pt idx="220">
                  <c:v>16.99706947525484</c:v>
                </c:pt>
                <c:pt idx="221">
                  <c:v>16.99706947525484</c:v>
                </c:pt>
                <c:pt idx="222">
                  <c:v>16.99706947525484</c:v>
                </c:pt>
                <c:pt idx="223">
                  <c:v>16.99706947525484</c:v>
                </c:pt>
                <c:pt idx="224">
                  <c:v>16.99706947525484</c:v>
                </c:pt>
                <c:pt idx="225">
                  <c:v>16.99706947525484</c:v>
                </c:pt>
                <c:pt idx="226">
                  <c:v>16.99706947525484</c:v>
                </c:pt>
                <c:pt idx="227">
                  <c:v>16.99706947525484</c:v>
                </c:pt>
                <c:pt idx="228">
                  <c:v>16.99706947525484</c:v>
                </c:pt>
                <c:pt idx="229">
                  <c:v>16.99706947525484</c:v>
                </c:pt>
                <c:pt idx="230">
                  <c:v>16.99706947525484</c:v>
                </c:pt>
                <c:pt idx="231">
                  <c:v>16.99706947525484</c:v>
                </c:pt>
                <c:pt idx="232">
                  <c:v>16.99706947525484</c:v>
                </c:pt>
                <c:pt idx="233">
                  <c:v>16.99706947525484</c:v>
                </c:pt>
                <c:pt idx="234">
                  <c:v>16.99706947525484</c:v>
                </c:pt>
                <c:pt idx="235">
                  <c:v>16.99706947525484</c:v>
                </c:pt>
                <c:pt idx="236">
                  <c:v>11.077330043241608</c:v>
                </c:pt>
                <c:pt idx="237">
                  <c:v>13.507207849243466</c:v>
                </c:pt>
                <c:pt idx="238">
                  <c:v>16.99706947525484</c:v>
                </c:pt>
                <c:pt idx="239">
                  <c:v>16.99706947525484</c:v>
                </c:pt>
                <c:pt idx="240">
                  <c:v>16.99706947525484</c:v>
                </c:pt>
                <c:pt idx="241">
                  <c:v>16.99706947525484</c:v>
                </c:pt>
                <c:pt idx="242">
                  <c:v>16.99706947525484</c:v>
                </c:pt>
                <c:pt idx="243">
                  <c:v>16.292057982035747</c:v>
                </c:pt>
                <c:pt idx="244">
                  <c:v>22.743378673520009</c:v>
                </c:pt>
                <c:pt idx="245">
                  <c:v>22.743378673520009</c:v>
                </c:pt>
                <c:pt idx="246">
                  <c:v>22.743378673520009</c:v>
                </c:pt>
                <c:pt idx="247">
                  <c:v>22.743378673520009</c:v>
                </c:pt>
                <c:pt idx="248">
                  <c:v>22.743378673520009</c:v>
                </c:pt>
                <c:pt idx="249">
                  <c:v>22.743378673520009</c:v>
                </c:pt>
                <c:pt idx="250">
                  <c:v>22.743378673520009</c:v>
                </c:pt>
                <c:pt idx="251">
                  <c:v>19.454866435248455</c:v>
                </c:pt>
                <c:pt idx="252">
                  <c:v>22.743378673520009</c:v>
                </c:pt>
                <c:pt idx="253">
                  <c:v>22.743378673520009</c:v>
                </c:pt>
                <c:pt idx="254">
                  <c:v>22.743378673520009</c:v>
                </c:pt>
                <c:pt idx="255">
                  <c:v>22.743378673520009</c:v>
                </c:pt>
                <c:pt idx="256">
                  <c:v>22.743378673520009</c:v>
                </c:pt>
                <c:pt idx="257">
                  <c:v>15.31814298380255</c:v>
                </c:pt>
                <c:pt idx="258">
                  <c:v>8.5638278258025533</c:v>
                </c:pt>
                <c:pt idx="259">
                  <c:v>14.358251075802553</c:v>
                </c:pt>
                <c:pt idx="260">
                  <c:v>22.743378673520009</c:v>
                </c:pt>
                <c:pt idx="261">
                  <c:v>22.743378673520009</c:v>
                </c:pt>
                <c:pt idx="262">
                  <c:v>22.743378673520009</c:v>
                </c:pt>
                <c:pt idx="263">
                  <c:v>22.743378673520009</c:v>
                </c:pt>
                <c:pt idx="264">
                  <c:v>15.696338941696435</c:v>
                </c:pt>
                <c:pt idx="265">
                  <c:v>5.7461719036982979</c:v>
                </c:pt>
                <c:pt idx="266">
                  <c:v>18.109064911696436</c:v>
                </c:pt>
                <c:pt idx="267">
                  <c:v>18.974976891696439</c:v>
                </c:pt>
                <c:pt idx="268">
                  <c:v>10.52124702121337</c:v>
                </c:pt>
                <c:pt idx="269">
                  <c:v>10.045401815213365</c:v>
                </c:pt>
                <c:pt idx="270">
                  <c:v>10.143655751212435</c:v>
                </c:pt>
                <c:pt idx="271">
                  <c:v>8.887261627213368</c:v>
                </c:pt>
                <c:pt idx="272">
                  <c:v>8.1643874632124351</c:v>
                </c:pt>
                <c:pt idx="273">
                  <c:v>7.4216474952133646</c:v>
                </c:pt>
                <c:pt idx="274">
                  <c:v>4.6011112072124378</c:v>
                </c:pt>
                <c:pt idx="275">
                  <c:v>2.3978887607003272</c:v>
                </c:pt>
                <c:pt idx="276">
                  <c:v>7.0165802647012603</c:v>
                </c:pt>
                <c:pt idx="277">
                  <c:v>5.9194570727003306</c:v>
                </c:pt>
                <c:pt idx="278">
                  <c:v>3.939688852700332</c:v>
                </c:pt>
                <c:pt idx="279">
                  <c:v>1.9628066107003288</c:v>
                </c:pt>
                <c:pt idx="280">
                  <c:v>2.4994595447012617</c:v>
                </c:pt>
                <c:pt idx="281">
                  <c:v>5.0656057527003284</c:v>
                </c:pt>
                <c:pt idx="282">
                  <c:v>29.894012912888815</c:v>
                </c:pt>
                <c:pt idx="283">
                  <c:v>25.388038768888816</c:v>
                </c:pt>
                <c:pt idx="284">
                  <c:v>26.27798922088882</c:v>
                </c:pt>
                <c:pt idx="285">
                  <c:v>14.195625838888816</c:v>
                </c:pt>
                <c:pt idx="286">
                  <c:v>17.403796476889749</c:v>
                </c:pt>
                <c:pt idx="287">
                  <c:v>36.206548392888813</c:v>
                </c:pt>
                <c:pt idx="288">
                  <c:v>45.741764250654825</c:v>
                </c:pt>
                <c:pt idx="289">
                  <c:v>45.741764250654825</c:v>
                </c:pt>
                <c:pt idx="290">
                  <c:v>45.741764250654825</c:v>
                </c:pt>
                <c:pt idx="291">
                  <c:v>45.741764250654825</c:v>
                </c:pt>
                <c:pt idx="292">
                  <c:v>45.242321974987419</c:v>
                </c:pt>
                <c:pt idx="293">
                  <c:v>45.741764250654825</c:v>
                </c:pt>
                <c:pt idx="294">
                  <c:v>43.95936786498649</c:v>
                </c:pt>
                <c:pt idx="295">
                  <c:v>42.411564610986488</c:v>
                </c:pt>
                <c:pt idx="296">
                  <c:v>31.902728314450048</c:v>
                </c:pt>
                <c:pt idx="297">
                  <c:v>45.741764250654825</c:v>
                </c:pt>
                <c:pt idx="298">
                  <c:v>45.741764250654825</c:v>
                </c:pt>
                <c:pt idx="299">
                  <c:v>19.223126686450051</c:v>
                </c:pt>
                <c:pt idx="300">
                  <c:v>11.362558718450048</c:v>
                </c:pt>
                <c:pt idx="301">
                  <c:v>16.34274554445005</c:v>
                </c:pt>
                <c:pt idx="302">
                  <c:v>45.741764250654825</c:v>
                </c:pt>
                <c:pt idx="303">
                  <c:v>45.741764250654825</c:v>
                </c:pt>
                <c:pt idx="304">
                  <c:v>43.411714616363618</c:v>
                </c:pt>
                <c:pt idx="305">
                  <c:v>47.068532798362689</c:v>
                </c:pt>
                <c:pt idx="306">
                  <c:v>47.236419606363619</c:v>
                </c:pt>
                <c:pt idx="307">
                  <c:v>43.311584924363629</c:v>
                </c:pt>
                <c:pt idx="308">
                  <c:v>57.854179662362696</c:v>
                </c:pt>
                <c:pt idx="309">
                  <c:v>48.895141674363622</c:v>
                </c:pt>
                <c:pt idx="310">
                  <c:v>80.413851096189973</c:v>
                </c:pt>
                <c:pt idx="311">
                  <c:v>80.413851096189973</c:v>
                </c:pt>
                <c:pt idx="312">
                  <c:v>80.413851096189973</c:v>
                </c:pt>
                <c:pt idx="313">
                  <c:v>80.413851096189973</c:v>
                </c:pt>
                <c:pt idx="314">
                  <c:v>80.413851096189973</c:v>
                </c:pt>
                <c:pt idx="315">
                  <c:v>80.413851096189973</c:v>
                </c:pt>
                <c:pt idx="316">
                  <c:v>80.413851096189973</c:v>
                </c:pt>
                <c:pt idx="317">
                  <c:v>80.413851096189973</c:v>
                </c:pt>
                <c:pt idx="318">
                  <c:v>80.413851096189973</c:v>
                </c:pt>
                <c:pt idx="319">
                  <c:v>80.413851096189973</c:v>
                </c:pt>
                <c:pt idx="320">
                  <c:v>76.280739461739188</c:v>
                </c:pt>
                <c:pt idx="321">
                  <c:v>72.245325381739178</c:v>
                </c:pt>
                <c:pt idx="322">
                  <c:v>80.413851096189973</c:v>
                </c:pt>
                <c:pt idx="323">
                  <c:v>80.413851096189973</c:v>
                </c:pt>
                <c:pt idx="324">
                  <c:v>80.413851096189973</c:v>
                </c:pt>
                <c:pt idx="325">
                  <c:v>80.413851096189973</c:v>
                </c:pt>
                <c:pt idx="326">
                  <c:v>80.413851096189973</c:v>
                </c:pt>
                <c:pt idx="327">
                  <c:v>71.455035399573006</c:v>
                </c:pt>
                <c:pt idx="328">
                  <c:v>73.540535463573931</c:v>
                </c:pt>
                <c:pt idx="329">
                  <c:v>80.413851096189973</c:v>
                </c:pt>
                <c:pt idx="330">
                  <c:v>80.413851096189973</c:v>
                </c:pt>
                <c:pt idx="331">
                  <c:v>80.413851096189973</c:v>
                </c:pt>
                <c:pt idx="332">
                  <c:v>80.413851096189973</c:v>
                </c:pt>
                <c:pt idx="333">
                  <c:v>80.413851096189973</c:v>
                </c:pt>
                <c:pt idx="334">
                  <c:v>90.377634360286791</c:v>
                </c:pt>
                <c:pt idx="335">
                  <c:v>84.844575290285846</c:v>
                </c:pt>
                <c:pt idx="336">
                  <c:v>101.95753277636452</c:v>
                </c:pt>
                <c:pt idx="337">
                  <c:v>101.95753277636452</c:v>
                </c:pt>
                <c:pt idx="338">
                  <c:v>87.494353344428589</c:v>
                </c:pt>
                <c:pt idx="339">
                  <c:v>77.762694294428599</c:v>
                </c:pt>
                <c:pt idx="340">
                  <c:v>62.162336000428596</c:v>
                </c:pt>
                <c:pt idx="341">
                  <c:v>55.688550724428588</c:v>
                </c:pt>
                <c:pt idx="342">
                  <c:v>55.537228698428592</c:v>
                </c:pt>
                <c:pt idx="343">
                  <c:v>67.036373550428593</c:v>
                </c:pt>
                <c:pt idx="344">
                  <c:v>96.08555970442859</c:v>
                </c:pt>
                <c:pt idx="345">
                  <c:v>101.95753277636452</c:v>
                </c:pt>
                <c:pt idx="346">
                  <c:v>84.336611072275517</c:v>
                </c:pt>
                <c:pt idx="347">
                  <c:v>86.406546054275523</c:v>
                </c:pt>
                <c:pt idx="348">
                  <c:v>74.523278642275514</c:v>
                </c:pt>
                <c:pt idx="349">
                  <c:v>69.943454598275508</c:v>
                </c:pt>
                <c:pt idx="350">
                  <c:v>101.95753277636452</c:v>
                </c:pt>
                <c:pt idx="351">
                  <c:v>93.909404482275505</c:v>
                </c:pt>
                <c:pt idx="352">
                  <c:v>100.34904894998714</c:v>
                </c:pt>
                <c:pt idx="353">
                  <c:v>101.95753277636452</c:v>
                </c:pt>
                <c:pt idx="354">
                  <c:v>94.125245369987141</c:v>
                </c:pt>
                <c:pt idx="355">
                  <c:v>95.900655389987136</c:v>
                </c:pt>
                <c:pt idx="356">
                  <c:v>90.088321709987142</c:v>
                </c:pt>
                <c:pt idx="357">
                  <c:v>92.536635409987142</c:v>
                </c:pt>
                <c:pt idx="358">
                  <c:v>78.138331777987133</c:v>
                </c:pt>
                <c:pt idx="359">
                  <c:v>80.337816800517686</c:v>
                </c:pt>
                <c:pt idx="360">
                  <c:v>100.55993795651675</c:v>
                </c:pt>
                <c:pt idx="361">
                  <c:v>78.452111536517677</c:v>
                </c:pt>
                <c:pt idx="362">
                  <c:v>61.675687186517678</c:v>
                </c:pt>
                <c:pt idx="363">
                  <c:v>62.068217364517679</c:v>
                </c:pt>
                <c:pt idx="364">
                  <c:v>67.649633472517692</c:v>
                </c:pt>
              </c:numCache>
            </c:numRef>
          </c:val>
        </c:ser>
        <c:ser>
          <c:idx val="3"/>
          <c:order val="3"/>
          <c:dLbls>
            <c:dLbl>
              <c:idx val="14"/>
              <c:layout>
                <c:manualLayout>
                  <c:x val="-5.4229934924078091E-3"/>
                  <c:y val="-0.1138519924098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"/>
                  <c:y val="-0.12228547332911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-1.8076644974692696E-3"/>
                  <c:y val="-3.7950664136622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0"/>
                  <c:y val="-3.3733923676997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5"/>
              <c:layout>
                <c:manualLayout>
                  <c:x val="5.4229934924078091E-3"/>
                  <c:y val="-8.433480919249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6"/>
              <c:layout>
                <c:manualLayout>
                  <c:x val="-1.8076644974692696E-3"/>
                  <c:y val="-7.168458781362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7"/>
              <c:layout>
                <c:manualLayout>
                  <c:x val="0"/>
                  <c:y val="-7.5901328273244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7"/>
              <c:layout>
                <c:manualLayout>
                  <c:x val="-1.0845986984815618E-2"/>
                  <c:y val="-7.168458781362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8"/>
              <c:layout>
                <c:manualLayout>
                  <c:x val="1.8076644974692696E-3"/>
                  <c:y val="-0.122285473329116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8"/>
              <c:layout>
                <c:manualLayout>
                  <c:x val="0"/>
                  <c:y val="-0.109635251950242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'Data 4'!$G$8:$G$372</c:f>
              <c:numCache>
                <c:formatCode>General</c:formatCode>
                <c:ptCount val="365"/>
                <c:pt idx="14" formatCode="0\ \ \ \ _)">
                  <c:v>124.98280708097418</c:v>
                </c:pt>
                <c:pt idx="45" formatCode="0\ \ \ \ _)">
                  <c:v>122.23474632144273</c:v>
                </c:pt>
                <c:pt idx="73" formatCode="0\ \ \ \ _)">
                  <c:v>123.04544911502903</c:v>
                </c:pt>
                <c:pt idx="104" formatCode="0\ \ \ \ _)">
                  <c:v>124.98173132994</c:v>
                </c:pt>
                <c:pt idx="134" formatCode="0\ \ \ \ _)">
                  <c:v>106.79032108965163</c:v>
                </c:pt>
                <c:pt idx="165" formatCode="0\ \ \ \ _)">
                  <c:v>64.364342968573325</c:v>
                </c:pt>
                <c:pt idx="195" formatCode="0\ \ \ \ _)">
                  <c:v>28.016997662909688</c:v>
                </c:pt>
                <c:pt idx="226" formatCode="0\ \ \ \ _)">
                  <c:v>16.99706947525484</c:v>
                </c:pt>
                <c:pt idx="257" formatCode="0\ \ \ \ _)">
                  <c:v>22.743378673520009</c:v>
                </c:pt>
                <c:pt idx="287" formatCode="0\ \ \ \ _)">
                  <c:v>45.741764250654825</c:v>
                </c:pt>
                <c:pt idx="318" formatCode="0\ \ \ \ _)">
                  <c:v>80.413851096189973</c:v>
                </c:pt>
                <c:pt idx="348" formatCode="0\ \ \ \ _)">
                  <c:v>101.95753277636452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4672"/>
        <c:axId val="337745064"/>
      </c:areaChart>
      <c:catAx>
        <c:axId val="337743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one"/>
        <c:spPr>
          <a:ln w="3175">
            <a:solidFill>
              <a:srgbClr val="A6A6A6"/>
            </a:solidFill>
            <a:prstDash val="solid"/>
          </a:ln>
        </c:spPr>
        <c:crossAx val="337744280"/>
        <c:crosses val="autoZero"/>
        <c:auto val="0"/>
        <c:lblAlgn val="ctr"/>
        <c:lblOffset val="100"/>
        <c:tickMarkSkip val="1"/>
        <c:noMultiLvlLbl val="0"/>
      </c:catAx>
      <c:valAx>
        <c:axId val="337744280"/>
        <c:scaling>
          <c:orientation val="minMax"/>
          <c:max val="5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888"/>
        <c:crosses val="autoZero"/>
        <c:crossBetween val="midCat"/>
        <c:majorUnit val="100"/>
        <c:minorUnit val="50"/>
      </c:valAx>
      <c:catAx>
        <c:axId val="33774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337745064"/>
        <c:crosses val="autoZero"/>
        <c:auto val="0"/>
        <c:lblAlgn val="ctr"/>
        <c:lblOffset val="100"/>
        <c:noMultiLvlLbl val="0"/>
      </c:catAx>
      <c:valAx>
        <c:axId val="337745064"/>
        <c:scaling>
          <c:orientation val="minMax"/>
        </c:scaling>
        <c:delete val="1"/>
        <c:axPos val="l"/>
        <c:numFmt formatCode="0\ \ \ \ _)" sourceLinked="1"/>
        <c:majorTickMark val="out"/>
        <c:minorTickMark val="none"/>
        <c:tickLblPos val="nextTo"/>
        <c:crossAx val="33774467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-4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73469387755103"/>
          <c:y val="0.18462652564469048"/>
          <c:w val="0.68571428571428572"/>
          <c:h val="0.64087696958672247"/>
        </c:manualLayout>
      </c:layout>
      <c:areaChart>
        <c:grouping val="standard"/>
        <c:varyColors val="0"/>
        <c:ser>
          <c:idx val="7"/>
          <c:order val="0"/>
          <c:spPr>
            <a:solidFill>
              <a:srgbClr val="C0C0FF"/>
            </a:solidFill>
            <a:ln w="25400">
              <a:noFill/>
            </a:ln>
          </c:spP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2014 Enero</c:v>
                </c:pt>
                <c:pt idx="2">
                  <c:v>2014 Febrero</c:v>
                </c:pt>
                <c:pt idx="3">
                  <c:v>2014 Marzo</c:v>
                </c:pt>
                <c:pt idx="4">
                  <c:v>2014 Abril</c:v>
                </c:pt>
                <c:pt idx="5">
                  <c:v>2014 Mayo</c:v>
                </c:pt>
                <c:pt idx="6">
                  <c:v>2014 Junio</c:v>
                </c:pt>
                <c:pt idx="7">
                  <c:v>2014 Julio</c:v>
                </c:pt>
                <c:pt idx="8">
                  <c:v>2014 Agosto</c:v>
                </c:pt>
                <c:pt idx="9">
                  <c:v>2014 Septiembre</c:v>
                </c:pt>
                <c:pt idx="10">
                  <c:v>2014 Octubre</c:v>
                </c:pt>
                <c:pt idx="11">
                  <c:v>2014 Noviembre</c:v>
                </c:pt>
                <c:pt idx="12">
                  <c:v>2014 Diciembre</c:v>
                </c:pt>
                <c:pt idx="13">
                  <c:v>2015 Enero</c:v>
                </c:pt>
                <c:pt idx="14">
                  <c:v>2015 Febrero</c:v>
                </c:pt>
                <c:pt idx="15">
                  <c:v>2015 Marzo</c:v>
                </c:pt>
                <c:pt idx="16">
                  <c:v>2015 Abril</c:v>
                </c:pt>
                <c:pt idx="17">
                  <c:v>2015 Mayo</c:v>
                </c:pt>
                <c:pt idx="18">
                  <c:v>2015 Junio</c:v>
                </c:pt>
                <c:pt idx="19">
                  <c:v>2015 Julio</c:v>
                </c:pt>
                <c:pt idx="20">
                  <c:v>2015 Agosto</c:v>
                </c:pt>
                <c:pt idx="21">
                  <c:v>2015 Septiembre</c:v>
                </c:pt>
                <c:pt idx="22">
                  <c:v>2015 Octubre</c:v>
                </c:pt>
                <c:pt idx="23">
                  <c:v>2015 Noviembre</c:v>
                </c:pt>
                <c:pt idx="24">
                  <c:v>2015 Diciembre</c:v>
                </c:pt>
                <c:pt idx="25">
                  <c:v>2016 Enero</c:v>
                </c:pt>
                <c:pt idx="26">
                  <c:v>2016 Febrero</c:v>
                </c:pt>
                <c:pt idx="27">
                  <c:v>2016 Marzo</c:v>
                </c:pt>
                <c:pt idx="28">
                  <c:v>2016 Abril</c:v>
                </c:pt>
                <c:pt idx="29">
                  <c:v>2016 Mayo</c:v>
                </c:pt>
                <c:pt idx="30">
                  <c:v>2016 Junio</c:v>
                </c:pt>
                <c:pt idx="31">
                  <c:v>2016 Julio</c:v>
                </c:pt>
                <c:pt idx="32">
                  <c:v>2016 Agosto</c:v>
                </c:pt>
                <c:pt idx="33">
                  <c:v>2016 Septiembre</c:v>
                </c:pt>
                <c:pt idx="34">
                  <c:v>2016 Octubre</c:v>
                </c:pt>
                <c:pt idx="35">
                  <c:v>2016 Noviembre</c:v>
                </c:pt>
                <c:pt idx="36">
                  <c:v>2016 Diciembre</c:v>
                </c:pt>
                <c:pt idx="37">
                  <c:v>2017 Enero</c:v>
                </c:pt>
                <c:pt idx="38">
                  <c:v>2017 Febrero</c:v>
                </c:pt>
                <c:pt idx="39">
                  <c:v>2017 Marzo</c:v>
                </c:pt>
                <c:pt idx="40">
                  <c:v>2017 Abril</c:v>
                </c:pt>
                <c:pt idx="41">
                  <c:v>2017 Mayo</c:v>
                </c:pt>
                <c:pt idx="42">
                  <c:v>2017 Junio</c:v>
                </c:pt>
                <c:pt idx="43">
                  <c:v>2017 Julio</c:v>
                </c:pt>
                <c:pt idx="44">
                  <c:v>2017 Agosto</c:v>
                </c:pt>
                <c:pt idx="45">
                  <c:v>2017 Septiembre</c:v>
                </c:pt>
                <c:pt idx="46">
                  <c:v>2017 Octubre</c:v>
                </c:pt>
                <c:pt idx="47">
                  <c:v>2017 Noviembre</c:v>
                </c:pt>
                <c:pt idx="48">
                  <c:v>2017 Diciembre</c:v>
                </c:pt>
                <c:pt idx="49">
                  <c:v>2018 Enero</c:v>
                </c:pt>
                <c:pt idx="50">
                  <c:v>2018 Febrero</c:v>
                </c:pt>
                <c:pt idx="51">
                  <c:v>2018 Marzo</c:v>
                </c:pt>
                <c:pt idx="52">
                  <c:v>2018 Abril</c:v>
                </c:pt>
                <c:pt idx="53">
                  <c:v>2018 Mayo</c:v>
                </c:pt>
                <c:pt idx="54">
                  <c:v>2018 Junio</c:v>
                </c:pt>
                <c:pt idx="55">
                  <c:v>2018 Julio</c:v>
                </c:pt>
                <c:pt idx="56">
                  <c:v>2018 Agosto</c:v>
                </c:pt>
                <c:pt idx="57">
                  <c:v>2018 Septiembre</c:v>
                </c:pt>
                <c:pt idx="58">
                  <c:v>2018 Octubre</c:v>
                </c:pt>
                <c:pt idx="59">
                  <c:v>2018 Noviembre</c:v>
                </c:pt>
                <c:pt idx="60">
                  <c:v>2018 Diciembre</c:v>
                </c:pt>
              </c:strCache>
            </c:strRef>
          </c:cat>
          <c:val>
            <c:numRef>
              <c:f>'Data 4'!$F$378:$F$438</c:f>
              <c:numCache>
                <c:formatCode>#,##0\ _)</c:formatCode>
                <c:ptCount val="61"/>
                <c:pt idx="0">
                  <c:v>12834.4</c:v>
                </c:pt>
                <c:pt idx="1">
                  <c:v>12967.4</c:v>
                </c:pt>
                <c:pt idx="2">
                  <c:v>13367.5</c:v>
                </c:pt>
                <c:pt idx="3">
                  <c:v>13950.8</c:v>
                </c:pt>
                <c:pt idx="4">
                  <c:v>14112.5</c:v>
                </c:pt>
                <c:pt idx="5">
                  <c:v>14197.9</c:v>
                </c:pt>
                <c:pt idx="6">
                  <c:v>13730.3</c:v>
                </c:pt>
                <c:pt idx="7">
                  <c:v>12236</c:v>
                </c:pt>
                <c:pt idx="8">
                  <c:v>10925.4</c:v>
                </c:pt>
                <c:pt idx="9">
                  <c:v>9994.9</c:v>
                </c:pt>
                <c:pt idx="10">
                  <c:v>9589.9</c:v>
                </c:pt>
                <c:pt idx="11">
                  <c:v>10812.3</c:v>
                </c:pt>
                <c:pt idx="12">
                  <c:v>13000</c:v>
                </c:pt>
                <c:pt idx="13">
                  <c:v>13349.6</c:v>
                </c:pt>
                <c:pt idx="14">
                  <c:v>13349.6</c:v>
                </c:pt>
                <c:pt idx="15">
                  <c:v>13912.1</c:v>
                </c:pt>
                <c:pt idx="16">
                  <c:v>14074.2</c:v>
                </c:pt>
                <c:pt idx="17">
                  <c:v>14187.1</c:v>
                </c:pt>
                <c:pt idx="18">
                  <c:v>13746.6</c:v>
                </c:pt>
                <c:pt idx="19">
                  <c:v>12252.4</c:v>
                </c:pt>
                <c:pt idx="20">
                  <c:v>10937.6</c:v>
                </c:pt>
                <c:pt idx="21">
                  <c:v>10034.299999999999</c:v>
                </c:pt>
                <c:pt idx="22">
                  <c:v>9635.2000000000007</c:v>
                </c:pt>
                <c:pt idx="23">
                  <c:v>10899.4</c:v>
                </c:pt>
                <c:pt idx="24">
                  <c:v>13185.4</c:v>
                </c:pt>
                <c:pt idx="25">
                  <c:v>13001.9</c:v>
                </c:pt>
                <c:pt idx="26">
                  <c:v>13315.6</c:v>
                </c:pt>
                <c:pt idx="27">
                  <c:v>13856.7</c:v>
                </c:pt>
                <c:pt idx="28">
                  <c:v>14018.9</c:v>
                </c:pt>
                <c:pt idx="29">
                  <c:v>14159.3</c:v>
                </c:pt>
                <c:pt idx="30">
                  <c:v>13746.6</c:v>
                </c:pt>
                <c:pt idx="31">
                  <c:v>12254.4</c:v>
                </c:pt>
                <c:pt idx="32">
                  <c:v>10936.9</c:v>
                </c:pt>
                <c:pt idx="33">
                  <c:v>10062.1</c:v>
                </c:pt>
                <c:pt idx="34">
                  <c:v>9669.2000000000007</c:v>
                </c:pt>
                <c:pt idx="35">
                  <c:v>11022.8</c:v>
                </c:pt>
                <c:pt idx="36">
                  <c:v>13351.2</c:v>
                </c:pt>
                <c:pt idx="37">
                  <c:v>13008.6</c:v>
                </c:pt>
                <c:pt idx="38">
                  <c:v>13281.7</c:v>
                </c:pt>
                <c:pt idx="39">
                  <c:v>13801.4</c:v>
                </c:pt>
                <c:pt idx="40">
                  <c:v>13963.7</c:v>
                </c:pt>
                <c:pt idx="41">
                  <c:v>14131.5</c:v>
                </c:pt>
                <c:pt idx="42">
                  <c:v>13746.7</c:v>
                </c:pt>
                <c:pt idx="43">
                  <c:v>12256.4</c:v>
                </c:pt>
                <c:pt idx="44">
                  <c:v>10936.1</c:v>
                </c:pt>
                <c:pt idx="45">
                  <c:v>10089.799999999999</c:v>
                </c:pt>
                <c:pt idx="46">
                  <c:v>9703.2000000000007</c:v>
                </c:pt>
                <c:pt idx="47">
                  <c:v>11121.6</c:v>
                </c:pt>
                <c:pt idx="48">
                  <c:v>13517</c:v>
                </c:pt>
                <c:pt idx="49">
                  <c:v>13015.3</c:v>
                </c:pt>
                <c:pt idx="50">
                  <c:v>13247.7</c:v>
                </c:pt>
                <c:pt idx="51">
                  <c:v>13746</c:v>
                </c:pt>
                <c:pt idx="52">
                  <c:v>13908.5</c:v>
                </c:pt>
                <c:pt idx="53">
                  <c:v>14103.7</c:v>
                </c:pt>
                <c:pt idx="54">
                  <c:v>13746.7</c:v>
                </c:pt>
                <c:pt idx="55">
                  <c:v>12258.4</c:v>
                </c:pt>
                <c:pt idx="56">
                  <c:v>10935.4</c:v>
                </c:pt>
                <c:pt idx="57">
                  <c:v>10117.5</c:v>
                </c:pt>
                <c:pt idx="58">
                  <c:v>9737.2999999999993</c:v>
                </c:pt>
                <c:pt idx="59">
                  <c:v>11147</c:v>
                </c:pt>
                <c:pt idx="60">
                  <c:v>13456.1</c:v>
                </c:pt>
              </c:numCache>
            </c:numRef>
          </c:val>
        </c:ser>
        <c:ser>
          <c:idx val="8"/>
          <c:order val="1"/>
          <c:spPr>
            <a:solidFill>
              <a:srgbClr val="F7D2C6"/>
            </a:solidFill>
            <a:ln w="25400">
              <a:noFill/>
            </a:ln>
          </c:spP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2014 Enero</c:v>
                </c:pt>
                <c:pt idx="2">
                  <c:v>2014 Febrero</c:v>
                </c:pt>
                <c:pt idx="3">
                  <c:v>2014 Marzo</c:v>
                </c:pt>
                <c:pt idx="4">
                  <c:v>2014 Abril</c:v>
                </c:pt>
                <c:pt idx="5">
                  <c:v>2014 Mayo</c:v>
                </c:pt>
                <c:pt idx="6">
                  <c:v>2014 Junio</c:v>
                </c:pt>
                <c:pt idx="7">
                  <c:v>2014 Julio</c:v>
                </c:pt>
                <c:pt idx="8">
                  <c:v>2014 Agosto</c:v>
                </c:pt>
                <c:pt idx="9">
                  <c:v>2014 Septiembre</c:v>
                </c:pt>
                <c:pt idx="10">
                  <c:v>2014 Octubre</c:v>
                </c:pt>
                <c:pt idx="11">
                  <c:v>2014 Noviembre</c:v>
                </c:pt>
                <c:pt idx="12">
                  <c:v>2014 Diciembre</c:v>
                </c:pt>
                <c:pt idx="13">
                  <c:v>2015 Enero</c:v>
                </c:pt>
                <c:pt idx="14">
                  <c:v>2015 Febrero</c:v>
                </c:pt>
                <c:pt idx="15">
                  <c:v>2015 Marzo</c:v>
                </c:pt>
                <c:pt idx="16">
                  <c:v>2015 Abril</c:v>
                </c:pt>
                <c:pt idx="17">
                  <c:v>2015 Mayo</c:v>
                </c:pt>
                <c:pt idx="18">
                  <c:v>2015 Junio</c:v>
                </c:pt>
                <c:pt idx="19">
                  <c:v>2015 Julio</c:v>
                </c:pt>
                <c:pt idx="20">
                  <c:v>2015 Agosto</c:v>
                </c:pt>
                <c:pt idx="21">
                  <c:v>2015 Septiembre</c:v>
                </c:pt>
                <c:pt idx="22">
                  <c:v>2015 Octubre</c:v>
                </c:pt>
                <c:pt idx="23">
                  <c:v>2015 Noviembre</c:v>
                </c:pt>
                <c:pt idx="24">
                  <c:v>2015 Diciembre</c:v>
                </c:pt>
                <c:pt idx="25">
                  <c:v>2016 Enero</c:v>
                </c:pt>
                <c:pt idx="26">
                  <c:v>2016 Febrero</c:v>
                </c:pt>
                <c:pt idx="27">
                  <c:v>2016 Marzo</c:v>
                </c:pt>
                <c:pt idx="28">
                  <c:v>2016 Abril</c:v>
                </c:pt>
                <c:pt idx="29">
                  <c:v>2016 Mayo</c:v>
                </c:pt>
                <c:pt idx="30">
                  <c:v>2016 Junio</c:v>
                </c:pt>
                <c:pt idx="31">
                  <c:v>2016 Julio</c:v>
                </c:pt>
                <c:pt idx="32">
                  <c:v>2016 Agosto</c:v>
                </c:pt>
                <c:pt idx="33">
                  <c:v>2016 Septiembre</c:v>
                </c:pt>
                <c:pt idx="34">
                  <c:v>2016 Octubre</c:v>
                </c:pt>
                <c:pt idx="35">
                  <c:v>2016 Noviembre</c:v>
                </c:pt>
                <c:pt idx="36">
                  <c:v>2016 Diciembre</c:v>
                </c:pt>
                <c:pt idx="37">
                  <c:v>2017 Enero</c:v>
                </c:pt>
                <c:pt idx="38">
                  <c:v>2017 Febrero</c:v>
                </c:pt>
                <c:pt idx="39">
                  <c:v>2017 Marzo</c:v>
                </c:pt>
                <c:pt idx="40">
                  <c:v>2017 Abril</c:v>
                </c:pt>
                <c:pt idx="41">
                  <c:v>2017 Mayo</c:v>
                </c:pt>
                <c:pt idx="42">
                  <c:v>2017 Junio</c:v>
                </c:pt>
                <c:pt idx="43">
                  <c:v>2017 Julio</c:v>
                </c:pt>
                <c:pt idx="44">
                  <c:v>2017 Agosto</c:v>
                </c:pt>
                <c:pt idx="45">
                  <c:v>2017 Septiembre</c:v>
                </c:pt>
                <c:pt idx="46">
                  <c:v>2017 Octubre</c:v>
                </c:pt>
                <c:pt idx="47">
                  <c:v>2017 Noviembre</c:v>
                </c:pt>
                <c:pt idx="48">
                  <c:v>2017 Diciembre</c:v>
                </c:pt>
                <c:pt idx="49">
                  <c:v>2018 Enero</c:v>
                </c:pt>
                <c:pt idx="50">
                  <c:v>2018 Febrero</c:v>
                </c:pt>
                <c:pt idx="51">
                  <c:v>2018 Marzo</c:v>
                </c:pt>
                <c:pt idx="52">
                  <c:v>2018 Abril</c:v>
                </c:pt>
                <c:pt idx="53">
                  <c:v>2018 Mayo</c:v>
                </c:pt>
                <c:pt idx="54">
                  <c:v>2018 Junio</c:v>
                </c:pt>
                <c:pt idx="55">
                  <c:v>2018 Julio</c:v>
                </c:pt>
                <c:pt idx="56">
                  <c:v>2018 Agosto</c:v>
                </c:pt>
                <c:pt idx="57">
                  <c:v>2018 Septiembre</c:v>
                </c:pt>
                <c:pt idx="58">
                  <c:v>2018 Octubre</c:v>
                </c:pt>
                <c:pt idx="59">
                  <c:v>2018 Noviembre</c:v>
                </c:pt>
                <c:pt idx="60">
                  <c:v>2018 Diciembre</c:v>
                </c:pt>
              </c:strCache>
            </c:strRef>
          </c:cat>
          <c:val>
            <c:numRef>
              <c:f>'Data 4'!$G$378:$G$438</c:f>
              <c:numCache>
                <c:formatCode>#,##0\ _)</c:formatCode>
                <c:ptCount val="61"/>
                <c:pt idx="0">
                  <c:v>5199.5</c:v>
                </c:pt>
                <c:pt idx="1">
                  <c:v>5163.3999999999996</c:v>
                </c:pt>
                <c:pt idx="2">
                  <c:v>5336</c:v>
                </c:pt>
                <c:pt idx="3">
                  <c:v>5432.5</c:v>
                </c:pt>
                <c:pt idx="4">
                  <c:v>6773.4</c:v>
                </c:pt>
                <c:pt idx="5">
                  <c:v>6705.4</c:v>
                </c:pt>
                <c:pt idx="6">
                  <c:v>6274</c:v>
                </c:pt>
                <c:pt idx="7">
                  <c:v>5437.2</c:v>
                </c:pt>
                <c:pt idx="8">
                  <c:v>4775.8</c:v>
                </c:pt>
                <c:pt idx="9">
                  <c:v>4551.1000000000004</c:v>
                </c:pt>
                <c:pt idx="10">
                  <c:v>4228</c:v>
                </c:pt>
                <c:pt idx="11">
                  <c:v>4573.5</c:v>
                </c:pt>
                <c:pt idx="12">
                  <c:v>5232.3</c:v>
                </c:pt>
                <c:pt idx="13">
                  <c:v>5301</c:v>
                </c:pt>
                <c:pt idx="14">
                  <c:v>5388.4</c:v>
                </c:pt>
                <c:pt idx="15">
                  <c:v>5503.9</c:v>
                </c:pt>
                <c:pt idx="16">
                  <c:v>6818.6</c:v>
                </c:pt>
                <c:pt idx="17">
                  <c:v>6734.3</c:v>
                </c:pt>
                <c:pt idx="18">
                  <c:v>6287.9</c:v>
                </c:pt>
                <c:pt idx="19">
                  <c:v>5431.9</c:v>
                </c:pt>
                <c:pt idx="20">
                  <c:v>4750.7</c:v>
                </c:pt>
                <c:pt idx="21">
                  <c:v>4535.6000000000004</c:v>
                </c:pt>
                <c:pt idx="22">
                  <c:v>4230.8</c:v>
                </c:pt>
                <c:pt idx="23">
                  <c:v>4607.3</c:v>
                </c:pt>
                <c:pt idx="24">
                  <c:v>5271.4</c:v>
                </c:pt>
                <c:pt idx="25">
                  <c:v>5366.1</c:v>
                </c:pt>
                <c:pt idx="26">
                  <c:v>5433.6</c:v>
                </c:pt>
                <c:pt idx="27">
                  <c:v>5567.8</c:v>
                </c:pt>
                <c:pt idx="28">
                  <c:v>6896.6</c:v>
                </c:pt>
                <c:pt idx="29">
                  <c:v>6811.6</c:v>
                </c:pt>
                <c:pt idx="30">
                  <c:v>6354.8</c:v>
                </c:pt>
                <c:pt idx="31">
                  <c:v>5493.3</c:v>
                </c:pt>
                <c:pt idx="32">
                  <c:v>4803.8</c:v>
                </c:pt>
                <c:pt idx="33">
                  <c:v>4577.6000000000004</c:v>
                </c:pt>
                <c:pt idx="34">
                  <c:v>4301.2</c:v>
                </c:pt>
                <c:pt idx="35">
                  <c:v>4697.8</c:v>
                </c:pt>
                <c:pt idx="36">
                  <c:v>5303.9</c:v>
                </c:pt>
                <c:pt idx="37">
                  <c:v>5403.4</c:v>
                </c:pt>
                <c:pt idx="38">
                  <c:v>5478.9</c:v>
                </c:pt>
                <c:pt idx="39">
                  <c:v>5631.6</c:v>
                </c:pt>
                <c:pt idx="40">
                  <c:v>6949.4</c:v>
                </c:pt>
                <c:pt idx="41">
                  <c:v>6888.8</c:v>
                </c:pt>
                <c:pt idx="42">
                  <c:v>6417.2</c:v>
                </c:pt>
                <c:pt idx="43">
                  <c:v>5554.7</c:v>
                </c:pt>
                <c:pt idx="44">
                  <c:v>4856.8999999999996</c:v>
                </c:pt>
                <c:pt idx="45">
                  <c:v>4619.6000000000004</c:v>
                </c:pt>
                <c:pt idx="46">
                  <c:v>4371.6000000000004</c:v>
                </c:pt>
                <c:pt idx="47">
                  <c:v>4788.3</c:v>
                </c:pt>
                <c:pt idx="48">
                  <c:v>5336.3</c:v>
                </c:pt>
                <c:pt idx="49">
                  <c:v>5440.7</c:v>
                </c:pt>
                <c:pt idx="50">
                  <c:v>5524.0950000000003</c:v>
                </c:pt>
                <c:pt idx="51">
                  <c:v>5695.4</c:v>
                </c:pt>
                <c:pt idx="52">
                  <c:v>7002.3</c:v>
                </c:pt>
                <c:pt idx="53">
                  <c:v>6966.1</c:v>
                </c:pt>
                <c:pt idx="54">
                  <c:v>6477.8</c:v>
                </c:pt>
                <c:pt idx="55">
                  <c:v>5616.1</c:v>
                </c:pt>
                <c:pt idx="56">
                  <c:v>4910</c:v>
                </c:pt>
                <c:pt idx="57">
                  <c:v>4649.6000000000004</c:v>
                </c:pt>
                <c:pt idx="58">
                  <c:v>4395.5</c:v>
                </c:pt>
                <c:pt idx="59">
                  <c:v>4794.3</c:v>
                </c:pt>
                <c:pt idx="60">
                  <c:v>5331.33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98576"/>
        <c:axId val="338298968"/>
      </c:areaChart>
      <c:lineChart>
        <c:grouping val="standard"/>
        <c:varyColors val="0"/>
        <c:ser>
          <c:idx val="0"/>
          <c:order val="2"/>
          <c:tx>
            <c:v>Media estadística</c:v>
          </c:tx>
          <c:spPr>
            <a:ln w="25400">
              <a:solidFill>
                <a:srgbClr val="B38FEE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2014 Enero</c:v>
                </c:pt>
                <c:pt idx="2">
                  <c:v>2014 Febrero</c:v>
                </c:pt>
                <c:pt idx="3">
                  <c:v>2014 Marzo</c:v>
                </c:pt>
                <c:pt idx="4">
                  <c:v>2014 Abril</c:v>
                </c:pt>
                <c:pt idx="5">
                  <c:v>2014 Mayo</c:v>
                </c:pt>
                <c:pt idx="6">
                  <c:v>2014 Junio</c:v>
                </c:pt>
                <c:pt idx="7">
                  <c:v>2014 Julio</c:v>
                </c:pt>
                <c:pt idx="8">
                  <c:v>2014 Agosto</c:v>
                </c:pt>
                <c:pt idx="9">
                  <c:v>2014 Septiembre</c:v>
                </c:pt>
                <c:pt idx="10">
                  <c:v>2014 Octubre</c:v>
                </c:pt>
                <c:pt idx="11">
                  <c:v>2014 Noviembre</c:v>
                </c:pt>
                <c:pt idx="12">
                  <c:v>2014 Diciembre</c:v>
                </c:pt>
                <c:pt idx="13">
                  <c:v>2015 Enero</c:v>
                </c:pt>
                <c:pt idx="14">
                  <c:v>2015 Febrero</c:v>
                </c:pt>
                <c:pt idx="15">
                  <c:v>2015 Marzo</c:v>
                </c:pt>
                <c:pt idx="16">
                  <c:v>2015 Abril</c:v>
                </c:pt>
                <c:pt idx="17">
                  <c:v>2015 Mayo</c:v>
                </c:pt>
                <c:pt idx="18">
                  <c:v>2015 Junio</c:v>
                </c:pt>
                <c:pt idx="19">
                  <c:v>2015 Julio</c:v>
                </c:pt>
                <c:pt idx="20">
                  <c:v>2015 Agosto</c:v>
                </c:pt>
                <c:pt idx="21">
                  <c:v>2015 Septiembre</c:v>
                </c:pt>
                <c:pt idx="22">
                  <c:v>2015 Octubre</c:v>
                </c:pt>
                <c:pt idx="23">
                  <c:v>2015 Noviembre</c:v>
                </c:pt>
                <c:pt idx="24">
                  <c:v>2015 Diciembre</c:v>
                </c:pt>
                <c:pt idx="25">
                  <c:v>2016 Enero</c:v>
                </c:pt>
                <c:pt idx="26">
                  <c:v>2016 Febrero</c:v>
                </c:pt>
                <c:pt idx="27">
                  <c:v>2016 Marzo</c:v>
                </c:pt>
                <c:pt idx="28">
                  <c:v>2016 Abril</c:v>
                </c:pt>
                <c:pt idx="29">
                  <c:v>2016 Mayo</c:v>
                </c:pt>
                <c:pt idx="30">
                  <c:v>2016 Junio</c:v>
                </c:pt>
                <c:pt idx="31">
                  <c:v>2016 Julio</c:v>
                </c:pt>
                <c:pt idx="32">
                  <c:v>2016 Agosto</c:v>
                </c:pt>
                <c:pt idx="33">
                  <c:v>2016 Septiembre</c:v>
                </c:pt>
                <c:pt idx="34">
                  <c:v>2016 Octubre</c:v>
                </c:pt>
                <c:pt idx="35">
                  <c:v>2016 Noviembre</c:v>
                </c:pt>
                <c:pt idx="36">
                  <c:v>2016 Diciembre</c:v>
                </c:pt>
                <c:pt idx="37">
                  <c:v>2017 Enero</c:v>
                </c:pt>
                <c:pt idx="38">
                  <c:v>2017 Febrero</c:v>
                </c:pt>
                <c:pt idx="39">
                  <c:v>2017 Marzo</c:v>
                </c:pt>
                <c:pt idx="40">
                  <c:v>2017 Abril</c:v>
                </c:pt>
                <c:pt idx="41">
                  <c:v>2017 Mayo</c:v>
                </c:pt>
                <c:pt idx="42">
                  <c:v>2017 Junio</c:v>
                </c:pt>
                <c:pt idx="43">
                  <c:v>2017 Julio</c:v>
                </c:pt>
                <c:pt idx="44">
                  <c:v>2017 Agosto</c:v>
                </c:pt>
                <c:pt idx="45">
                  <c:v>2017 Septiembre</c:v>
                </c:pt>
                <c:pt idx="46">
                  <c:v>2017 Octubre</c:v>
                </c:pt>
                <c:pt idx="47">
                  <c:v>2017 Noviembre</c:v>
                </c:pt>
                <c:pt idx="48">
                  <c:v>2017 Diciembre</c:v>
                </c:pt>
                <c:pt idx="49">
                  <c:v>2018 Enero</c:v>
                </c:pt>
                <c:pt idx="50">
                  <c:v>2018 Febrero</c:v>
                </c:pt>
                <c:pt idx="51">
                  <c:v>2018 Marzo</c:v>
                </c:pt>
                <c:pt idx="52">
                  <c:v>2018 Abril</c:v>
                </c:pt>
                <c:pt idx="53">
                  <c:v>2018 Mayo</c:v>
                </c:pt>
                <c:pt idx="54">
                  <c:v>2018 Junio</c:v>
                </c:pt>
                <c:pt idx="55">
                  <c:v>2018 Julio</c:v>
                </c:pt>
                <c:pt idx="56">
                  <c:v>2018 Agosto</c:v>
                </c:pt>
                <c:pt idx="57">
                  <c:v>2018 Septiembre</c:v>
                </c:pt>
                <c:pt idx="58">
                  <c:v>2018 Octubre</c:v>
                </c:pt>
                <c:pt idx="59">
                  <c:v>2018 Noviembre</c:v>
                </c:pt>
                <c:pt idx="60">
                  <c:v>2018 Diciembre</c:v>
                </c:pt>
              </c:strCache>
            </c:strRef>
          </c:cat>
          <c:val>
            <c:numRef>
              <c:f>'Data 4'!$H$378:$H$438</c:f>
              <c:numCache>
                <c:formatCode>#,##0\ _)</c:formatCode>
                <c:ptCount val="61"/>
                <c:pt idx="0">
                  <c:v>8668.2999999999993</c:v>
                </c:pt>
                <c:pt idx="1">
                  <c:v>9434.9</c:v>
                </c:pt>
                <c:pt idx="2">
                  <c:v>9837.1</c:v>
                </c:pt>
                <c:pt idx="3">
                  <c:v>10258.200000000001</c:v>
                </c:pt>
                <c:pt idx="4">
                  <c:v>10668.5</c:v>
                </c:pt>
                <c:pt idx="5">
                  <c:v>10962.3</c:v>
                </c:pt>
                <c:pt idx="6">
                  <c:v>10460.700000000001</c:v>
                </c:pt>
                <c:pt idx="7">
                  <c:v>9396.9</c:v>
                </c:pt>
                <c:pt idx="8">
                  <c:v>8399.1</c:v>
                </c:pt>
                <c:pt idx="9">
                  <c:v>7716.6</c:v>
                </c:pt>
                <c:pt idx="10">
                  <c:v>7579.4</c:v>
                </c:pt>
                <c:pt idx="11">
                  <c:v>8045.1</c:v>
                </c:pt>
                <c:pt idx="12">
                  <c:v>8830.7000000000007</c:v>
                </c:pt>
                <c:pt idx="13">
                  <c:v>9775.2999999999993</c:v>
                </c:pt>
                <c:pt idx="14">
                  <c:v>10122.1</c:v>
                </c:pt>
                <c:pt idx="15">
                  <c:v>10525.9</c:v>
                </c:pt>
                <c:pt idx="16">
                  <c:v>10985.5</c:v>
                </c:pt>
                <c:pt idx="17">
                  <c:v>11208.4</c:v>
                </c:pt>
                <c:pt idx="18">
                  <c:v>10708.8</c:v>
                </c:pt>
                <c:pt idx="19">
                  <c:v>9643.2999999999993</c:v>
                </c:pt>
                <c:pt idx="20">
                  <c:v>8625.7000000000007</c:v>
                </c:pt>
                <c:pt idx="21">
                  <c:v>7930.4</c:v>
                </c:pt>
                <c:pt idx="22">
                  <c:v>7810.6</c:v>
                </c:pt>
                <c:pt idx="23">
                  <c:v>8257</c:v>
                </c:pt>
                <c:pt idx="24">
                  <c:v>9056</c:v>
                </c:pt>
                <c:pt idx="25">
                  <c:v>10017.4</c:v>
                </c:pt>
                <c:pt idx="26">
                  <c:v>10361.5</c:v>
                </c:pt>
                <c:pt idx="27">
                  <c:v>10787.2</c:v>
                </c:pt>
                <c:pt idx="28">
                  <c:v>11295.2</c:v>
                </c:pt>
                <c:pt idx="29">
                  <c:v>11509.5</c:v>
                </c:pt>
                <c:pt idx="30">
                  <c:v>10990.1</c:v>
                </c:pt>
                <c:pt idx="31">
                  <c:v>9894.2000000000007</c:v>
                </c:pt>
                <c:pt idx="32">
                  <c:v>8861.6</c:v>
                </c:pt>
                <c:pt idx="33">
                  <c:v>8141.4</c:v>
                </c:pt>
                <c:pt idx="34">
                  <c:v>8029.9</c:v>
                </c:pt>
                <c:pt idx="35">
                  <c:v>8512.7999999999993</c:v>
                </c:pt>
                <c:pt idx="36">
                  <c:v>9210</c:v>
                </c:pt>
                <c:pt idx="37">
                  <c:v>10035.6</c:v>
                </c:pt>
                <c:pt idx="38">
                  <c:v>10426.700000000001</c:v>
                </c:pt>
                <c:pt idx="39">
                  <c:v>10863.8</c:v>
                </c:pt>
                <c:pt idx="40">
                  <c:v>11392.9</c:v>
                </c:pt>
                <c:pt idx="41">
                  <c:v>11608.8</c:v>
                </c:pt>
                <c:pt idx="42">
                  <c:v>11080.9</c:v>
                </c:pt>
                <c:pt idx="43">
                  <c:v>9976.6</c:v>
                </c:pt>
                <c:pt idx="44">
                  <c:v>8897.1</c:v>
                </c:pt>
                <c:pt idx="45">
                  <c:v>8164.3</c:v>
                </c:pt>
                <c:pt idx="46">
                  <c:v>8040.8</c:v>
                </c:pt>
                <c:pt idx="47">
                  <c:v>8517.9</c:v>
                </c:pt>
                <c:pt idx="48">
                  <c:v>9077</c:v>
                </c:pt>
                <c:pt idx="49">
                  <c:v>9768.7999999999993</c:v>
                </c:pt>
                <c:pt idx="50">
                  <c:v>10246.200000000001</c:v>
                </c:pt>
                <c:pt idx="51">
                  <c:v>10704.1</c:v>
                </c:pt>
                <c:pt idx="52">
                  <c:v>11260.6</c:v>
                </c:pt>
                <c:pt idx="53">
                  <c:v>11479.8</c:v>
                </c:pt>
                <c:pt idx="54">
                  <c:v>10910.4</c:v>
                </c:pt>
                <c:pt idx="55">
                  <c:v>9805.5</c:v>
                </c:pt>
                <c:pt idx="56">
                  <c:v>8722.1</c:v>
                </c:pt>
                <c:pt idx="57">
                  <c:v>7980</c:v>
                </c:pt>
                <c:pt idx="58">
                  <c:v>7851.3</c:v>
                </c:pt>
                <c:pt idx="59">
                  <c:v>8185.9</c:v>
                </c:pt>
                <c:pt idx="60">
                  <c:v>8645.36</c:v>
                </c:pt>
              </c:numCache>
            </c:numRef>
          </c:val>
          <c:smooth val="0"/>
        </c:ser>
        <c:ser>
          <c:idx val="1"/>
          <c:order val="3"/>
          <c:tx>
            <c:v>Máxima capacidad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2014 Enero</c:v>
                </c:pt>
                <c:pt idx="2">
                  <c:v>2014 Febrero</c:v>
                </c:pt>
                <c:pt idx="3">
                  <c:v>2014 Marzo</c:v>
                </c:pt>
                <c:pt idx="4">
                  <c:v>2014 Abril</c:v>
                </c:pt>
                <c:pt idx="5">
                  <c:v>2014 Mayo</c:v>
                </c:pt>
                <c:pt idx="6">
                  <c:v>2014 Junio</c:v>
                </c:pt>
                <c:pt idx="7">
                  <c:v>2014 Julio</c:v>
                </c:pt>
                <c:pt idx="8">
                  <c:v>2014 Agosto</c:v>
                </c:pt>
                <c:pt idx="9">
                  <c:v>2014 Septiembre</c:v>
                </c:pt>
                <c:pt idx="10">
                  <c:v>2014 Octubre</c:v>
                </c:pt>
                <c:pt idx="11">
                  <c:v>2014 Noviembre</c:v>
                </c:pt>
                <c:pt idx="12">
                  <c:v>2014 Diciembre</c:v>
                </c:pt>
                <c:pt idx="13">
                  <c:v>2015 Enero</c:v>
                </c:pt>
                <c:pt idx="14">
                  <c:v>2015 Febrero</c:v>
                </c:pt>
                <c:pt idx="15">
                  <c:v>2015 Marzo</c:v>
                </c:pt>
                <c:pt idx="16">
                  <c:v>2015 Abril</c:v>
                </c:pt>
                <c:pt idx="17">
                  <c:v>2015 Mayo</c:v>
                </c:pt>
                <c:pt idx="18">
                  <c:v>2015 Junio</c:v>
                </c:pt>
                <c:pt idx="19">
                  <c:v>2015 Julio</c:v>
                </c:pt>
                <c:pt idx="20">
                  <c:v>2015 Agosto</c:v>
                </c:pt>
                <c:pt idx="21">
                  <c:v>2015 Septiembre</c:v>
                </c:pt>
                <c:pt idx="22">
                  <c:v>2015 Octubre</c:v>
                </c:pt>
                <c:pt idx="23">
                  <c:v>2015 Noviembre</c:v>
                </c:pt>
                <c:pt idx="24">
                  <c:v>2015 Diciembre</c:v>
                </c:pt>
                <c:pt idx="25">
                  <c:v>2016 Enero</c:v>
                </c:pt>
                <c:pt idx="26">
                  <c:v>2016 Febrero</c:v>
                </c:pt>
                <c:pt idx="27">
                  <c:v>2016 Marzo</c:v>
                </c:pt>
                <c:pt idx="28">
                  <c:v>2016 Abril</c:v>
                </c:pt>
                <c:pt idx="29">
                  <c:v>2016 Mayo</c:v>
                </c:pt>
                <c:pt idx="30">
                  <c:v>2016 Junio</c:v>
                </c:pt>
                <c:pt idx="31">
                  <c:v>2016 Julio</c:v>
                </c:pt>
                <c:pt idx="32">
                  <c:v>2016 Agosto</c:v>
                </c:pt>
                <c:pt idx="33">
                  <c:v>2016 Septiembre</c:v>
                </c:pt>
                <c:pt idx="34">
                  <c:v>2016 Octubre</c:v>
                </c:pt>
                <c:pt idx="35">
                  <c:v>2016 Noviembre</c:v>
                </c:pt>
                <c:pt idx="36">
                  <c:v>2016 Diciembre</c:v>
                </c:pt>
                <c:pt idx="37">
                  <c:v>2017 Enero</c:v>
                </c:pt>
                <c:pt idx="38">
                  <c:v>2017 Febrero</c:v>
                </c:pt>
                <c:pt idx="39">
                  <c:v>2017 Marzo</c:v>
                </c:pt>
                <c:pt idx="40">
                  <c:v>2017 Abril</c:v>
                </c:pt>
                <c:pt idx="41">
                  <c:v>2017 Mayo</c:v>
                </c:pt>
                <c:pt idx="42">
                  <c:v>2017 Junio</c:v>
                </c:pt>
                <c:pt idx="43">
                  <c:v>2017 Julio</c:v>
                </c:pt>
                <c:pt idx="44">
                  <c:v>2017 Agosto</c:v>
                </c:pt>
                <c:pt idx="45">
                  <c:v>2017 Septiembre</c:v>
                </c:pt>
                <c:pt idx="46">
                  <c:v>2017 Octubre</c:v>
                </c:pt>
                <c:pt idx="47">
                  <c:v>2017 Noviembre</c:v>
                </c:pt>
                <c:pt idx="48">
                  <c:v>2017 Diciembre</c:v>
                </c:pt>
                <c:pt idx="49">
                  <c:v>2018 Enero</c:v>
                </c:pt>
                <c:pt idx="50">
                  <c:v>2018 Febrero</c:v>
                </c:pt>
                <c:pt idx="51">
                  <c:v>2018 Marzo</c:v>
                </c:pt>
                <c:pt idx="52">
                  <c:v>2018 Abril</c:v>
                </c:pt>
                <c:pt idx="53">
                  <c:v>2018 Mayo</c:v>
                </c:pt>
                <c:pt idx="54">
                  <c:v>2018 Junio</c:v>
                </c:pt>
                <c:pt idx="55">
                  <c:v>2018 Julio</c:v>
                </c:pt>
                <c:pt idx="56">
                  <c:v>2018 Agosto</c:v>
                </c:pt>
                <c:pt idx="57">
                  <c:v>2018 Septiembre</c:v>
                </c:pt>
                <c:pt idx="58">
                  <c:v>2018 Octubre</c:v>
                </c:pt>
                <c:pt idx="59">
                  <c:v>2018 Noviembre</c:v>
                </c:pt>
                <c:pt idx="60">
                  <c:v>2018 Diciembre</c:v>
                </c:pt>
              </c:strCache>
            </c:strRef>
          </c:cat>
          <c:val>
            <c:numRef>
              <c:f>'Data 4'!$E$378:$E$438</c:f>
              <c:numCache>
                <c:formatCode>#,##0\ _)</c:formatCode>
                <c:ptCount val="61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  <c:pt idx="60">
                  <c:v>18538.071</c:v>
                </c:pt>
              </c:numCache>
            </c:numRef>
          </c:val>
          <c:smooth val="0"/>
        </c:ser>
        <c:ser>
          <c:idx val="6"/>
          <c:order val="4"/>
          <c:tx>
            <c:v>Real</c:v>
          </c:tx>
          <c:spPr>
            <a:ln w="25400">
              <a:solidFill>
                <a:srgbClr val="004563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2014 Enero</c:v>
                </c:pt>
                <c:pt idx="2">
                  <c:v>2014 Febrero</c:v>
                </c:pt>
                <c:pt idx="3">
                  <c:v>2014 Marzo</c:v>
                </c:pt>
                <c:pt idx="4">
                  <c:v>2014 Abril</c:v>
                </c:pt>
                <c:pt idx="5">
                  <c:v>2014 Mayo</c:v>
                </c:pt>
                <c:pt idx="6">
                  <c:v>2014 Junio</c:v>
                </c:pt>
                <c:pt idx="7">
                  <c:v>2014 Julio</c:v>
                </c:pt>
                <c:pt idx="8">
                  <c:v>2014 Agosto</c:v>
                </c:pt>
                <c:pt idx="9">
                  <c:v>2014 Septiembre</c:v>
                </c:pt>
                <c:pt idx="10">
                  <c:v>2014 Octubre</c:v>
                </c:pt>
                <c:pt idx="11">
                  <c:v>2014 Noviembre</c:v>
                </c:pt>
                <c:pt idx="12">
                  <c:v>2014 Diciembre</c:v>
                </c:pt>
                <c:pt idx="13">
                  <c:v>2015 Enero</c:v>
                </c:pt>
                <c:pt idx="14">
                  <c:v>2015 Febrero</c:v>
                </c:pt>
                <c:pt idx="15">
                  <c:v>2015 Marzo</c:v>
                </c:pt>
                <c:pt idx="16">
                  <c:v>2015 Abril</c:v>
                </c:pt>
                <c:pt idx="17">
                  <c:v>2015 Mayo</c:v>
                </c:pt>
                <c:pt idx="18">
                  <c:v>2015 Junio</c:v>
                </c:pt>
                <c:pt idx="19">
                  <c:v>2015 Julio</c:v>
                </c:pt>
                <c:pt idx="20">
                  <c:v>2015 Agosto</c:v>
                </c:pt>
                <c:pt idx="21">
                  <c:v>2015 Septiembre</c:v>
                </c:pt>
                <c:pt idx="22">
                  <c:v>2015 Octubre</c:v>
                </c:pt>
                <c:pt idx="23">
                  <c:v>2015 Noviembre</c:v>
                </c:pt>
                <c:pt idx="24">
                  <c:v>2015 Diciembre</c:v>
                </c:pt>
                <c:pt idx="25">
                  <c:v>2016 Enero</c:v>
                </c:pt>
                <c:pt idx="26">
                  <c:v>2016 Febrero</c:v>
                </c:pt>
                <c:pt idx="27">
                  <c:v>2016 Marzo</c:v>
                </c:pt>
                <c:pt idx="28">
                  <c:v>2016 Abril</c:v>
                </c:pt>
                <c:pt idx="29">
                  <c:v>2016 Mayo</c:v>
                </c:pt>
                <c:pt idx="30">
                  <c:v>2016 Junio</c:v>
                </c:pt>
                <c:pt idx="31">
                  <c:v>2016 Julio</c:v>
                </c:pt>
                <c:pt idx="32">
                  <c:v>2016 Agosto</c:v>
                </c:pt>
                <c:pt idx="33">
                  <c:v>2016 Septiembre</c:v>
                </c:pt>
                <c:pt idx="34">
                  <c:v>2016 Octubre</c:v>
                </c:pt>
                <c:pt idx="35">
                  <c:v>2016 Noviembre</c:v>
                </c:pt>
                <c:pt idx="36">
                  <c:v>2016 Diciembre</c:v>
                </c:pt>
                <c:pt idx="37">
                  <c:v>2017 Enero</c:v>
                </c:pt>
                <c:pt idx="38">
                  <c:v>2017 Febrero</c:v>
                </c:pt>
                <c:pt idx="39">
                  <c:v>2017 Marzo</c:v>
                </c:pt>
                <c:pt idx="40">
                  <c:v>2017 Abril</c:v>
                </c:pt>
                <c:pt idx="41">
                  <c:v>2017 Mayo</c:v>
                </c:pt>
                <c:pt idx="42">
                  <c:v>2017 Junio</c:v>
                </c:pt>
                <c:pt idx="43">
                  <c:v>2017 Julio</c:v>
                </c:pt>
                <c:pt idx="44">
                  <c:v>2017 Agosto</c:v>
                </c:pt>
                <c:pt idx="45">
                  <c:v>2017 Septiembre</c:v>
                </c:pt>
                <c:pt idx="46">
                  <c:v>2017 Octubre</c:v>
                </c:pt>
                <c:pt idx="47">
                  <c:v>2017 Noviembre</c:v>
                </c:pt>
                <c:pt idx="48">
                  <c:v>2017 Diciembre</c:v>
                </c:pt>
                <c:pt idx="49">
                  <c:v>2018 Enero</c:v>
                </c:pt>
                <c:pt idx="50">
                  <c:v>2018 Febrero</c:v>
                </c:pt>
                <c:pt idx="51">
                  <c:v>2018 Marzo</c:v>
                </c:pt>
                <c:pt idx="52">
                  <c:v>2018 Abril</c:v>
                </c:pt>
                <c:pt idx="53">
                  <c:v>2018 Mayo</c:v>
                </c:pt>
                <c:pt idx="54">
                  <c:v>2018 Junio</c:v>
                </c:pt>
                <c:pt idx="55">
                  <c:v>2018 Julio</c:v>
                </c:pt>
                <c:pt idx="56">
                  <c:v>2018 Agosto</c:v>
                </c:pt>
                <c:pt idx="57">
                  <c:v>2018 Septiembre</c:v>
                </c:pt>
                <c:pt idx="58">
                  <c:v>2018 Octubre</c:v>
                </c:pt>
                <c:pt idx="59">
                  <c:v>2018 Noviembre</c:v>
                </c:pt>
                <c:pt idx="60">
                  <c:v>2018 Diciembre</c:v>
                </c:pt>
              </c:strCache>
            </c:strRef>
          </c:cat>
          <c:val>
            <c:numRef>
              <c:f>'Data 4'!$D$378:$D$438</c:f>
              <c:numCache>
                <c:formatCode>#,##0\ _)</c:formatCode>
                <c:ptCount val="61"/>
                <c:pt idx="0">
                  <c:v>10667.030070000001</c:v>
                </c:pt>
                <c:pt idx="1">
                  <c:v>13095.099113</c:v>
                </c:pt>
                <c:pt idx="2">
                  <c:v>14128.365964000001</c:v>
                </c:pt>
                <c:pt idx="3">
                  <c:v>13921.849047</c:v>
                </c:pt>
                <c:pt idx="4">
                  <c:v>14347.673042</c:v>
                </c:pt>
                <c:pt idx="5">
                  <c:v>14108.111021999999</c:v>
                </c:pt>
                <c:pt idx="6">
                  <c:v>13566.252734</c:v>
                </c:pt>
                <c:pt idx="7">
                  <c:v>12458.298484000001</c:v>
                </c:pt>
                <c:pt idx="8">
                  <c:v>11182.845214999999</c:v>
                </c:pt>
                <c:pt idx="9">
                  <c:v>10347.826236000001</c:v>
                </c:pt>
                <c:pt idx="10">
                  <c:v>10605.790159</c:v>
                </c:pt>
                <c:pt idx="11">
                  <c:v>11549.200858</c:v>
                </c:pt>
                <c:pt idx="12">
                  <c:v>11825.70354</c:v>
                </c:pt>
                <c:pt idx="13">
                  <c:v>11887.913372000001</c:v>
                </c:pt>
                <c:pt idx="14">
                  <c:v>12621.581502000001</c:v>
                </c:pt>
                <c:pt idx="15">
                  <c:v>12918.073985999999</c:v>
                </c:pt>
                <c:pt idx="16">
                  <c:v>13203.73019</c:v>
                </c:pt>
                <c:pt idx="17">
                  <c:v>12887.114576</c:v>
                </c:pt>
                <c:pt idx="18">
                  <c:v>11918.792775</c:v>
                </c:pt>
                <c:pt idx="19">
                  <c:v>10448.885818000001</c:v>
                </c:pt>
                <c:pt idx="20">
                  <c:v>9469.3938039999994</c:v>
                </c:pt>
                <c:pt idx="21">
                  <c:v>8754.5516729999999</c:v>
                </c:pt>
                <c:pt idx="22">
                  <c:v>8623.2692549999992</c:v>
                </c:pt>
                <c:pt idx="23">
                  <c:v>8744.6446699999997</c:v>
                </c:pt>
                <c:pt idx="24">
                  <c:v>8644.1745179999998</c:v>
                </c:pt>
                <c:pt idx="25">
                  <c:v>11227.656998</c:v>
                </c:pt>
                <c:pt idx="26">
                  <c:v>12066.238818</c:v>
                </c:pt>
                <c:pt idx="27">
                  <c:v>12306.055883000001</c:v>
                </c:pt>
                <c:pt idx="28">
                  <c:v>13179.567322000001</c:v>
                </c:pt>
                <c:pt idx="29">
                  <c:v>13577.542675000001</c:v>
                </c:pt>
                <c:pt idx="30">
                  <c:v>12751.035658000001</c:v>
                </c:pt>
                <c:pt idx="31">
                  <c:v>11400.747851</c:v>
                </c:pt>
                <c:pt idx="32">
                  <c:v>9726.8527639999993</c:v>
                </c:pt>
                <c:pt idx="33">
                  <c:v>8542.9985949999991</c:v>
                </c:pt>
                <c:pt idx="34">
                  <c:v>7639.5428579999998</c:v>
                </c:pt>
                <c:pt idx="35">
                  <c:v>7737.8927560000002</c:v>
                </c:pt>
                <c:pt idx="36">
                  <c:v>7271.9042060000002</c:v>
                </c:pt>
                <c:pt idx="37">
                  <c:v>6352.3982489999999</c:v>
                </c:pt>
                <c:pt idx="38">
                  <c:v>8201.5317109999996</c:v>
                </c:pt>
                <c:pt idx="39">
                  <c:v>8171.2895820000003</c:v>
                </c:pt>
                <c:pt idx="40">
                  <c:v>8002.4783509999997</c:v>
                </c:pt>
                <c:pt idx="41">
                  <c:v>8068.3502509999998</c:v>
                </c:pt>
                <c:pt idx="42">
                  <c:v>7504.6737370000001</c:v>
                </c:pt>
                <c:pt idx="43">
                  <c:v>6868.7604899999997</c:v>
                </c:pt>
                <c:pt idx="44">
                  <c:v>6036.3040380000002</c:v>
                </c:pt>
                <c:pt idx="45">
                  <c:v>5135.5098319999997</c:v>
                </c:pt>
                <c:pt idx="46">
                  <c:v>4708.038114</c:v>
                </c:pt>
                <c:pt idx="47">
                  <c:v>4403.8701209999999</c:v>
                </c:pt>
                <c:pt idx="48">
                  <c:v>4883.4119860000001</c:v>
                </c:pt>
                <c:pt idx="49">
                  <c:v>5398.2220399999997</c:v>
                </c:pt>
                <c:pt idx="50">
                  <c:v>5616.4103269999996</c:v>
                </c:pt>
                <c:pt idx="51">
                  <c:v>9699.4711429999988</c:v>
                </c:pt>
                <c:pt idx="52">
                  <c:v>11897.527653000001</c:v>
                </c:pt>
                <c:pt idx="53">
                  <c:v>12095.723247</c:v>
                </c:pt>
                <c:pt idx="54">
                  <c:v>11876.304858</c:v>
                </c:pt>
                <c:pt idx="55">
                  <c:v>10217.385218145211</c:v>
                </c:pt>
                <c:pt idx="56">
                  <c:v>9279.7439613367733</c:v>
                </c:pt>
                <c:pt idx="57">
                  <c:v>8192.9385726801847</c:v>
                </c:pt>
                <c:pt idx="58">
                  <c:v>7628.6385403221575</c:v>
                </c:pt>
                <c:pt idx="59">
                  <c:v>8008.9796223264248</c:v>
                </c:pt>
                <c:pt idx="60">
                  <c:v>8172.2198288975032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99360"/>
        <c:axId val="338299752"/>
      </c:lineChart>
      <c:catAx>
        <c:axId val="33829857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one"/>
        <c:spPr>
          <a:ln w="9525">
            <a:noFill/>
          </a:ln>
        </c:spPr>
        <c:crossAx val="338298968"/>
        <c:crossesAt val="0"/>
        <c:auto val="0"/>
        <c:lblAlgn val="ctr"/>
        <c:lblOffset val="100"/>
        <c:tickLblSkip val="12"/>
        <c:tickMarkSkip val="12"/>
        <c:noMultiLvlLbl val="0"/>
      </c:catAx>
      <c:valAx>
        <c:axId val="338298968"/>
        <c:scaling>
          <c:orientation val="minMax"/>
          <c:max val="19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298576"/>
        <c:crosses val="autoZero"/>
        <c:crossBetween val="midCat"/>
        <c:majorUnit val="2000"/>
        <c:minorUnit val="400"/>
      </c:valAx>
      <c:catAx>
        <c:axId val="33829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299752"/>
        <c:crosses val="autoZero"/>
        <c:auto val="0"/>
        <c:lblAlgn val="ctr"/>
        <c:lblOffset val="100"/>
        <c:noMultiLvlLbl val="0"/>
      </c:catAx>
      <c:valAx>
        <c:axId val="338299752"/>
        <c:scaling>
          <c:orientation val="minMax"/>
        </c:scaling>
        <c:delete val="1"/>
        <c:axPos val="l"/>
        <c:numFmt formatCode="#,##0\ _)" sourceLinked="1"/>
        <c:majorTickMark val="out"/>
        <c:minorTickMark val="none"/>
        <c:tickLblPos val="nextTo"/>
        <c:crossAx val="338299360"/>
        <c:crosses val="autoZero"/>
        <c:crossBetween val="midCat"/>
      </c:valAx>
      <c:spPr>
        <a:solidFill>
          <a:srgbClr val="F7D2C6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136944984566415"/>
          <c:y val="4.3478260869565216E-2"/>
          <c:w val="0.77995212701101846"/>
          <c:h val="0.126482628406627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71821891681679E-2"/>
          <c:y val="0.16460232432790362"/>
          <c:w val="0.82537002901700884"/>
          <c:h val="0.71983615428253944"/>
        </c:manualLayout>
      </c:layout>
      <c:barChart>
        <c:barDir val="bar"/>
        <c:grouping val="clustered"/>
        <c:varyColors val="0"/>
        <c:ser>
          <c:idx val="1"/>
          <c:order val="0"/>
          <c:tx>
            <c:v>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3'!$F$26:$J$26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3'!$F$32:$J$32</c:f>
              <c:numCache>
                <c:formatCode>#,##0</c:formatCode>
                <c:ptCount val="5"/>
                <c:pt idx="0">
                  <c:v>18784.958560000006</c:v>
                </c:pt>
                <c:pt idx="1">
                  <c:v>18925.261560000006</c:v>
                </c:pt>
                <c:pt idx="2">
                  <c:v>19013.238560000009</c:v>
                </c:pt>
                <c:pt idx="3">
                  <c:v>19038.601270000006</c:v>
                </c:pt>
                <c:pt idx="4">
                  <c:v>19132.893270000008</c:v>
                </c:pt>
              </c:numCache>
            </c:numRef>
          </c:val>
        </c:ser>
        <c:ser>
          <c:idx val="0"/>
          <c:order val="1"/>
          <c:tx>
            <c:v>400 kV</c:v>
          </c:tx>
          <c:spPr>
            <a:solidFill>
              <a:srgbClr val="F79646"/>
            </a:solidFill>
            <a:ln w="12700"/>
          </c:spPr>
          <c:invertIfNegative val="0"/>
          <c:cat>
            <c:strRef>
              <c:f>'Data 3'!$F$26:$J$26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3'!$F$29:$J$29</c:f>
              <c:numCache>
                <c:formatCode>#,##0</c:formatCode>
                <c:ptCount val="5"/>
                <c:pt idx="0">
                  <c:v>21093.512000000002</c:v>
                </c:pt>
                <c:pt idx="1">
                  <c:v>21183.826000000001</c:v>
                </c:pt>
                <c:pt idx="2">
                  <c:v>21618.968000000001</c:v>
                </c:pt>
                <c:pt idx="3">
                  <c:v>21727.929</c:v>
                </c:pt>
                <c:pt idx="4">
                  <c:v>21729.688999999998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38300536"/>
        <c:axId val="338300928"/>
      </c:barChart>
      <c:catAx>
        <c:axId val="338300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928"/>
        <c:crosses val="autoZero"/>
        <c:auto val="1"/>
        <c:lblAlgn val="ctr"/>
        <c:lblOffset val="100"/>
        <c:noMultiLvlLbl val="0"/>
      </c:catAx>
      <c:valAx>
        <c:axId val="338300928"/>
        <c:scaling>
          <c:orientation val="minMax"/>
          <c:max val="22000"/>
          <c:min val="160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6531313152838298"/>
          <c:y val="3.3682614956380683E-2"/>
          <c:w val="0.16182526575247105"/>
          <c:h val="6.468669126196670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464394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5'!$D$172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5'!$B$173:$C$232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5'!$D$173:$D$232</c:f>
              <c:numCache>
                <c:formatCode>0.0</c:formatCode>
                <c:ptCount val="60"/>
                <c:pt idx="0">
                  <c:v>-2.7678044553192671</c:v>
                </c:pt>
                <c:pt idx="1">
                  <c:v>-2.0567373359304808</c:v>
                </c:pt>
                <c:pt idx="2">
                  <c:v>-2.0426861683590536</c:v>
                </c:pt>
                <c:pt idx="3">
                  <c:v>-2.1125720512109258</c:v>
                </c:pt>
                <c:pt idx="4">
                  <c:v>-2.0482552623004135</c:v>
                </c:pt>
                <c:pt idx="5">
                  <c:v>-0.60095543434753873</c:v>
                </c:pt>
                <c:pt idx="6">
                  <c:v>-1.1393834328670249</c:v>
                </c:pt>
                <c:pt idx="7">
                  <c:v>-0.44739471876715786</c:v>
                </c:pt>
                <c:pt idx="8">
                  <c:v>0.57596744236949604</c:v>
                </c:pt>
                <c:pt idx="9">
                  <c:v>0.20790645374884065</c:v>
                </c:pt>
                <c:pt idx="10">
                  <c:v>-0.94332039050143424</c:v>
                </c:pt>
                <c:pt idx="11">
                  <c:v>-1.5775032119824006</c:v>
                </c:pt>
                <c:pt idx="12">
                  <c:v>-0.76905152031162549</c:v>
                </c:pt>
                <c:pt idx="13">
                  <c:v>0.77184455623355852</c:v>
                </c:pt>
                <c:pt idx="14">
                  <c:v>1.3769815796842888</c:v>
                </c:pt>
                <c:pt idx="15">
                  <c:v>1.6605539713850481</c:v>
                </c:pt>
                <c:pt idx="16">
                  <c:v>1.9853383277772751</c:v>
                </c:pt>
                <c:pt idx="17">
                  <c:v>1.7365567169467022</c:v>
                </c:pt>
                <c:pt idx="18">
                  <c:v>3.8436579463451359</c:v>
                </c:pt>
                <c:pt idx="19">
                  <c:v>4.429505674012546</c:v>
                </c:pt>
                <c:pt idx="20">
                  <c:v>2.5579716960821397</c:v>
                </c:pt>
                <c:pt idx="21">
                  <c:v>2.556139650053102</c:v>
                </c:pt>
                <c:pt idx="22">
                  <c:v>3.5441113398472446</c:v>
                </c:pt>
                <c:pt idx="23">
                  <c:v>3.7739580046013632</c:v>
                </c:pt>
                <c:pt idx="24">
                  <c:v>2.5792162036990751</c:v>
                </c:pt>
                <c:pt idx="25">
                  <c:v>1.1914378864707809</c:v>
                </c:pt>
                <c:pt idx="26">
                  <c:v>0.95305602482445018</c:v>
                </c:pt>
                <c:pt idx="27">
                  <c:v>1.1150225654303236</c:v>
                </c:pt>
                <c:pt idx="28">
                  <c:v>1.2519054615300673</c:v>
                </c:pt>
                <c:pt idx="29">
                  <c:v>1.1664258383201176</c:v>
                </c:pt>
                <c:pt idx="30">
                  <c:v>-1.4248702092289012</c:v>
                </c:pt>
                <c:pt idx="31">
                  <c:v>-2.0029804641334414</c:v>
                </c:pt>
                <c:pt idx="32">
                  <c:v>-0.4374080067517272</c:v>
                </c:pt>
                <c:pt idx="33">
                  <c:v>0.22281736298095378</c:v>
                </c:pt>
                <c:pt idx="34">
                  <c:v>0.25976332430539539</c:v>
                </c:pt>
                <c:pt idx="35">
                  <c:v>0.60853033473056151</c:v>
                </c:pt>
                <c:pt idx="36">
                  <c:v>2.4909320407970004</c:v>
                </c:pt>
                <c:pt idx="37">
                  <c:v>2.878629655762488</c:v>
                </c:pt>
                <c:pt idx="38">
                  <c:v>1.9919037972097486</c:v>
                </c:pt>
                <c:pt idx="39">
                  <c:v>1.7292350167882109</c:v>
                </c:pt>
                <c:pt idx="40">
                  <c:v>1.5432252763127208</c:v>
                </c:pt>
                <c:pt idx="41">
                  <c:v>2.1371466444674692</c:v>
                </c:pt>
                <c:pt idx="42">
                  <c:v>3.7022427815062819</c:v>
                </c:pt>
                <c:pt idx="43">
                  <c:v>4.7843256248543131</c:v>
                </c:pt>
                <c:pt idx="44">
                  <c:v>3.3864144657328454</c:v>
                </c:pt>
                <c:pt idx="45">
                  <c:v>2.7906249815841777</c:v>
                </c:pt>
                <c:pt idx="46">
                  <c:v>2.8288905023256206</c:v>
                </c:pt>
                <c:pt idx="47">
                  <c:v>3.3182036318789576</c:v>
                </c:pt>
                <c:pt idx="48">
                  <c:v>1.4413415990873535</c:v>
                </c:pt>
                <c:pt idx="49">
                  <c:v>2.6289274298229692</c:v>
                </c:pt>
                <c:pt idx="50">
                  <c:v>4.2330429477813958</c:v>
                </c:pt>
                <c:pt idx="51">
                  <c:v>4.3932178475195816</c:v>
                </c:pt>
                <c:pt idx="52">
                  <c:v>4.0871698317812344</c:v>
                </c:pt>
                <c:pt idx="53">
                  <c:v>2.5362767809007369</c:v>
                </c:pt>
                <c:pt idx="54">
                  <c:v>2.0579460812780725</c:v>
                </c:pt>
                <c:pt idx="55">
                  <c:v>1.0532016207734474</c:v>
                </c:pt>
                <c:pt idx="56">
                  <c:v>2.2939579649811748</c:v>
                </c:pt>
                <c:pt idx="57">
                  <c:v>2.3461634607837567</c:v>
                </c:pt>
                <c:pt idx="58">
                  <c:v>1.9029477275922746</c:v>
                </c:pt>
                <c:pt idx="59">
                  <c:v>0.59562383825699783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5'!$E$172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5'!$B$173:$C$232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5'!$E$173:$E$232</c:f>
              <c:numCache>
                <c:formatCode>0.0</c:formatCode>
                <c:ptCount val="60"/>
                <c:pt idx="0">
                  <c:v>-1.9877928597922923</c:v>
                </c:pt>
                <c:pt idx="1">
                  <c:v>-1.5379430571486941</c:v>
                </c:pt>
                <c:pt idx="2">
                  <c:v>-1.6845754523786782</c:v>
                </c:pt>
                <c:pt idx="3">
                  <c:v>-1.6914465113078259</c:v>
                </c:pt>
                <c:pt idx="4">
                  <c:v>-1.5490156457765747</c:v>
                </c:pt>
                <c:pt idx="5">
                  <c:v>-1.0318833561478447</c:v>
                </c:pt>
                <c:pt idx="6">
                  <c:v>-1.8197384051003129</c:v>
                </c:pt>
                <c:pt idx="7">
                  <c:v>-1.6720458926473891</c:v>
                </c:pt>
                <c:pt idx="8">
                  <c:v>-1.0811476991326008</c:v>
                </c:pt>
                <c:pt idx="9">
                  <c:v>-1.3570224478673953</c:v>
                </c:pt>
                <c:pt idx="10">
                  <c:v>-1.7949560648286567</c:v>
                </c:pt>
                <c:pt idx="11">
                  <c:v>-2.0027512730451891</c:v>
                </c:pt>
                <c:pt idx="12">
                  <c:v>-1.3708716573239799</c:v>
                </c:pt>
                <c:pt idx="13">
                  <c:v>-0.71414629242013694</c:v>
                </c:pt>
                <c:pt idx="14">
                  <c:v>-0.25064654445208223</c:v>
                </c:pt>
                <c:pt idx="15">
                  <c:v>-5.6250521041933954E-2</c:v>
                </c:pt>
                <c:pt idx="16">
                  <c:v>-1.0670959675662672E-3</c:v>
                </c:pt>
                <c:pt idx="17">
                  <c:v>6.995665749687241E-2</c:v>
                </c:pt>
                <c:pt idx="18">
                  <c:v>1.6303550805056632</c:v>
                </c:pt>
                <c:pt idx="19">
                  <c:v>2.2186718429588526</c:v>
                </c:pt>
                <c:pt idx="20">
                  <c:v>1.0330591316036086</c:v>
                </c:pt>
                <c:pt idx="21">
                  <c:v>1.479852178677965</c:v>
                </c:pt>
                <c:pt idx="22">
                  <c:v>1.9548362884066917</c:v>
                </c:pt>
                <c:pt idx="23">
                  <c:v>2.6606491598777815</c:v>
                </c:pt>
                <c:pt idx="24">
                  <c:v>2.1693406457583331</c:v>
                </c:pt>
                <c:pt idx="25">
                  <c:v>1.7914521349756907</c:v>
                </c:pt>
                <c:pt idx="26">
                  <c:v>1.9083504425527531</c:v>
                </c:pt>
                <c:pt idx="27">
                  <c:v>1.9524374706652914</c:v>
                </c:pt>
                <c:pt idx="28">
                  <c:v>2.5040493881214543</c:v>
                </c:pt>
                <c:pt idx="29">
                  <c:v>2.717104974562834</c:v>
                </c:pt>
                <c:pt idx="30">
                  <c:v>1.171300608586634</c:v>
                </c:pt>
                <c:pt idx="31">
                  <c:v>0.89301749654175921</c:v>
                </c:pt>
                <c:pt idx="32">
                  <c:v>2.2034552995042755</c:v>
                </c:pt>
                <c:pt idx="33">
                  <c:v>2.5177102737833357</c:v>
                </c:pt>
                <c:pt idx="34">
                  <c:v>2.622617795911375</c:v>
                </c:pt>
                <c:pt idx="35">
                  <c:v>2.0674102278299467</c:v>
                </c:pt>
                <c:pt idx="36">
                  <c:v>2.7766719820308428</c:v>
                </c:pt>
                <c:pt idx="37">
                  <c:v>2.7403404352586591</c:v>
                </c:pt>
                <c:pt idx="38">
                  <c:v>1.7841094935681756</c:v>
                </c:pt>
                <c:pt idx="39">
                  <c:v>1.7588019628439699</c:v>
                </c:pt>
                <c:pt idx="40">
                  <c:v>1.1765127372048934</c:v>
                </c:pt>
                <c:pt idx="41">
                  <c:v>1.3492696718094166</c:v>
                </c:pt>
                <c:pt idx="42">
                  <c:v>2.3783462923388399</c:v>
                </c:pt>
                <c:pt idx="43">
                  <c:v>2.8526758539400232</c:v>
                </c:pt>
                <c:pt idx="44">
                  <c:v>1.995916650915186</c:v>
                </c:pt>
                <c:pt idx="45">
                  <c:v>1.6571465004429076</c:v>
                </c:pt>
                <c:pt idx="46">
                  <c:v>1.7070674110775563</c:v>
                </c:pt>
                <c:pt idx="47">
                  <c:v>2.4261755140702723</c:v>
                </c:pt>
                <c:pt idx="48">
                  <c:v>1.6468567926183786</c:v>
                </c:pt>
                <c:pt idx="49">
                  <c:v>1.753865209793859</c:v>
                </c:pt>
                <c:pt idx="50">
                  <c:v>2.6909000591015753</c:v>
                </c:pt>
                <c:pt idx="51">
                  <c:v>2.434686492721716</c:v>
                </c:pt>
                <c:pt idx="52">
                  <c:v>2.3962866121397974</c:v>
                </c:pt>
                <c:pt idx="53">
                  <c:v>1.3856636828948998</c:v>
                </c:pt>
                <c:pt idx="54">
                  <c:v>0.84822023819894898</c:v>
                </c:pt>
                <c:pt idx="55">
                  <c:v>0.50386502609942596</c:v>
                </c:pt>
                <c:pt idx="56">
                  <c:v>1.264541461889368</c:v>
                </c:pt>
                <c:pt idx="57">
                  <c:v>1.1682334683255302</c:v>
                </c:pt>
                <c:pt idx="58">
                  <c:v>0.80545169735648514</c:v>
                </c:pt>
                <c:pt idx="59">
                  <c:v>0.22327882818879985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301320"/>
        <c:axId val="338301712"/>
      </c:lineChart>
      <c:catAx>
        <c:axId val="33830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71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8301712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643388974174"/>
          <c:y val="0.18565985892388451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rgbClr val="F79646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 (1)</c:v>
                </c:pt>
              </c:strCache>
            </c:strRef>
          </c:cat>
          <c:val>
            <c:numRef>
              <c:f>'Data 3'!$F$9:$J$9</c:f>
              <c:numCache>
                <c:formatCode>#,##0</c:formatCode>
                <c:ptCount val="5"/>
                <c:pt idx="0">
                  <c:v>21093.512000000002</c:v>
                </c:pt>
                <c:pt idx="1">
                  <c:v>21183.826000000001</c:v>
                </c:pt>
                <c:pt idx="2">
                  <c:v>21618.968000000001</c:v>
                </c:pt>
                <c:pt idx="3">
                  <c:v>21727.929</c:v>
                </c:pt>
                <c:pt idx="4">
                  <c:v>21729.688999999998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39018472"/>
        <c:axId val="141458456"/>
      </c:barChart>
      <c:catAx>
        <c:axId val="13901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141458456"/>
        <c:crosses val="autoZero"/>
        <c:auto val="1"/>
        <c:lblAlgn val="ctr"/>
        <c:lblOffset val="100"/>
        <c:noMultiLvlLbl val="0"/>
      </c:catAx>
      <c:valAx>
        <c:axId val="141458456"/>
        <c:scaling>
          <c:orientation val="minMax"/>
          <c:max val="25000"/>
          <c:min val="0"/>
        </c:scaling>
        <c:delete val="1"/>
        <c:axPos val="l"/>
        <c:numFmt formatCode="#,##0" sourceLinked="1"/>
        <c:majorTickMark val="none"/>
        <c:minorTickMark val="none"/>
        <c:tickLblPos val="none"/>
        <c:crossAx val="1390184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8609432879323362"/>
          <c:y val="3.0690610314026954E-2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5'!$D$235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5'!$A$236:$C$295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5'!$D$236:$D$295</c:f>
              <c:numCache>
                <c:formatCode>0.0</c:formatCode>
                <c:ptCount val="60"/>
                <c:pt idx="0">
                  <c:v>-4.125593584379283</c:v>
                </c:pt>
                <c:pt idx="1">
                  <c:v>-3.6417026058097934</c:v>
                </c:pt>
                <c:pt idx="2">
                  <c:v>-3.342748696436959</c:v>
                </c:pt>
                <c:pt idx="3">
                  <c:v>-3.6715674957040978</c:v>
                </c:pt>
                <c:pt idx="4">
                  <c:v>-3.5408536439197724</c:v>
                </c:pt>
                <c:pt idx="5">
                  <c:v>-3.0232547199024684</c:v>
                </c:pt>
                <c:pt idx="6">
                  <c:v>-2.9911437656253814</c:v>
                </c:pt>
                <c:pt idx="7">
                  <c:v>-2.9489885015762995</c:v>
                </c:pt>
                <c:pt idx="8">
                  <c:v>-2.1763031257299614</c:v>
                </c:pt>
                <c:pt idx="9">
                  <c:v>-2.0520903887826236</c:v>
                </c:pt>
                <c:pt idx="10">
                  <c:v>-1.263665907506617</c:v>
                </c:pt>
                <c:pt idx="11">
                  <c:v>-0.13168015884177375</c:v>
                </c:pt>
                <c:pt idx="12">
                  <c:v>7.5574374818332402E-2</c:v>
                </c:pt>
                <c:pt idx="13">
                  <c:v>0.14642843888181822</c:v>
                </c:pt>
                <c:pt idx="14">
                  <c:v>0.28925066079532602</c:v>
                </c:pt>
                <c:pt idx="15">
                  <c:v>0.52558072809270051</c:v>
                </c:pt>
                <c:pt idx="16">
                  <c:v>0.69205655322515103</c:v>
                </c:pt>
                <c:pt idx="17">
                  <c:v>0.60727934191118216</c:v>
                </c:pt>
                <c:pt idx="18">
                  <c:v>1.2207735861220481</c:v>
                </c:pt>
                <c:pt idx="19">
                  <c:v>1.7129019808755253</c:v>
                </c:pt>
                <c:pt idx="20">
                  <c:v>1.4256168306175487</c:v>
                </c:pt>
                <c:pt idx="21">
                  <c:v>2.262256823806319</c:v>
                </c:pt>
                <c:pt idx="22">
                  <c:v>2.0072523249145435</c:v>
                </c:pt>
                <c:pt idx="23">
                  <c:v>1.6255987507709735</c:v>
                </c:pt>
                <c:pt idx="24">
                  <c:v>1.5036129533038123</c:v>
                </c:pt>
                <c:pt idx="25">
                  <c:v>1.7082349992504131</c:v>
                </c:pt>
                <c:pt idx="26">
                  <c:v>1.6995499050685536</c:v>
                </c:pt>
                <c:pt idx="27">
                  <c:v>1.9249455752883282</c:v>
                </c:pt>
                <c:pt idx="28">
                  <c:v>1.8165073436452239</c:v>
                </c:pt>
                <c:pt idx="29">
                  <c:v>2.1380109225274779</c:v>
                </c:pt>
                <c:pt idx="30">
                  <c:v>1.7033313773856307</c:v>
                </c:pt>
                <c:pt idx="31">
                  <c:v>1.798607275235331</c:v>
                </c:pt>
                <c:pt idx="32">
                  <c:v>1.8049149641147677</c:v>
                </c:pt>
                <c:pt idx="33">
                  <c:v>1.2918163285483564</c:v>
                </c:pt>
                <c:pt idx="34">
                  <c:v>1.306829140791721</c:v>
                </c:pt>
                <c:pt idx="35">
                  <c:v>1.2844483930341433</c:v>
                </c:pt>
                <c:pt idx="36">
                  <c:v>1.5622971853602285</c:v>
                </c:pt>
                <c:pt idx="37">
                  <c:v>1.1621549014873001</c:v>
                </c:pt>
                <c:pt idx="38">
                  <c:v>1.2984046435110308</c:v>
                </c:pt>
                <c:pt idx="39">
                  <c:v>1.2942666208060283</c:v>
                </c:pt>
                <c:pt idx="40">
                  <c:v>1.6773463285302048</c:v>
                </c:pt>
                <c:pt idx="41">
                  <c:v>1.6752970866656947</c:v>
                </c:pt>
                <c:pt idx="42">
                  <c:v>1.7924035042081288</c:v>
                </c:pt>
                <c:pt idx="43">
                  <c:v>1.6592362038753805</c:v>
                </c:pt>
                <c:pt idx="44">
                  <c:v>1.7642965077852457</c:v>
                </c:pt>
                <c:pt idx="45">
                  <c:v>2.0418634988495832</c:v>
                </c:pt>
                <c:pt idx="46">
                  <c:v>2.2021448851921477</c:v>
                </c:pt>
                <c:pt idx="47">
                  <c:v>2.1381327106764658</c:v>
                </c:pt>
                <c:pt idx="48">
                  <c:v>2.0116183517223218</c:v>
                </c:pt>
                <c:pt idx="49">
                  <c:v>2.3727934466849954</c:v>
                </c:pt>
                <c:pt idx="50">
                  <c:v>2.0825673937211908</c:v>
                </c:pt>
                <c:pt idx="51">
                  <c:v>1.8596986304316721</c:v>
                </c:pt>
                <c:pt idx="52">
                  <c:v>1.359929189710618</c:v>
                </c:pt>
                <c:pt idx="53">
                  <c:v>0.82920305634102132</c:v>
                </c:pt>
                <c:pt idx="54">
                  <c:v>0.61758210842177697</c:v>
                </c:pt>
                <c:pt idx="55">
                  <c:v>0.15811646448808947</c:v>
                </c:pt>
                <c:pt idx="56">
                  <c:v>0.10209745469647036</c:v>
                </c:pt>
                <c:pt idx="57">
                  <c:v>-0.34660095084980691</c:v>
                </c:pt>
                <c:pt idx="58">
                  <c:v>-0.85334674705956903</c:v>
                </c:pt>
                <c:pt idx="59">
                  <c:v>-1.0194112811112155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5'!$E$235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5'!$A$236:$C$295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5'!$E$236:$E$295</c:f>
              <c:numCache>
                <c:formatCode>0.0</c:formatCode>
                <c:ptCount val="60"/>
                <c:pt idx="0">
                  <c:v>-3.8688781314440979</c:v>
                </c:pt>
                <c:pt idx="1">
                  <c:v>-3.442022254507604</c:v>
                </c:pt>
                <c:pt idx="2">
                  <c:v>-3.2923835535842105</c:v>
                </c:pt>
                <c:pt idx="3">
                  <c:v>-3.3220574240868439</c:v>
                </c:pt>
                <c:pt idx="4">
                  <c:v>-3.2199388844695753</c:v>
                </c:pt>
                <c:pt idx="5">
                  <c:v>-2.8092950277677331</c:v>
                </c:pt>
                <c:pt idx="6">
                  <c:v>-2.4992818008724771</c:v>
                </c:pt>
                <c:pt idx="7">
                  <c:v>-2.0804822016042168</c:v>
                </c:pt>
                <c:pt idx="8">
                  <c:v>-1.1350814671771681</c:v>
                </c:pt>
                <c:pt idx="9">
                  <c:v>-0.85527119438141286</c:v>
                </c:pt>
                <c:pt idx="10">
                  <c:v>-5.8486555589021272E-2</c:v>
                </c:pt>
                <c:pt idx="11">
                  <c:v>1.0003216661532255</c:v>
                </c:pt>
                <c:pt idx="12">
                  <c:v>1.2038096100722373</c:v>
                </c:pt>
                <c:pt idx="13">
                  <c:v>1.3320447844927918</c:v>
                </c:pt>
                <c:pt idx="14">
                  <c:v>1.4633939618104774</c:v>
                </c:pt>
                <c:pt idx="15">
                  <c:v>1.5383684865416969</c:v>
                </c:pt>
                <c:pt idx="16">
                  <c:v>1.6634545246916765</c:v>
                </c:pt>
                <c:pt idx="17">
                  <c:v>1.4729511672068707</c:v>
                </c:pt>
                <c:pt idx="18">
                  <c:v>1.74045071556308</c:v>
                </c:pt>
                <c:pt idx="19">
                  <c:v>1.8144308190362946</c:v>
                </c:pt>
                <c:pt idx="20">
                  <c:v>1.3180264029020394</c:v>
                </c:pt>
                <c:pt idx="21">
                  <c:v>2.0820409205046131</c:v>
                </c:pt>
                <c:pt idx="22">
                  <c:v>1.7278606257014051</c:v>
                </c:pt>
                <c:pt idx="23">
                  <c:v>1.4376884169812643</c:v>
                </c:pt>
                <c:pt idx="24">
                  <c:v>1.3763469708526488</c:v>
                </c:pt>
                <c:pt idx="25">
                  <c:v>1.3192950966427475</c:v>
                </c:pt>
                <c:pt idx="26">
                  <c:v>1.3407596990492765</c:v>
                </c:pt>
                <c:pt idx="27">
                  <c:v>1.5970679070099525</c:v>
                </c:pt>
                <c:pt idx="28">
                  <c:v>1.4571935595080854</c:v>
                </c:pt>
                <c:pt idx="29">
                  <c:v>1.8009988818461942</c:v>
                </c:pt>
                <c:pt idx="30">
                  <c:v>1.5027767776951695</c:v>
                </c:pt>
                <c:pt idx="31">
                  <c:v>1.5667663562806355</c:v>
                </c:pt>
                <c:pt idx="32">
                  <c:v>1.6130050131813123</c:v>
                </c:pt>
                <c:pt idx="33">
                  <c:v>1.1119256838123981</c:v>
                </c:pt>
                <c:pt idx="34">
                  <c:v>1.1252021827730108</c:v>
                </c:pt>
                <c:pt idx="35">
                  <c:v>1.0767723876177859</c:v>
                </c:pt>
                <c:pt idx="36">
                  <c:v>1.2305786469050561</c:v>
                </c:pt>
                <c:pt idx="37">
                  <c:v>1.1421569769699991</c:v>
                </c:pt>
                <c:pt idx="38">
                  <c:v>1.0409294506140032</c:v>
                </c:pt>
                <c:pt idx="39">
                  <c:v>1.1620874399929315</c:v>
                </c:pt>
                <c:pt idx="40">
                  <c:v>1.5465129775263486</c:v>
                </c:pt>
                <c:pt idx="41">
                  <c:v>1.5430255235827639</c:v>
                </c:pt>
                <c:pt idx="42">
                  <c:v>1.5936692632798399</c:v>
                </c:pt>
                <c:pt idx="43">
                  <c:v>1.5010174109851837</c:v>
                </c:pt>
                <c:pt idx="44">
                  <c:v>1.6459030211025905</c:v>
                </c:pt>
                <c:pt idx="45">
                  <c:v>1.8356051208857638</c:v>
                </c:pt>
                <c:pt idx="46">
                  <c:v>2.0113735886963857</c:v>
                </c:pt>
                <c:pt idx="47">
                  <c:v>2.0367476181798905</c:v>
                </c:pt>
                <c:pt idx="48">
                  <c:v>2.2322930488101189</c:v>
                </c:pt>
                <c:pt idx="49">
                  <c:v>2.2604876238322191</c:v>
                </c:pt>
                <c:pt idx="50">
                  <c:v>2.0938512770321882</c:v>
                </c:pt>
                <c:pt idx="51">
                  <c:v>1.6662163819884723</c:v>
                </c:pt>
                <c:pt idx="52">
                  <c:v>1.1760491026808539</c:v>
                </c:pt>
                <c:pt idx="53">
                  <c:v>0.67215639234494695</c:v>
                </c:pt>
                <c:pt idx="54">
                  <c:v>0.40423854028153183</c:v>
                </c:pt>
                <c:pt idx="55">
                  <c:v>-5.5358215331613447E-2</c:v>
                </c:pt>
                <c:pt idx="56">
                  <c:v>-0.11220164961887047</c:v>
                </c:pt>
                <c:pt idx="57">
                  <c:v>-0.56405121143732195</c:v>
                </c:pt>
                <c:pt idx="58">
                  <c:v>-1.0503643556854181</c:v>
                </c:pt>
                <c:pt idx="59">
                  <c:v>-1.0474276623895662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037992"/>
        <c:axId val="340038384"/>
      </c:lineChart>
      <c:catAx>
        <c:axId val="3400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83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40038384"/>
        <c:scaling>
          <c:orientation val="minMax"/>
          <c:max val="4"/>
          <c:min val="-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799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5'!$E$298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5'!$C$299:$C$310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5'!$E$299:$E$310</c:f>
              <c:numCache>
                <c:formatCode>0.0</c:formatCode>
                <c:ptCount val="12"/>
                <c:pt idx="0">
                  <c:v>0.42947802053786432</c:v>
                </c:pt>
                <c:pt idx="1">
                  <c:v>3.8168216138380728E-2</c:v>
                </c:pt>
                <c:pt idx="2">
                  <c:v>-1.0999374989058008</c:v>
                </c:pt>
                <c:pt idx="3">
                  <c:v>0.75934474600856117</c:v>
                </c:pt>
                <c:pt idx="4">
                  <c:v>5.5780278060468813E-2</c:v>
                </c:pt>
                <c:pt idx="5">
                  <c:v>-0.1967168862649249</c:v>
                </c:pt>
                <c:pt idx="6">
                  <c:v>0.21540400276305327</c:v>
                </c:pt>
                <c:pt idx="7">
                  <c:v>1.8443982391580516E-2</c:v>
                </c:pt>
                <c:pt idx="8">
                  <c:v>-0.52369104719249826</c:v>
                </c:pt>
                <c:pt idx="9">
                  <c:v>0.69569626330225898</c:v>
                </c:pt>
                <c:pt idx="10">
                  <c:v>0.19166601630163926</c:v>
                </c:pt>
                <c:pt idx="11">
                  <c:v>1.1130039040305508</c:v>
                </c:pt>
              </c:numCache>
            </c:numRef>
          </c:val>
        </c:ser>
        <c:ser>
          <c:idx val="2"/>
          <c:order val="2"/>
          <c:tx>
            <c:strRef>
              <c:f>'Data 5'!$F$298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5'!$C$299:$C$310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5'!$F$299:$F$310</c:f>
              <c:numCache>
                <c:formatCode>0.0</c:formatCode>
                <c:ptCount val="12"/>
                <c:pt idx="0">
                  <c:v>-6.2914701700635067</c:v>
                </c:pt>
                <c:pt idx="1">
                  <c:v>11.486858005900325</c:v>
                </c:pt>
                <c:pt idx="2">
                  <c:v>6.1544632212114481</c:v>
                </c:pt>
                <c:pt idx="3">
                  <c:v>2.0280535849041881</c:v>
                </c:pt>
                <c:pt idx="4">
                  <c:v>-1.988478100932467</c:v>
                </c:pt>
                <c:pt idx="5">
                  <c:v>-3.1113988837263129</c:v>
                </c:pt>
                <c:pt idx="6">
                  <c:v>-0.43309081299560681</c:v>
                </c:pt>
                <c:pt idx="7">
                  <c:v>-0.84925141354261768</c:v>
                </c:pt>
                <c:pt idx="8">
                  <c:v>3.8320642362910773</c:v>
                </c:pt>
                <c:pt idx="9">
                  <c:v>0.71679112980047588</c:v>
                </c:pt>
                <c:pt idx="10">
                  <c:v>-0.96426442797322709</c:v>
                </c:pt>
                <c:pt idx="11">
                  <c:v>-3.7655319056084444</c:v>
                </c:pt>
              </c:numCache>
            </c:numRef>
          </c:val>
        </c:ser>
        <c:ser>
          <c:idx val="3"/>
          <c:order val="3"/>
          <c:tx>
            <c:strRef>
              <c:f>'Data 5'!$G$298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5'!$C$299:$C$310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5'!$G$299:$G$310</c:f>
              <c:numCache>
                <c:formatCode>0.0</c:formatCode>
                <c:ptCount val="12"/>
                <c:pt idx="0">
                  <c:v>-2.69020249441032</c:v>
                </c:pt>
                <c:pt idx="1">
                  <c:v>4.1457325298115837</c:v>
                </c:pt>
                <c:pt idx="2">
                  <c:v>7.864432182146941</c:v>
                </c:pt>
                <c:pt idx="3">
                  <c:v>9.6896484004460604E-3</c:v>
                </c:pt>
                <c:pt idx="4">
                  <c:v>0.60058827384469327</c:v>
                </c:pt>
                <c:pt idx="5">
                  <c:v>-4.4276908136953397</c:v>
                </c:pt>
                <c:pt idx="6">
                  <c:v>1.3636465008410426</c:v>
                </c:pt>
                <c:pt idx="7">
                  <c:v>0.42351327778075154</c:v>
                </c:pt>
                <c:pt idx="8">
                  <c:v>4.3175221033112665</c:v>
                </c:pt>
                <c:pt idx="9">
                  <c:v>-1.3543306061858829</c:v>
                </c:pt>
                <c:pt idx="10">
                  <c:v>-0.99298392977470451</c:v>
                </c:pt>
                <c:pt idx="11">
                  <c:v>-5.5361154307955953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39168"/>
        <c:axId val="340039560"/>
      </c:barChart>
      <c:lineChart>
        <c:grouping val="standard"/>
        <c:varyColors val="0"/>
        <c:ser>
          <c:idx val="0"/>
          <c:order val="0"/>
          <c:tx>
            <c:strRef>
              <c:f>'Data 5'!$D$298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5'!$C$299:$C$310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5'!$D$299:$D$310</c:f>
              <c:numCache>
                <c:formatCode>0.0</c:formatCode>
                <c:ptCount val="12"/>
                <c:pt idx="0">
                  <c:v>-8.5521946439359624</c:v>
                </c:pt>
                <c:pt idx="1">
                  <c:v>15.67075875185029</c:v>
                </c:pt>
                <c:pt idx="2">
                  <c:v>12.918957904452588</c:v>
                </c:pt>
                <c:pt idx="3">
                  <c:v>2.7970879793131953</c:v>
                </c:pt>
                <c:pt idx="4">
                  <c:v>-1.3321095490273049</c:v>
                </c:pt>
                <c:pt idx="5">
                  <c:v>-7.7358065836865775</c:v>
                </c:pt>
                <c:pt idx="6">
                  <c:v>1.145959690608489</c:v>
                </c:pt>
                <c:pt idx="7">
                  <c:v>-0.40729415337028563</c:v>
                </c:pt>
                <c:pt idx="8">
                  <c:v>7.6258952924098455</c:v>
                </c:pt>
                <c:pt idx="9">
                  <c:v>5.8156786916851999E-2</c:v>
                </c:pt>
                <c:pt idx="10">
                  <c:v>-1.7655823414462923</c:v>
                </c:pt>
                <c:pt idx="11">
                  <c:v>-8.1886434323734889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168"/>
        <c:axId val="340039560"/>
      </c:lineChart>
      <c:catAx>
        <c:axId val="340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9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5'!$E$313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5'!$C$314:$C$325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5'!$E$314:$E$325</c:f>
              <c:numCache>
                <c:formatCode>0.0</c:formatCode>
                <c:ptCount val="12"/>
                <c:pt idx="0">
                  <c:v>2.0406393484106999E-2</c:v>
                </c:pt>
                <c:pt idx="1">
                  <c:v>-5.8760771526200628E-2</c:v>
                </c:pt>
                <c:pt idx="2">
                  <c:v>-1.1774194933108606</c:v>
                </c:pt>
                <c:pt idx="3">
                  <c:v>1.165203448721952</c:v>
                </c:pt>
                <c:pt idx="4">
                  <c:v>1.0355879504420074E-2</c:v>
                </c:pt>
                <c:pt idx="5">
                  <c:v>-0.24914960106570128</c:v>
                </c:pt>
                <c:pt idx="6">
                  <c:v>0.24471615636280086</c:v>
                </c:pt>
                <c:pt idx="7">
                  <c:v>0.12081973838858895</c:v>
                </c:pt>
                <c:pt idx="8">
                  <c:v>-0.34038879176503389</c:v>
                </c:pt>
                <c:pt idx="9">
                  <c:v>0.63905868675939725</c:v>
                </c:pt>
                <c:pt idx="10">
                  <c:v>-9.752269515675982E-2</c:v>
                </c:pt>
                <c:pt idx="11">
                  <c:v>0.41941886353720204</c:v>
                </c:pt>
              </c:numCache>
            </c:numRef>
          </c:val>
        </c:ser>
        <c:ser>
          <c:idx val="2"/>
          <c:order val="2"/>
          <c:tx>
            <c:strRef>
              <c:f>'Data 5'!$F$313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5'!$C$314:$C$325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5'!$F$314:$F$325</c:f>
              <c:numCache>
                <c:formatCode>0.0</c:formatCode>
                <c:ptCount val="12"/>
                <c:pt idx="0">
                  <c:v>0.28399888438610521</c:v>
                </c:pt>
                <c:pt idx="1">
                  <c:v>0.30633555256036615</c:v>
                </c:pt>
                <c:pt idx="2">
                  <c:v>-0.15019436033743006</c:v>
                </c:pt>
                <c:pt idx="3">
                  <c:v>-2.9540801572003339E-2</c:v>
                </c:pt>
                <c:pt idx="4">
                  <c:v>-5.2509741890527373E-3</c:v>
                </c:pt>
                <c:pt idx="5">
                  <c:v>-0.10816969297577916</c:v>
                </c:pt>
                <c:pt idx="6">
                  <c:v>-5.6479089917682579E-2</c:v>
                </c:pt>
                <c:pt idx="7">
                  <c:v>-0.14009829031844667</c:v>
                </c:pt>
                <c:pt idx="8">
                  <c:v>2.0124199309612401E-2</c:v>
                </c:pt>
                <c:pt idx="9">
                  <c:v>-0.19248356809615785</c:v>
                </c:pt>
                <c:pt idx="10">
                  <c:v>1.4655500196214533E-2</c:v>
                </c:pt>
                <c:pt idx="11">
                  <c:v>-0.15137496601633771</c:v>
                </c:pt>
              </c:numCache>
            </c:numRef>
          </c:val>
        </c:ser>
        <c:ser>
          <c:idx val="3"/>
          <c:order val="3"/>
          <c:tx>
            <c:strRef>
              <c:f>'Data 5'!$G$313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5'!$C$314:$C$325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5'!$G$314:$G$325</c:f>
              <c:numCache>
                <c:formatCode>0.0</c:formatCode>
                <c:ptCount val="12"/>
                <c:pt idx="0">
                  <c:v>1.021042427608676</c:v>
                </c:pt>
                <c:pt idx="1">
                  <c:v>2.3410152521108119</c:v>
                </c:pt>
                <c:pt idx="2">
                  <c:v>0.40088453512929778</c:v>
                </c:pt>
                <c:pt idx="3">
                  <c:v>-1.4774439506400561</c:v>
                </c:pt>
                <c:pt idx="4">
                  <c:v>-1.7962172340950988</c:v>
                </c:pt>
                <c:pt idx="5">
                  <c:v>-2.7577425918951737</c:v>
                </c:pt>
                <c:pt idx="6">
                  <c:v>-1.5902409250029392</c:v>
                </c:pt>
                <c:pt idx="7">
                  <c:v>-3.0343846943285624</c:v>
                </c:pt>
                <c:pt idx="8">
                  <c:v>1.0816404615087816</c:v>
                </c:pt>
                <c:pt idx="9">
                  <c:v>-1.8713730753844415</c:v>
                </c:pt>
                <c:pt idx="10">
                  <c:v>-3.0078874986658399</c:v>
                </c:pt>
                <c:pt idx="11">
                  <c:v>-1.4958092681393476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40344"/>
        <c:axId val="340040736"/>
      </c:barChart>
      <c:lineChart>
        <c:grouping val="standard"/>
        <c:varyColors val="0"/>
        <c:ser>
          <c:idx val="0"/>
          <c:order val="0"/>
          <c:tx>
            <c:strRef>
              <c:f>'Data 5'!$D$313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5'!$C$314:$C$325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5'!$D$314:$D$325</c:f>
              <c:numCache>
                <c:formatCode>0.0</c:formatCode>
                <c:ptCount val="12"/>
                <c:pt idx="0">
                  <c:v>1.3254477054788882</c:v>
                </c:pt>
                <c:pt idx="1">
                  <c:v>2.5885900331449774</c:v>
                </c:pt>
                <c:pt idx="2">
                  <c:v>-0.92672931851899287</c:v>
                </c:pt>
                <c:pt idx="3">
                  <c:v>-0.34178130349010738</c:v>
                </c:pt>
                <c:pt idx="4">
                  <c:v>-1.7911123287797315</c:v>
                </c:pt>
                <c:pt idx="5">
                  <c:v>-3.1150618859366541</c:v>
                </c:pt>
                <c:pt idx="6">
                  <c:v>-1.4020038585578209</c:v>
                </c:pt>
                <c:pt idx="7">
                  <c:v>-3.0536632462584201</c:v>
                </c:pt>
                <c:pt idx="8">
                  <c:v>0.76137586905336008</c:v>
                </c:pt>
                <c:pt idx="9">
                  <c:v>-1.4247979567212021</c:v>
                </c:pt>
                <c:pt idx="10">
                  <c:v>-3.0907546936263852</c:v>
                </c:pt>
                <c:pt idx="11">
                  <c:v>-1.2277653706184832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0344"/>
        <c:axId val="340040736"/>
      </c:lineChart>
      <c:catAx>
        <c:axId val="34004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4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0316445810127393"/>
                  <c:y val="6.0054552004528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862262339158823"/>
                  <c:y val="4.1425762956100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074092567697332"/>
                  <c:y val="5.8866759302146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8578836182062614E-2"/>
                  <c:y val="0.31990695280736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91827667882978"/>
                  <c:y val="0.27269456023879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8123397989885413"/>
                  <c:y val="0.11241830065359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5853658536587"/>
                      <c:h val="0.1337779836343986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5911273285961206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90442353242432"/>
                      <c:h val="0.1233204672945293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9.3665450355290961E-2"/>
                  <c:y val="-0.112873655498944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1769899494270533"/>
                  <c:y val="-9.700952086871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9546021381473658"/>
                  <c:y val="-1.661221759044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5'!$C$346:$C$356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5'!$F$346:$F$356</c:f>
              <c:numCache>
                <c:formatCode>#,##0.0\ \ \ _)</c:formatCode>
                <c:ptCount val="11"/>
                <c:pt idx="0">
                  <c:v>20.5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91C17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Lbls>
            <c:dLbl>
              <c:idx val="0"/>
              <c:layout>
                <c:manualLayout>
                  <c:x val="0.10560348249151771"/>
                  <c:y val="-0.1438670166229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126063632289865"/>
                  <c:y val="0.1146283773351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810255425388899E-3"/>
                  <c:y val="0.147755648191034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2074771141412197E-2"/>
                  <c:y val="0.2555660542432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0731694513795531"/>
                  <c:y val="0.264052287581699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5918366301773254"/>
                  <c:y val="0.16289063867016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7628756161577364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7174034952947956"/>
                  <c:y val="-3.72250527507590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522020357211446"/>
                  <c:y val="-0.13378868817868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3921157416298571"/>
                  <c:y val="-0.23295723328701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5'!$C$377:$C$388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5'!$F$377:$F$388</c:f>
              <c:numCache>
                <c:formatCode>#,##0.0\ \ \ _)</c:formatCode>
                <c:ptCount val="12"/>
                <c:pt idx="0">
                  <c:v>39.5</c:v>
                </c:pt>
                <c:pt idx="1">
                  <c:v>10.5</c:v>
                </c:pt>
                <c:pt idx="2">
                  <c:v>12.6</c:v>
                </c:pt>
                <c:pt idx="3">
                  <c:v>9.8000000000000007</c:v>
                </c:pt>
                <c:pt idx="4">
                  <c:v>0.2</c:v>
                </c:pt>
                <c:pt idx="5">
                  <c:v>0.6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0.1</c:v>
                </c:pt>
                <c:pt idx="9">
                  <c:v>1.9</c:v>
                </c:pt>
                <c:pt idx="10">
                  <c:v>0</c:v>
                </c:pt>
                <c:pt idx="11">
                  <c:v>20.399999999999999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91C17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Lbls>
            <c:dLbl>
              <c:idx val="0"/>
              <c:layout>
                <c:manualLayout>
                  <c:x val="0.10560348249151771"/>
                  <c:y val="-0.1438670166229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126063632289865"/>
                  <c:y val="0.1146283773351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6271045387619223E-3"/>
                  <c:y val="0.19481447172044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2074771141412197E-2"/>
                  <c:y val="0.2555660542432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658523782088214"/>
                  <c:y val="0.21699346405228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5918366301773254"/>
                  <c:y val="0.11583181514075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7628756161577364"/>
                  <c:y val="-5.22875816993468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6848831700915434"/>
                  <c:y val="-0.126113941639648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3595954164266053"/>
                  <c:y val="-0.217270958777211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5'!$C$361:$C$372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5'!$F$361:$F$372</c:f>
              <c:numCache>
                <c:formatCode>#,##0.0\ \ \ _)</c:formatCode>
                <c:ptCount val="12"/>
                <c:pt idx="0">
                  <c:v>43.2</c:v>
                </c:pt>
                <c:pt idx="1">
                  <c:v>13.2</c:v>
                </c:pt>
                <c:pt idx="2">
                  <c:v>9.3000000000000007</c:v>
                </c:pt>
                <c:pt idx="3">
                  <c:v>7</c:v>
                </c:pt>
                <c:pt idx="4">
                  <c:v>0.2</c:v>
                </c:pt>
                <c:pt idx="5">
                  <c:v>0.6</c:v>
                </c:pt>
                <c:pt idx="6">
                  <c:v>2.4</c:v>
                </c:pt>
                <c:pt idx="7">
                  <c:v>2.4</c:v>
                </c:pt>
                <c:pt idx="8">
                  <c:v>0</c:v>
                </c:pt>
                <c:pt idx="9">
                  <c:v>2.1</c:v>
                </c:pt>
                <c:pt idx="10">
                  <c:v>0</c:v>
                </c:pt>
                <c:pt idx="11">
                  <c:v>19.600000000000001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66"/>
              </a:solidFill>
            </c:spPr>
          </c:dPt>
          <c:dPt>
            <c:idx val="5"/>
            <c:bubble3D val="0"/>
            <c:spPr>
              <a:solidFill>
                <a:srgbClr val="0090D1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8.6091287369566491E-2"/>
                  <c:y val="-0.117723225773248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37872095256385"/>
                  <c:y val="-1.086181874324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309570450035209"/>
                  <c:y val="9.546806649168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85525894629028"/>
                  <c:y val="0.187145900880036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491748287561617"/>
                  <c:y val="0.12106057331068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6053543307086615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8824543883234107"/>
                  <c:y val="1.5062528948587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6764919019268935"/>
                  <c:y val="-2.408604806752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2945547660201012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5'!$C$393:$C$402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5'!$F$393:$F$402</c:f>
              <c:numCache>
                <c:formatCode>#,##0.0\ \ \ _)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16.100000000000001</c:v>
                </c:pt>
                <c:pt idx="3">
                  <c:v>28.7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66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5'!$C$421:$C$430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5'!$F$421:$F$430</c:f>
              <c:numCache>
                <c:formatCode>#,##0.0\ \ \ _)</c:formatCode>
                <c:ptCount val="10"/>
                <c:pt idx="0">
                  <c:v>24</c:v>
                </c:pt>
                <c:pt idx="1">
                  <c:v>3.2</c:v>
                </c:pt>
                <c:pt idx="2">
                  <c:v>27.8</c:v>
                </c:pt>
                <c:pt idx="3">
                  <c:v>34.5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7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66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5'!$C$407:$C$416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5'!$F$407:$F$416</c:f>
              <c:numCache>
                <c:formatCode>#,##0.0\ \ \ _)</c:formatCode>
                <c:ptCount val="10"/>
                <c:pt idx="0">
                  <c:v>25.1</c:v>
                </c:pt>
                <c:pt idx="1">
                  <c:v>3.5</c:v>
                </c:pt>
                <c:pt idx="2">
                  <c:v>29.9</c:v>
                </c:pt>
                <c:pt idx="3">
                  <c:v>33.700000000000003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4.4000000000000004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1'!$D$145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1'!$D$146:$D$205</c:f>
              <c:numCache>
                <c:formatCode>0.0</c:formatCode>
                <c:ptCount val="60"/>
                <c:pt idx="0">
                  <c:v>-2.2941973646715907</c:v>
                </c:pt>
                <c:pt idx="1">
                  <c:v>-1.4206364061453369</c:v>
                </c:pt>
                <c:pt idx="2">
                  <c:v>-1.4616705257506357</c:v>
                </c:pt>
                <c:pt idx="3">
                  <c:v>-1.7362760047634818</c:v>
                </c:pt>
                <c:pt idx="4">
                  <c:v>-1.4228653321082918</c:v>
                </c:pt>
                <c:pt idx="5">
                  <c:v>-0.5941205686124218</c:v>
                </c:pt>
                <c:pt idx="6">
                  <c:v>-0.81303647337350737</c:v>
                </c:pt>
                <c:pt idx="7">
                  <c:v>-0.65741407525370388</c:v>
                </c:pt>
                <c:pt idx="8">
                  <c:v>-0.3765495958775622</c:v>
                </c:pt>
                <c:pt idx="9">
                  <c:v>-0.42748522510560605</c:v>
                </c:pt>
                <c:pt idx="10">
                  <c:v>-0.78432569957992415</c:v>
                </c:pt>
                <c:pt idx="11">
                  <c:v>-1.1165703303855801</c:v>
                </c:pt>
                <c:pt idx="12">
                  <c:v>-0.66308093168142568</c:v>
                </c:pt>
                <c:pt idx="13">
                  <c:v>-0.33893708316866666</c:v>
                </c:pt>
                <c:pt idx="14">
                  <c:v>-0.12153892729561688</c:v>
                </c:pt>
                <c:pt idx="15">
                  <c:v>0.17370880176077463</c:v>
                </c:pt>
                <c:pt idx="16">
                  <c:v>0.31365549642583535</c:v>
                </c:pt>
                <c:pt idx="17">
                  <c:v>0.44891602659826724</c:v>
                </c:pt>
                <c:pt idx="18">
                  <c:v>1.6552356706822202</c:v>
                </c:pt>
                <c:pt idx="19">
                  <c:v>2.1356198408534421</c:v>
                </c:pt>
                <c:pt idx="20">
                  <c:v>1.6116723919295195</c:v>
                </c:pt>
                <c:pt idx="21">
                  <c:v>1.6708577492967835</c:v>
                </c:pt>
                <c:pt idx="22">
                  <c:v>1.9921933992340657</c:v>
                </c:pt>
                <c:pt idx="23">
                  <c:v>1.9720720160641081</c:v>
                </c:pt>
                <c:pt idx="24">
                  <c:v>1.2337419100335145</c:v>
                </c:pt>
                <c:pt idx="25">
                  <c:v>0.91322261472213118</c:v>
                </c:pt>
                <c:pt idx="26">
                  <c:v>0.92760084465688397</c:v>
                </c:pt>
                <c:pt idx="27">
                  <c:v>1.3549645512741515</c:v>
                </c:pt>
                <c:pt idx="28">
                  <c:v>1.133537754556535</c:v>
                </c:pt>
                <c:pt idx="29">
                  <c:v>0.75916800760960079</c:v>
                </c:pt>
                <c:pt idx="30">
                  <c:v>-0.7102557544428012</c:v>
                </c:pt>
                <c:pt idx="31">
                  <c:v>-0.76983247675092015</c:v>
                </c:pt>
                <c:pt idx="32">
                  <c:v>1.6589706366376689E-2</c:v>
                </c:pt>
                <c:pt idx="33">
                  <c:v>3.2264394619829773E-2</c:v>
                </c:pt>
                <c:pt idx="34">
                  <c:v>0.30954923618289332</c:v>
                </c:pt>
                <c:pt idx="35">
                  <c:v>0.68954404924408408</c:v>
                </c:pt>
                <c:pt idx="36">
                  <c:v>1.8214939570820654</c:v>
                </c:pt>
                <c:pt idx="37">
                  <c:v>1.5487456247115006</c:v>
                </c:pt>
                <c:pt idx="38">
                  <c:v>1.2902818730631704</c:v>
                </c:pt>
                <c:pt idx="39">
                  <c:v>0.46742726205792895</c:v>
                </c:pt>
                <c:pt idx="40">
                  <c:v>0.7352368524004671</c:v>
                </c:pt>
                <c:pt idx="41">
                  <c:v>1.3777020564947451</c:v>
                </c:pt>
                <c:pt idx="42">
                  <c:v>1.9747728299073231</c:v>
                </c:pt>
                <c:pt idx="43">
                  <c:v>1.8805035296798556</c:v>
                </c:pt>
                <c:pt idx="44">
                  <c:v>1.0942806209073508</c:v>
                </c:pt>
                <c:pt idx="45">
                  <c:v>1.1928373158870409</c:v>
                </c:pt>
                <c:pt idx="46">
                  <c:v>0.98189735459313088</c:v>
                </c:pt>
                <c:pt idx="47">
                  <c:v>1.1320558128334435</c:v>
                </c:pt>
                <c:pt idx="48">
                  <c:v>0.29028859468671619</c:v>
                </c:pt>
                <c:pt idx="49">
                  <c:v>1.1499905101029606</c:v>
                </c:pt>
                <c:pt idx="50">
                  <c:v>1.673640719028846</c:v>
                </c:pt>
                <c:pt idx="51">
                  <c:v>2.4415526364539142</c:v>
                </c:pt>
                <c:pt idx="52">
                  <c:v>2.1807097889496641</c:v>
                </c:pt>
                <c:pt idx="53">
                  <c:v>1.044783300647345</c:v>
                </c:pt>
                <c:pt idx="54">
                  <c:v>0.86536734840299001</c:v>
                </c:pt>
                <c:pt idx="55">
                  <c:v>0.81112212503802184</c:v>
                </c:pt>
                <c:pt idx="56">
                  <c:v>1.3135237741526584</c:v>
                </c:pt>
                <c:pt idx="57">
                  <c:v>1.2249860956851766</c:v>
                </c:pt>
                <c:pt idx="58">
                  <c:v>1.1227620682029649</c:v>
                </c:pt>
                <c:pt idx="59">
                  <c:v>0.39160650203691194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1'!$E$145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1'!$E$146:$E$205</c:f>
              <c:numCache>
                <c:formatCode>0.0</c:formatCode>
                <c:ptCount val="60"/>
                <c:pt idx="0">
                  <c:v>-2.1360369206329666</c:v>
                </c:pt>
                <c:pt idx="1">
                  <c:v>-1.4366108345573725</c:v>
                </c:pt>
                <c:pt idx="2">
                  <c:v>-1.2581436946291102</c:v>
                </c:pt>
                <c:pt idx="3">
                  <c:v>-0.98459057041594411</c:v>
                </c:pt>
                <c:pt idx="4">
                  <c:v>-0.61171913878013129</c:v>
                </c:pt>
                <c:pt idx="5">
                  <c:v>-0.40872397588245235</c:v>
                </c:pt>
                <c:pt idx="6">
                  <c:v>-0.11394294172266672</c:v>
                </c:pt>
                <c:pt idx="7">
                  <c:v>7.9974298932716792E-2</c:v>
                </c:pt>
                <c:pt idx="8">
                  <c:v>0.29477619840765357</c:v>
                </c:pt>
                <c:pt idx="9">
                  <c:v>0.33959782643773195</c:v>
                </c:pt>
                <c:pt idx="10">
                  <c:v>0.24318932384800318</c:v>
                </c:pt>
                <c:pt idx="11">
                  <c:v>-0.12362130485646938</c:v>
                </c:pt>
                <c:pt idx="12">
                  <c:v>0.22320615519026976</c:v>
                </c:pt>
                <c:pt idx="13">
                  <c:v>0.31464041729158954</c:v>
                </c:pt>
                <c:pt idx="14">
                  <c:v>0.33978316966348787</c:v>
                </c:pt>
                <c:pt idx="15">
                  <c:v>0.32071464586085341</c:v>
                </c:pt>
                <c:pt idx="16">
                  <c:v>9.2877763288423676E-2</c:v>
                </c:pt>
                <c:pt idx="17">
                  <c:v>0.11609704376964736</c:v>
                </c:pt>
                <c:pt idx="18">
                  <c:v>0.57955426606273175</c:v>
                </c:pt>
                <c:pt idx="19">
                  <c:v>0.79106842842275871</c:v>
                </c:pt>
                <c:pt idx="20">
                  <c:v>0.65816387712707147</c:v>
                </c:pt>
                <c:pt idx="21">
                  <c:v>1.0705576674835182</c:v>
                </c:pt>
                <c:pt idx="22">
                  <c:v>1.2673115725786221</c:v>
                </c:pt>
                <c:pt idx="23">
                  <c:v>1.6879569613720724</c:v>
                </c:pt>
                <c:pt idx="24">
                  <c:v>1.2580591970271948</c:v>
                </c:pt>
                <c:pt idx="25">
                  <c:v>1.0698443735218</c:v>
                </c:pt>
                <c:pt idx="26">
                  <c:v>1.2476623759437588</c:v>
                </c:pt>
                <c:pt idx="27">
                  <c:v>1.4702047517277883</c:v>
                </c:pt>
                <c:pt idx="28">
                  <c:v>1.3596434466267571</c:v>
                </c:pt>
                <c:pt idx="29">
                  <c:v>1.2170422909633771</c:v>
                </c:pt>
                <c:pt idx="30">
                  <c:v>0.22628581302406303</c:v>
                </c:pt>
                <c:pt idx="31">
                  <c:v>3.8176462584083026E-3</c:v>
                </c:pt>
                <c:pt idx="32">
                  <c:v>0.49210147290799089</c:v>
                </c:pt>
                <c:pt idx="33">
                  <c:v>0.35590130951366206</c:v>
                </c:pt>
                <c:pt idx="34">
                  <c:v>0.35830297764569696</c:v>
                </c:pt>
                <c:pt idx="35">
                  <c:v>1.3063496734622149E-2</c:v>
                </c:pt>
                <c:pt idx="36">
                  <c:v>0.77660964997232629</c:v>
                </c:pt>
                <c:pt idx="37">
                  <c:v>0.99351650448136208</c:v>
                </c:pt>
                <c:pt idx="38">
                  <c:v>0.64457319574053873</c:v>
                </c:pt>
                <c:pt idx="39">
                  <c:v>0.43870566045292048</c:v>
                </c:pt>
                <c:pt idx="40">
                  <c:v>0.49798577538213706</c:v>
                </c:pt>
                <c:pt idx="41">
                  <c:v>0.88168999940290149</c:v>
                </c:pt>
                <c:pt idx="42">
                  <c:v>1.2653026621543217</c:v>
                </c:pt>
                <c:pt idx="43">
                  <c:v>1.3714085711900692</c:v>
                </c:pt>
                <c:pt idx="44">
                  <c:v>0.90896621129796795</c:v>
                </c:pt>
                <c:pt idx="45">
                  <c:v>0.86892485876839398</c:v>
                </c:pt>
                <c:pt idx="46">
                  <c:v>1.0267927287909817</c:v>
                </c:pt>
                <c:pt idx="47">
                  <c:v>1.640687715691147</c:v>
                </c:pt>
                <c:pt idx="48">
                  <c:v>0.72968448250856355</c:v>
                </c:pt>
                <c:pt idx="49">
                  <c:v>1.1338735503760411</c:v>
                </c:pt>
                <c:pt idx="50">
                  <c:v>1.7058365622015348</c:v>
                </c:pt>
                <c:pt idx="51">
                  <c:v>1.8635418191359276</c:v>
                </c:pt>
                <c:pt idx="52">
                  <c:v>1.9242655830324473</c:v>
                </c:pt>
                <c:pt idx="53">
                  <c:v>1.3063598213157279</c:v>
                </c:pt>
                <c:pt idx="54">
                  <c:v>1.2038823962226441</c:v>
                </c:pt>
                <c:pt idx="55">
                  <c:v>1.2121075620414867</c:v>
                </c:pt>
                <c:pt idx="56">
                  <c:v>1.5753318903837688</c:v>
                </c:pt>
                <c:pt idx="57">
                  <c:v>1.5435687822780819</c:v>
                </c:pt>
                <c:pt idx="58">
                  <c:v>1.2121611850250069</c:v>
                </c:pt>
                <c:pt idx="59">
                  <c:v>0.31215722717412575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08888"/>
        <c:axId val="332329440"/>
      </c:lineChart>
      <c:catAx>
        <c:axId val="14570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2944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23294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570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1'!$E$208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1'!$E$209:$E$220</c:f>
              <c:numCache>
                <c:formatCode>0.0</c:formatCode>
                <c:ptCount val="12"/>
                <c:pt idx="0">
                  <c:v>1.5060782363353953</c:v>
                </c:pt>
                <c:pt idx="1">
                  <c:v>-0.14002200906282347</c:v>
                </c:pt>
                <c:pt idx="2">
                  <c:v>-2.8250612894685556</c:v>
                </c:pt>
                <c:pt idx="3">
                  <c:v>2.2658307139816092</c:v>
                </c:pt>
                <c:pt idx="4">
                  <c:v>-0.42905792720324687</c:v>
                </c:pt>
                <c:pt idx="5">
                  <c:v>-0.4864798511772026</c:v>
                </c:pt>
                <c:pt idx="6">
                  <c:v>-0.71396157129065552</c:v>
                </c:pt>
                <c:pt idx="7">
                  <c:v>-1.4754783626463874</c:v>
                </c:pt>
                <c:pt idx="8">
                  <c:v>-1.8306262218946268</c:v>
                </c:pt>
                <c:pt idx="9">
                  <c:v>0.87446389212507691</c:v>
                </c:pt>
                <c:pt idx="10">
                  <c:v>-0.44744165197523333</c:v>
                </c:pt>
                <c:pt idx="11">
                  <c:v>2.0637523411552889</c:v>
                </c:pt>
              </c:numCache>
            </c:numRef>
          </c:val>
        </c:ser>
        <c:ser>
          <c:idx val="2"/>
          <c:order val="2"/>
          <c:tx>
            <c:strRef>
              <c:f>'Data 1'!$F$208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1'!$F$209:$F$220</c:f>
              <c:numCache>
                <c:formatCode>0.0</c:formatCode>
                <c:ptCount val="12"/>
                <c:pt idx="0">
                  <c:v>-1.6089130443288746</c:v>
                </c:pt>
                <c:pt idx="1">
                  <c:v>3.6965286851976975</c:v>
                </c:pt>
                <c:pt idx="2">
                  <c:v>2.3743739143770481</c:v>
                </c:pt>
                <c:pt idx="3">
                  <c:v>1.1062434206777105</c:v>
                </c:pt>
                <c:pt idx="4">
                  <c:v>-1.5440245458743673</c:v>
                </c:pt>
                <c:pt idx="5">
                  <c:v>-2.6747369714020928</c:v>
                </c:pt>
                <c:pt idx="6">
                  <c:v>-0.35399188282606575</c:v>
                </c:pt>
                <c:pt idx="7">
                  <c:v>0.70129453712288736</c:v>
                </c:pt>
                <c:pt idx="8">
                  <c:v>1.7894521619491233</c:v>
                </c:pt>
                <c:pt idx="9">
                  <c:v>-0.22134430335545296</c:v>
                </c:pt>
                <c:pt idx="10">
                  <c:v>1.5251728040039714</c:v>
                </c:pt>
                <c:pt idx="11">
                  <c:v>-1.5548532956937695</c:v>
                </c:pt>
              </c:numCache>
            </c:numRef>
          </c:val>
        </c:ser>
        <c:ser>
          <c:idx val="3"/>
          <c:order val="3"/>
          <c:tx>
            <c:strRef>
              <c:f>'Data 1'!$G$208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1'!$G$209:$G$220</c:f>
              <c:numCache>
                <c:formatCode>0.0</c:formatCode>
                <c:ptCount val="12"/>
                <c:pt idx="0">
                  <c:v>-1.9883101201786602</c:v>
                </c:pt>
                <c:pt idx="1">
                  <c:v>3.0341924982508317</c:v>
                </c:pt>
                <c:pt idx="2">
                  <c:v>5.0195907385145899</c:v>
                </c:pt>
                <c:pt idx="3">
                  <c:v>1.6821969048298913</c:v>
                </c:pt>
                <c:pt idx="4">
                  <c:v>1.3557524701456547</c:v>
                </c:pt>
                <c:pt idx="5">
                  <c:v>-3.0983795626049679</c:v>
                </c:pt>
                <c:pt idx="6">
                  <c:v>8.855631973359035E-3</c:v>
                </c:pt>
                <c:pt idx="7">
                  <c:v>1.738635366042196</c:v>
                </c:pt>
                <c:pt idx="8">
                  <c:v>2.9844332245951843</c:v>
                </c:pt>
                <c:pt idx="9">
                  <c:v>-3.3785388621299095E-2</c:v>
                </c:pt>
                <c:pt idx="10">
                  <c:v>-1.0267906953472794</c:v>
                </c:pt>
                <c:pt idx="11">
                  <c:v>-4.9557972774946562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04208"/>
        <c:axId val="143591048"/>
      </c:barChart>
      <c:lineChart>
        <c:grouping val="standard"/>
        <c:varyColors val="0"/>
        <c:ser>
          <c:idx val="0"/>
          <c:order val="0"/>
          <c:tx>
            <c:strRef>
              <c:f>'Data 1'!$D$208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1'!$D$209:$D$220</c:f>
              <c:numCache>
                <c:formatCode>0.0</c:formatCode>
                <c:ptCount val="12"/>
                <c:pt idx="0">
                  <c:v>-2.0911449281721395</c:v>
                </c:pt>
                <c:pt idx="1">
                  <c:v>6.5906991743857057</c:v>
                </c:pt>
                <c:pt idx="2">
                  <c:v>4.5689033634230825</c:v>
                </c:pt>
                <c:pt idx="3">
                  <c:v>5.054271039489211</c:v>
                </c:pt>
                <c:pt idx="4">
                  <c:v>-0.6173300029319595</c:v>
                </c:pt>
                <c:pt idx="5">
                  <c:v>-6.2595963851842633</c:v>
                </c:pt>
                <c:pt idx="6">
                  <c:v>-1.0590978221433622</c:v>
                </c:pt>
                <c:pt idx="7">
                  <c:v>0.96445154051869597</c:v>
                </c:pt>
                <c:pt idx="8">
                  <c:v>2.9432591646496808</c:v>
                </c:pt>
                <c:pt idx="9">
                  <c:v>0.61933420014832485</c:v>
                </c:pt>
                <c:pt idx="10">
                  <c:v>5.0940456681458635E-2</c:v>
                </c:pt>
                <c:pt idx="11">
                  <c:v>-4.4468982320331367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04208"/>
        <c:axId val="143591048"/>
      </c:lineChart>
      <c:catAx>
        <c:axId val="333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3591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91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360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5828946796015139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2'!$D$6</c:f>
              <c:strCache>
                <c:ptCount val="1"/>
                <c:pt idx="0">
                  <c:v>General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2'!$D$7:$D$66</c:f>
              <c:numCache>
                <c:formatCode>0.0</c:formatCode>
                <c:ptCount val="60"/>
                <c:pt idx="0">
                  <c:v>-0.4</c:v>
                </c:pt>
                <c:pt idx="1">
                  <c:v>0.1</c:v>
                </c:pt>
                <c:pt idx="2">
                  <c:v>0.9</c:v>
                </c:pt>
                <c:pt idx="3">
                  <c:v>1</c:v>
                </c:pt>
                <c:pt idx="4">
                  <c:v>1.4</c:v>
                </c:pt>
                <c:pt idx="5">
                  <c:v>1.7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2.5</c:v>
                </c:pt>
                <c:pt idx="11">
                  <c:v>2.7</c:v>
                </c:pt>
                <c:pt idx="12">
                  <c:v>2.9</c:v>
                </c:pt>
                <c:pt idx="13">
                  <c:v>2.8</c:v>
                </c:pt>
                <c:pt idx="14">
                  <c:v>2.6</c:v>
                </c:pt>
                <c:pt idx="15">
                  <c:v>2.7</c:v>
                </c:pt>
                <c:pt idx="16">
                  <c:v>2.5</c:v>
                </c:pt>
                <c:pt idx="17">
                  <c:v>2.4</c:v>
                </c:pt>
                <c:pt idx="18">
                  <c:v>2.2000000000000002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2.5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2.1</c:v>
                </c:pt>
                <c:pt idx="25">
                  <c:v>2</c:v>
                </c:pt>
                <c:pt idx="26">
                  <c:v>1.7</c:v>
                </c:pt>
                <c:pt idx="27">
                  <c:v>1.6</c:v>
                </c:pt>
                <c:pt idx="28">
                  <c:v>1.5</c:v>
                </c:pt>
                <c:pt idx="29">
                  <c:v>1.4</c:v>
                </c:pt>
                <c:pt idx="30">
                  <c:v>1.2</c:v>
                </c:pt>
                <c:pt idx="31">
                  <c:v>0.9</c:v>
                </c:pt>
                <c:pt idx="32">
                  <c:v>0.8</c:v>
                </c:pt>
                <c:pt idx="33">
                  <c:v>0.5</c:v>
                </c:pt>
                <c:pt idx="34">
                  <c:v>0.4</c:v>
                </c:pt>
                <c:pt idx="35">
                  <c:v>0.2</c:v>
                </c:pt>
                <c:pt idx="36">
                  <c:v>0.3</c:v>
                </c:pt>
                <c:pt idx="37">
                  <c:v>0.3</c:v>
                </c:pt>
                <c:pt idx="38">
                  <c:v>0.7</c:v>
                </c:pt>
                <c:pt idx="39">
                  <c:v>0.5</c:v>
                </c:pt>
                <c:pt idx="40">
                  <c:v>0.6</c:v>
                </c:pt>
                <c:pt idx="41">
                  <c:v>0.7</c:v>
                </c:pt>
                <c:pt idx="42">
                  <c:v>1</c:v>
                </c:pt>
                <c:pt idx="43">
                  <c:v>1.1000000000000001</c:v>
                </c:pt>
                <c:pt idx="44">
                  <c:v>1.3</c:v>
                </c:pt>
                <c:pt idx="45">
                  <c:v>1.3</c:v>
                </c:pt>
                <c:pt idx="46">
                  <c:v>1.6</c:v>
                </c:pt>
                <c:pt idx="47">
                  <c:v>1.7</c:v>
                </c:pt>
                <c:pt idx="48">
                  <c:v>1.7</c:v>
                </c:pt>
                <c:pt idx="49">
                  <c:v>1.7</c:v>
                </c:pt>
                <c:pt idx="50">
                  <c:v>1.3</c:v>
                </c:pt>
                <c:pt idx="51">
                  <c:v>1.5</c:v>
                </c:pt>
                <c:pt idx="52">
                  <c:v>1.4</c:v>
                </c:pt>
                <c:pt idx="53">
                  <c:v>1.2</c:v>
                </c:pt>
                <c:pt idx="54">
                  <c:v>0.7</c:v>
                </c:pt>
                <c:pt idx="55">
                  <c:v>0.3</c:v>
                </c:pt>
                <c:pt idx="56">
                  <c:v>-0.1</c:v>
                </c:pt>
                <c:pt idx="57">
                  <c:v>-0.3</c:v>
                </c:pt>
                <c:pt idx="58">
                  <c:v>-1</c:v>
                </c:pt>
                <c:pt idx="59">
                  <c:v>-1.3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2'!$E$6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2'!$E$7:$E$66</c:f>
              <c:numCache>
                <c:formatCode>0.0</c:formatCode>
                <c:ptCount val="60"/>
                <c:pt idx="0">
                  <c:v>1.8</c:v>
                </c:pt>
                <c:pt idx="1">
                  <c:v>2.2999999999999998</c:v>
                </c:pt>
                <c:pt idx="2">
                  <c:v>3.1</c:v>
                </c:pt>
                <c:pt idx="3">
                  <c:v>3</c:v>
                </c:pt>
                <c:pt idx="4">
                  <c:v>3.3</c:v>
                </c:pt>
                <c:pt idx="5">
                  <c:v>3.5</c:v>
                </c:pt>
                <c:pt idx="6">
                  <c:v>4</c:v>
                </c:pt>
                <c:pt idx="7">
                  <c:v>3.9</c:v>
                </c:pt>
                <c:pt idx="8">
                  <c:v>3.9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4.3</c:v>
                </c:pt>
                <c:pt idx="12">
                  <c:v>4.5</c:v>
                </c:pt>
                <c:pt idx="13">
                  <c:v>4.2</c:v>
                </c:pt>
                <c:pt idx="14">
                  <c:v>3.9</c:v>
                </c:pt>
                <c:pt idx="15">
                  <c:v>3.9</c:v>
                </c:pt>
                <c:pt idx="16">
                  <c:v>3.8</c:v>
                </c:pt>
                <c:pt idx="17">
                  <c:v>3.7</c:v>
                </c:pt>
                <c:pt idx="18">
                  <c:v>3.3</c:v>
                </c:pt>
                <c:pt idx="19">
                  <c:v>3.4</c:v>
                </c:pt>
                <c:pt idx="20">
                  <c:v>3.3</c:v>
                </c:pt>
                <c:pt idx="21">
                  <c:v>3.1</c:v>
                </c:pt>
                <c:pt idx="22">
                  <c:v>2.9</c:v>
                </c:pt>
                <c:pt idx="23">
                  <c:v>2.8</c:v>
                </c:pt>
                <c:pt idx="24">
                  <c:v>2.5</c:v>
                </c:pt>
                <c:pt idx="25">
                  <c:v>2.2999999999999998</c:v>
                </c:pt>
                <c:pt idx="26">
                  <c:v>1.8</c:v>
                </c:pt>
                <c:pt idx="27">
                  <c:v>1.7</c:v>
                </c:pt>
                <c:pt idx="28">
                  <c:v>1.3</c:v>
                </c:pt>
                <c:pt idx="29">
                  <c:v>1.1000000000000001</c:v>
                </c:pt>
                <c:pt idx="30">
                  <c:v>0.9</c:v>
                </c:pt>
                <c:pt idx="31">
                  <c:v>0.7</c:v>
                </c:pt>
                <c:pt idx="32">
                  <c:v>0.5</c:v>
                </c:pt>
                <c:pt idx="33">
                  <c:v>0.3</c:v>
                </c:pt>
                <c:pt idx="34">
                  <c:v>0</c:v>
                </c:pt>
                <c:pt idx="35">
                  <c:v>-0.1</c:v>
                </c:pt>
                <c:pt idx="36">
                  <c:v>0.1</c:v>
                </c:pt>
                <c:pt idx="37">
                  <c:v>0.3</c:v>
                </c:pt>
                <c:pt idx="38">
                  <c:v>0.9</c:v>
                </c:pt>
                <c:pt idx="39">
                  <c:v>0.7</c:v>
                </c:pt>
                <c:pt idx="40">
                  <c:v>0.9</c:v>
                </c:pt>
                <c:pt idx="41">
                  <c:v>1.1000000000000001</c:v>
                </c:pt>
                <c:pt idx="42">
                  <c:v>1.3</c:v>
                </c:pt>
                <c:pt idx="43">
                  <c:v>1.5</c:v>
                </c:pt>
                <c:pt idx="44">
                  <c:v>1.7</c:v>
                </c:pt>
                <c:pt idx="45">
                  <c:v>1.8</c:v>
                </c:pt>
                <c:pt idx="46">
                  <c:v>2.2999999999999998</c:v>
                </c:pt>
                <c:pt idx="47">
                  <c:v>2.2000000000000002</c:v>
                </c:pt>
                <c:pt idx="48">
                  <c:v>2</c:v>
                </c:pt>
                <c:pt idx="49">
                  <c:v>1.9</c:v>
                </c:pt>
                <c:pt idx="50">
                  <c:v>1.2</c:v>
                </c:pt>
                <c:pt idx="51">
                  <c:v>1.3</c:v>
                </c:pt>
                <c:pt idx="52">
                  <c:v>1.1000000000000001</c:v>
                </c:pt>
                <c:pt idx="53">
                  <c:v>0.7</c:v>
                </c:pt>
                <c:pt idx="54">
                  <c:v>0.2</c:v>
                </c:pt>
                <c:pt idx="55">
                  <c:v>-0.4</c:v>
                </c:pt>
                <c:pt idx="56">
                  <c:v>-0.9</c:v>
                </c:pt>
                <c:pt idx="57">
                  <c:v>-1.4</c:v>
                </c:pt>
                <c:pt idx="58">
                  <c:v>-2.2000000000000002</c:v>
                </c:pt>
                <c:pt idx="59">
                  <c:v>-2.5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2'!$F$6</c:f>
              <c:strCache>
                <c:ptCount val="1"/>
                <c:pt idx="0">
                  <c:v>Servicios</c:v>
                </c:pt>
              </c:strCache>
            </c:strRef>
          </c:tx>
          <c:spPr>
            <a:ln>
              <a:solidFill>
                <a:srgbClr val="00B0F0"/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2'!$F$7:$F$66</c:f>
              <c:numCache>
                <c:formatCode>0.0</c:formatCode>
                <c:ptCount val="60"/>
                <c:pt idx="0">
                  <c:v>-4.5</c:v>
                </c:pt>
                <c:pt idx="1">
                  <c:v>-4</c:v>
                </c:pt>
                <c:pt idx="2">
                  <c:v>-3.5</c:v>
                </c:pt>
                <c:pt idx="3">
                  <c:v>-3.3</c:v>
                </c:pt>
                <c:pt idx="4">
                  <c:v>-3.3</c:v>
                </c:pt>
                <c:pt idx="5">
                  <c:v>-2.9</c:v>
                </c:pt>
                <c:pt idx="6">
                  <c:v>-2.7</c:v>
                </c:pt>
                <c:pt idx="7">
                  <c:v>-2.4</c:v>
                </c:pt>
                <c:pt idx="8">
                  <c:v>-2.1</c:v>
                </c:pt>
                <c:pt idx="9">
                  <c:v>-2.1</c:v>
                </c:pt>
                <c:pt idx="10">
                  <c:v>-1.5</c:v>
                </c:pt>
                <c:pt idx="11">
                  <c:v>-1.4</c:v>
                </c:pt>
                <c:pt idx="12">
                  <c:v>-1</c:v>
                </c:pt>
                <c:pt idx="13">
                  <c:v>-0.8</c:v>
                </c:pt>
                <c:pt idx="14">
                  <c:v>-0.7</c:v>
                </c:pt>
                <c:pt idx="15">
                  <c:v>-0.3</c:v>
                </c:pt>
                <c:pt idx="16">
                  <c:v>-0.6</c:v>
                </c:pt>
                <c:pt idx="17">
                  <c:v>-0.6</c:v>
                </c:pt>
                <c:pt idx="18">
                  <c:v>-0.1</c:v>
                </c:pt>
                <c:pt idx="19">
                  <c:v>0</c:v>
                </c:pt>
                <c:pt idx="20">
                  <c:v>-0.2</c:v>
                </c:pt>
                <c:pt idx="21">
                  <c:v>0.5</c:v>
                </c:pt>
                <c:pt idx="22">
                  <c:v>0.3</c:v>
                </c:pt>
                <c:pt idx="23">
                  <c:v>0.4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0.7</c:v>
                </c:pt>
                <c:pt idx="29">
                  <c:v>0.7</c:v>
                </c:pt>
                <c:pt idx="30">
                  <c:v>0.2</c:v>
                </c:pt>
                <c:pt idx="31">
                  <c:v>-0.1</c:v>
                </c:pt>
                <c:pt idx="32">
                  <c:v>0</c:v>
                </c:pt>
                <c:pt idx="33">
                  <c:v>-0.5</c:v>
                </c:pt>
                <c:pt idx="34">
                  <c:v>-0.3</c:v>
                </c:pt>
                <c:pt idx="35">
                  <c:v>-0.4</c:v>
                </c:pt>
                <c:pt idx="36">
                  <c:v>-0.2</c:v>
                </c:pt>
                <c:pt idx="37">
                  <c:v>-0.2</c:v>
                </c:pt>
                <c:pt idx="38">
                  <c:v>-0.2</c:v>
                </c:pt>
                <c:pt idx="39">
                  <c:v>-0.9</c:v>
                </c:pt>
                <c:pt idx="40">
                  <c:v>-1.4</c:v>
                </c:pt>
                <c:pt idx="41">
                  <c:v>-1.2</c:v>
                </c:pt>
                <c:pt idx="42">
                  <c:v>-1</c:v>
                </c:pt>
                <c:pt idx="43">
                  <c:v>-0.7</c:v>
                </c:pt>
                <c:pt idx="44">
                  <c:v>-0.6</c:v>
                </c:pt>
                <c:pt idx="45">
                  <c:v>-0.8</c:v>
                </c:pt>
                <c:pt idx="46">
                  <c:v>-0.8</c:v>
                </c:pt>
                <c:pt idx="47">
                  <c:v>-0.7</c:v>
                </c:pt>
                <c:pt idx="48">
                  <c:v>-0.8</c:v>
                </c:pt>
                <c:pt idx="49">
                  <c:v>-0.7</c:v>
                </c:pt>
                <c:pt idx="50">
                  <c:v>-0.5</c:v>
                </c:pt>
                <c:pt idx="51">
                  <c:v>0.3</c:v>
                </c:pt>
                <c:pt idx="52">
                  <c:v>0.9</c:v>
                </c:pt>
                <c:pt idx="53">
                  <c:v>0.8</c:v>
                </c:pt>
                <c:pt idx="54">
                  <c:v>0.8</c:v>
                </c:pt>
                <c:pt idx="55">
                  <c:v>0.5</c:v>
                </c:pt>
                <c:pt idx="56">
                  <c:v>0.5</c:v>
                </c:pt>
                <c:pt idx="57">
                  <c:v>1.1000000000000001</c:v>
                </c:pt>
                <c:pt idx="58">
                  <c:v>0.9</c:v>
                </c:pt>
                <c:pt idx="59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34264"/>
        <c:axId val="336234656"/>
      </c:lineChart>
      <c:catAx>
        <c:axId val="33623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656"/>
        <c:crosses val="autoZero"/>
        <c:auto val="0"/>
        <c:lblAlgn val="ctr"/>
        <c:lblOffset val="100"/>
        <c:tickLblSkip val="1"/>
        <c:tickMarkSkip val="12"/>
        <c:noMultiLvlLbl val="0"/>
      </c:catAx>
      <c:valAx>
        <c:axId val="336234656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76752498992423"/>
          <c:y val="6.6758229806909491E-3"/>
          <c:w val="0.37429943476273281"/>
          <c:h val="0.171201113672945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horaria (MWh)</a:t>
            </a:r>
          </a:p>
        </c:rich>
      </c:tx>
      <c:layout>
        <c:manualLayout>
          <c:xMode val="edge"/>
          <c:yMode val="edge"/>
          <c:x val="0.58141538769989853"/>
          <c:y val="0.108398225629575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71122994652399E-2"/>
          <c:y val="0.19399080452193646"/>
          <c:w val="0.8709442338226242"/>
          <c:h val="0.69371514991714756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1'!$E$232:$E$236</c:f>
              <c:numCache>
                <c:formatCode>#,##0</c:formatCode>
                <c:ptCount val="5"/>
                <c:pt idx="0">
                  <c:v>36929.309000000001</c:v>
                </c:pt>
                <c:pt idx="1">
                  <c:v>40146.381000000001</c:v>
                </c:pt>
                <c:pt idx="2">
                  <c:v>40043.813999999998</c:v>
                </c:pt>
                <c:pt idx="3">
                  <c:v>39301.834999999999</c:v>
                </c:pt>
                <c:pt idx="4">
                  <c:v>39685.438000000002</c:v>
                </c:pt>
              </c:numCache>
            </c:numRef>
          </c:val>
        </c:ser>
        <c:ser>
          <c:idx val="3"/>
          <c:order val="1"/>
          <c:tx>
            <c:v>Invierno (enero-mayo/octubre-diciembre)</c:v>
          </c:tx>
          <c:spPr>
            <a:solidFill>
              <a:srgbClr val="A6CAF0"/>
            </a:solidFill>
            <a:ln w="254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1'!$E$224:$E$228</c:f>
              <c:numCache>
                <c:formatCode>#,##0</c:formatCode>
                <c:ptCount val="5"/>
                <c:pt idx="0">
                  <c:v>38746.112000000001</c:v>
                </c:pt>
                <c:pt idx="1">
                  <c:v>40218.014999999999</c:v>
                </c:pt>
                <c:pt idx="2">
                  <c:v>38085.987000000001</c:v>
                </c:pt>
                <c:pt idx="3">
                  <c:v>40960.58</c:v>
                </c:pt>
                <c:pt idx="4">
                  <c:v>40611.154000000002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6235440"/>
        <c:axId val="336235832"/>
      </c:barChart>
      <c:catAx>
        <c:axId val="336235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crossAx val="336235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6235832"/>
        <c:scaling>
          <c:orientation val="maxMin"/>
          <c:max val="50000"/>
          <c:min val="0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54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064865248438651"/>
          <c:y val="1.3039449115284679E-2"/>
          <c:w val="0.62513984555812774"/>
          <c:h val="0.1119200912606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722" r="0.75000000000000722" t="1" header="0.511811024" footer="0.511811024"/>
    <c:pageSetup orientation="portrait" horizontalDpi="-4" vertic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diaria (GWh)</a:t>
            </a:r>
          </a:p>
        </c:rich>
      </c:tx>
      <c:layout>
        <c:manualLayout>
          <c:xMode val="edge"/>
          <c:yMode val="edge"/>
          <c:x val="3.5320432403576685E-2"/>
          <c:y val="0.1107305336832901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88135593220903E-2"/>
          <c:y val="0.19097222222222221"/>
          <c:w val="0.88474576271186445"/>
          <c:h val="0.69444444444444464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1'!$F$232:$F$236</c:f>
              <c:numCache>
                <c:formatCode>#,##0</c:formatCode>
                <c:ptCount val="5"/>
                <c:pt idx="0">
                  <c:v>756.13657599999999</c:v>
                </c:pt>
                <c:pt idx="1">
                  <c:v>816.95564999999999</c:v>
                </c:pt>
                <c:pt idx="2">
                  <c:v>817.42597000000001</c:v>
                </c:pt>
                <c:pt idx="3">
                  <c:v>813.75465099999997</c:v>
                </c:pt>
                <c:pt idx="4">
                  <c:v>805.77926904000003</c:v>
                </c:pt>
              </c:numCache>
            </c:numRef>
          </c:val>
        </c:ser>
        <c:ser>
          <c:idx val="0"/>
          <c:order val="1"/>
          <c:tx>
            <c:v>Invierno (enero-mayo/octubre-diciembre)</c:v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'Data 1'!$F$224:$F$228</c:f>
              <c:numCache>
                <c:formatCode>#,##0</c:formatCode>
                <c:ptCount val="5"/>
                <c:pt idx="0">
                  <c:v>797.89730599999996</c:v>
                </c:pt>
                <c:pt idx="1">
                  <c:v>821.81680200000005</c:v>
                </c:pt>
                <c:pt idx="2">
                  <c:v>783.27083900000002</c:v>
                </c:pt>
                <c:pt idx="3">
                  <c:v>844.11916199999996</c:v>
                </c:pt>
                <c:pt idx="4">
                  <c:v>835.89350000000002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233480"/>
        <c:axId val="336233088"/>
      </c:barChart>
      <c:catAx>
        <c:axId val="33623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D4"/>
            </a:solidFill>
            <a:prstDash val="solid"/>
          </a:ln>
        </c:spPr>
        <c:crossAx val="336233088"/>
        <c:crosses val="autoZero"/>
        <c:auto val="1"/>
        <c:lblAlgn val="ctr"/>
        <c:lblOffset val="100"/>
        <c:tickMarkSkip val="1"/>
        <c:noMultiLvlLbl val="0"/>
      </c:catAx>
      <c:valAx>
        <c:axId val="336233088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3480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3968971700319615E-3"/>
          <c:y val="3.6133287094282977E-2"/>
          <c:w val="0.49474202853356203"/>
          <c:h val="6.525532049655775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22" r="0.75000000000000722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7.3083157288265796E-2"/>
                  <c:y val="-9.1579434923575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51219512195123"/>
                      <c:h val="0.159921774484071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126063632289865"/>
                  <c:y val="-6.3149400442591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049868766404191E-2"/>
                  <c:y val="-5.0937162266481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003904999679918"/>
                  <c:y val="4.2782769800833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3545867742141932E-2"/>
                  <c:y val="0.11201893880911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137788873951731"/>
                  <c:y val="8.9688024291081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30965158766918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8429319505793482"/>
                  <c:y val="-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337779836343986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4288457845208374"/>
                  <c:y val="-5.5525706345530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6521016580244544"/>
                  <c:y val="8.8612629303689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6604084245566867"/>
                  <c:y val="8.5997015078997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4437718455924717"/>
                  <c:y val="-1.66122175904482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1'!$C$240:$C$251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1'!$F$240:$F$251</c:f>
              <c:numCache>
                <c:formatCode>#,##0.0\ \ \ _)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2432545931758525"/>
                  <c:y val="-8.9835005918377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582229050636957"/>
                  <c:y val="0.113680613452730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007707573138723"/>
                  <c:y val="0.1828731408573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4227642276422764"/>
                  <c:y val="-2.61437908496741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6601728442481276"/>
                  <c:y val="1.506252894858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813976057870815"/>
                  <c:y val="0.214102825382121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5953677741501824"/>
                  <c:y val="0.21671596932736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30137712054285898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29593495934959352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15934946546315856"/>
                  <c:y val="-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1'!$C$273:$C$285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1'!$F$273:$F$285</c:f>
              <c:numCache>
                <c:formatCode>#,##0.0\ \ \ _)</c:formatCode>
                <c:ptCount val="13"/>
                <c:pt idx="0">
                  <c:v>0.8</c:v>
                </c:pt>
                <c:pt idx="1">
                  <c:v>20.6</c:v>
                </c:pt>
                <c:pt idx="2">
                  <c:v>13.5</c:v>
                </c:pt>
                <c:pt idx="3">
                  <c:v>10.199999999999999</c:v>
                </c:pt>
                <c:pt idx="4">
                  <c:v>11.199999999999974</c:v>
                </c:pt>
                <c:pt idx="5">
                  <c:v>0.9</c:v>
                </c:pt>
                <c:pt idx="6">
                  <c:v>0.3</c:v>
                </c:pt>
                <c:pt idx="7">
                  <c:v>19</c:v>
                </c:pt>
                <c:pt idx="8">
                  <c:v>13.2</c:v>
                </c:pt>
                <c:pt idx="9">
                  <c:v>2.9</c:v>
                </c:pt>
                <c:pt idx="10">
                  <c:v>1.7</c:v>
                </c:pt>
                <c:pt idx="11">
                  <c:v>1.4</c:v>
                </c:pt>
                <c:pt idx="12">
                  <c:v>4.3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46</xdr:row>
      <xdr:rowOff>1724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60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33779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4" y="495300"/>
          <a:ext cx="693940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14745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39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2745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23</xdr:row>
      <xdr:rowOff>152400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4</xdr:col>
      <xdr:colOff>7044600</xdr:colOff>
      <xdr:row>3</xdr:row>
      <xdr:rowOff>32385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8958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3520803</xdr:colOff>
      <xdr:row>15</xdr:row>
      <xdr:rowOff>59870</xdr:rowOff>
    </xdr:from>
    <xdr:to>
      <xdr:col>4</xdr:col>
      <xdr:colOff>3806553</xdr:colOff>
      <xdr:row>16</xdr:row>
      <xdr:rowOff>50346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378178" y="2545895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2016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3530328</xdr:colOff>
      <xdr:row>17</xdr:row>
      <xdr:rowOff>127679</xdr:rowOff>
    </xdr:from>
    <xdr:to>
      <xdr:col>4</xdr:col>
      <xdr:colOff>3816078</xdr:colOff>
      <xdr:row>18</xdr:row>
      <xdr:rowOff>118155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87703" y="2937554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2015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3534410</xdr:colOff>
      <xdr:row>20</xdr:row>
      <xdr:rowOff>34699</xdr:rowOff>
    </xdr:from>
    <xdr:to>
      <xdr:col>4</xdr:col>
      <xdr:colOff>3820160</xdr:colOff>
      <xdr:row>21</xdr:row>
      <xdr:rowOff>25174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391785" y="3330349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2014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3527607</xdr:colOff>
      <xdr:row>12</xdr:row>
      <xdr:rowOff>157163</xdr:rowOff>
    </xdr:from>
    <xdr:to>
      <xdr:col>4</xdr:col>
      <xdr:colOff>3813357</xdr:colOff>
      <xdr:row>13</xdr:row>
      <xdr:rowOff>144462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384982" y="2157413"/>
          <a:ext cx="285750" cy="1492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2017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3521255</xdr:colOff>
      <xdr:row>10</xdr:row>
      <xdr:rowOff>91983</xdr:rowOff>
    </xdr:from>
    <xdr:to>
      <xdr:col>4</xdr:col>
      <xdr:colOff>3838574</xdr:colOff>
      <xdr:row>11</xdr:row>
      <xdr:rowOff>85724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378630" y="1768383"/>
          <a:ext cx="317319" cy="155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4563"/>
              </a:solidFill>
              <a:latin typeface="Arial"/>
              <a:cs typeface="Arial"/>
            </a:rPr>
            <a:t>2018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4</xdr:col>
      <xdr:colOff>76199</xdr:colOff>
      <xdr:row>6</xdr:row>
      <xdr:rowOff>38100</xdr:rowOff>
    </xdr:from>
    <xdr:to>
      <xdr:col>4</xdr:col>
      <xdr:colOff>3627438</xdr:colOff>
      <xdr:row>24</xdr:row>
      <xdr:rowOff>9525</xdr:rowOff>
    </xdr:to>
    <xdr:graphicFrame macro="">
      <xdr:nvGraphicFramePr>
        <xdr:cNvPr id="1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3833814</xdr:colOff>
      <xdr:row>6</xdr:row>
      <xdr:rowOff>15874</xdr:rowOff>
    </xdr:from>
    <xdr:to>
      <xdr:col>4</xdr:col>
      <xdr:colOff>7040564</xdr:colOff>
      <xdr:row>23</xdr:row>
      <xdr:rowOff>152400</xdr:rowOff>
    </xdr:to>
    <xdr:graphicFrame macro="">
      <xdr:nvGraphicFramePr>
        <xdr:cNvPr id="13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6" name="Text Box 10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8" name="Text Box 103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9" name="Text Box 103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03967"/>
          <a:ext cx="858857" cy="18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0.96669</cdr:y>
    </cdr:from>
    <cdr:to>
      <cdr:x>0.95318</cdr:x>
      <cdr:y>0.98607</cdr:y>
    </cdr:to>
    <cdr:sp macro="" textlink="#REF!">
      <cdr:nvSpPr>
        <cdr:cNvPr id="47120" name="Text Box 104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3717649"/>
          <a:ext cx="858857" cy="18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0.56733</cdr:x>
      <cdr:y>0.33594</cdr:y>
    </cdr:from>
    <cdr:to>
      <cdr:x>0.95524</cdr:x>
      <cdr:y>0.38635</cdr:y>
    </cdr:to>
    <cdr:sp macro="" textlink="'Data 1'!$D$227">
      <cdr:nvSpPr>
        <cdr:cNvPr id="6" name="6 CuadroTexto"/>
        <cdr:cNvSpPr txBox="1"/>
      </cdr:nvSpPr>
      <cdr:spPr>
        <a:xfrm xmlns:a="http://schemas.openxmlformats.org/drawingml/2006/main">
          <a:off x="1918364" y="850087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58CAB72E-6CDB-4961-92F3-83278FA4900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18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0.61438</cdr:x>
      <cdr:y>0.47421</cdr:y>
    </cdr:from>
    <cdr:to>
      <cdr:x>0.9529</cdr:x>
      <cdr:y>0.53083</cdr:y>
    </cdr:to>
    <cdr:sp macro="" textlink="'Data 1'!$D$226">
      <cdr:nvSpPr>
        <cdr:cNvPr id="7" name="6 CuadroTexto"/>
        <cdr:cNvSpPr txBox="1"/>
      </cdr:nvSpPr>
      <cdr:spPr>
        <a:xfrm xmlns:a="http://schemas.openxmlformats.org/drawingml/2006/main">
          <a:off x="2077433" y="1199968"/>
          <a:ext cx="1144663" cy="143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AA19A6F6-E8DB-475B-8FAC-8C683C4EDBC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17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0.61746</cdr:x>
      <cdr:y>0.61057</cdr:y>
    </cdr:from>
    <cdr:to>
      <cdr:x>0.95511</cdr:x>
      <cdr:y>0.66943</cdr:y>
    </cdr:to>
    <cdr:sp macro="" textlink="'Data 1'!$D$225">
      <cdr:nvSpPr>
        <cdr:cNvPr id="8" name="1 CuadroTexto"/>
        <cdr:cNvSpPr txBox="1"/>
      </cdr:nvSpPr>
      <cdr:spPr>
        <a:xfrm xmlns:a="http://schemas.openxmlformats.org/drawingml/2006/main">
          <a:off x="2087848" y="1545040"/>
          <a:ext cx="1141721" cy="148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7193926E-1EDB-432C-98FF-BD3F18FCEC5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4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0.60557</cdr:x>
      <cdr:y>0.74821</cdr:y>
    </cdr:from>
    <cdr:to>
      <cdr:x>0.95994</cdr:x>
      <cdr:y>0.81478</cdr:y>
    </cdr:to>
    <cdr:sp macro="" textlink="'Data 1'!$D$224">
      <cdr:nvSpPr>
        <cdr:cNvPr id="10" name="1 CuadroTexto"/>
        <cdr:cNvSpPr txBox="1"/>
      </cdr:nvSpPr>
      <cdr:spPr>
        <a:xfrm xmlns:a="http://schemas.openxmlformats.org/drawingml/2006/main">
          <a:off x="2047650" y="1893334"/>
          <a:ext cx="1198258" cy="168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FB81B1F-B598-49D8-A3A6-6F670EA3B93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4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0.5203</cdr:x>
      <cdr:y>0.24974</cdr:y>
    </cdr:from>
    <cdr:to>
      <cdr:x>0.95718</cdr:x>
      <cdr:y>0.30822</cdr:y>
    </cdr:to>
    <cdr:sp macro="" textlink="'Data 1'!$D$236">
      <cdr:nvSpPr>
        <cdr:cNvPr id="11" name="6 CuadroTexto"/>
        <cdr:cNvSpPr txBox="1"/>
      </cdr:nvSpPr>
      <cdr:spPr>
        <a:xfrm xmlns:a="http://schemas.openxmlformats.org/drawingml/2006/main">
          <a:off x="1759330" y="631952"/>
          <a:ext cx="1477255" cy="147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8A4F7801-F6E3-46DA-8B95-6DCBC19BA5A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 de agosto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0.59391</cdr:x>
      <cdr:y>0.39116</cdr:y>
    </cdr:from>
    <cdr:to>
      <cdr:x>0.95399</cdr:x>
      <cdr:y>0.45546</cdr:y>
    </cdr:to>
    <cdr:sp macro="" textlink="'Data 1'!$D$235">
      <cdr:nvSpPr>
        <cdr:cNvPr id="12" name="6 CuadroTexto"/>
        <cdr:cNvSpPr txBox="1"/>
      </cdr:nvSpPr>
      <cdr:spPr>
        <a:xfrm xmlns:a="http://schemas.openxmlformats.org/drawingml/2006/main">
          <a:off x="2008232" y="989822"/>
          <a:ext cx="1217569" cy="162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87B560-4196-406E-9CC8-66A09E61CE4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13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0.58545</cdr:x>
      <cdr:y>0.53099</cdr:y>
    </cdr:from>
    <cdr:to>
      <cdr:x>0.95718</cdr:x>
      <cdr:y>0.59034</cdr:y>
    </cdr:to>
    <cdr:sp macro="" textlink="'Data 1'!$D$234">
      <cdr:nvSpPr>
        <cdr:cNvPr id="13" name="6 CuadroTexto"/>
        <cdr:cNvSpPr txBox="1"/>
      </cdr:nvSpPr>
      <cdr:spPr>
        <a:xfrm xmlns:a="http://schemas.openxmlformats.org/drawingml/2006/main">
          <a:off x="1979613" y="1343667"/>
          <a:ext cx="1256971" cy="150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33980D13-5EA9-4000-9EF6-81EDB8B085C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6 de septiembre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0.62486</cdr:x>
      <cdr:y>0.66693</cdr:y>
    </cdr:from>
    <cdr:to>
      <cdr:x>0.95203</cdr:x>
      <cdr:y>0.7352</cdr:y>
    </cdr:to>
    <cdr:sp macro="" textlink="'Data 1'!$D$233">
      <cdr:nvSpPr>
        <cdr:cNvPr id="14" name="6 CuadroTexto"/>
        <cdr:cNvSpPr txBox="1"/>
      </cdr:nvSpPr>
      <cdr:spPr>
        <a:xfrm xmlns:a="http://schemas.openxmlformats.org/drawingml/2006/main">
          <a:off x="2112895" y="1687641"/>
          <a:ext cx="1106284" cy="17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47F8C7-5738-4FA8-9527-82D076E4C045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7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0.57351</cdr:x>
      <cdr:y>0.80599</cdr:y>
    </cdr:from>
    <cdr:to>
      <cdr:x>0.96101</cdr:x>
      <cdr:y>0.88419</cdr:y>
    </cdr:to>
    <cdr:sp macro="" textlink="'Data 1'!$D$232">
      <cdr:nvSpPr>
        <cdr:cNvPr id="15" name="6 CuadroTexto"/>
        <cdr:cNvSpPr txBox="1"/>
      </cdr:nvSpPr>
      <cdr:spPr>
        <a:xfrm xmlns:a="http://schemas.openxmlformats.org/drawingml/2006/main">
          <a:off x="1939261" y="2039529"/>
          <a:ext cx="1310283" cy="197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F871F13F-A14A-4B8D-98D3-C69FEF8A565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17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0.56901</cdr:x>
      <cdr:y>0.19573</cdr:y>
    </cdr:from>
    <cdr:to>
      <cdr:x>0.95692</cdr:x>
      <cdr:y>0.24614</cdr:y>
    </cdr:to>
    <cdr:sp macro="" textlink="'Data 1'!$D$228">
      <cdr:nvSpPr>
        <cdr:cNvPr id="16" name="6 CuadroTexto"/>
        <cdr:cNvSpPr txBox="1"/>
      </cdr:nvSpPr>
      <cdr:spPr>
        <a:xfrm xmlns:a="http://schemas.openxmlformats.org/drawingml/2006/main">
          <a:off x="1924050" y="495300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7C78B29-7A13-4906-9EB8-DF71E04B810B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8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0.03516</cdr:x>
      <cdr:y>0.19565</cdr:y>
    </cdr:from>
    <cdr:to>
      <cdr:x>0.35914</cdr:x>
      <cdr:y>0.2615</cdr:y>
    </cdr:to>
    <cdr:sp macro="" textlink="'Data 1'!$G$228">
      <cdr:nvSpPr>
        <cdr:cNvPr id="2" name="6 CuadroTexto"/>
        <cdr:cNvSpPr txBox="1"/>
      </cdr:nvSpPr>
      <cdr:spPr>
        <a:xfrm xmlns:a="http://schemas.openxmlformats.org/drawingml/2006/main">
          <a:off x="112748" y="494783"/>
          <a:ext cx="1038923" cy="166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4856587-837E-49D6-9DBA-DC913B2399E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0.03455</cdr:x>
      <cdr:y>0.32916</cdr:y>
    </cdr:from>
    <cdr:to>
      <cdr:x>0.35852</cdr:x>
      <cdr:y>0.39503</cdr:y>
    </cdr:to>
    <cdr:sp macro="" textlink="'Data 1'!$G$227">
      <cdr:nvSpPr>
        <cdr:cNvPr id="3" name="6 CuadroTexto"/>
        <cdr:cNvSpPr txBox="1"/>
      </cdr:nvSpPr>
      <cdr:spPr>
        <a:xfrm xmlns:a="http://schemas.openxmlformats.org/drawingml/2006/main">
          <a:off x="110808" y="832421"/>
          <a:ext cx="1038891" cy="1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CE25F5ED-BD54-4BAF-9620-50481F3615C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19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0.02465</cdr:x>
      <cdr:y>0.47213</cdr:y>
    </cdr:from>
    <cdr:to>
      <cdr:x>0.34862</cdr:x>
      <cdr:y>0.53799</cdr:y>
    </cdr:to>
    <cdr:sp macro="" textlink="'Data 1'!$G$226">
      <cdr:nvSpPr>
        <cdr:cNvPr id="4" name="6 CuadroTexto"/>
        <cdr:cNvSpPr txBox="1"/>
      </cdr:nvSpPr>
      <cdr:spPr>
        <a:xfrm xmlns:a="http://schemas.openxmlformats.org/drawingml/2006/main">
          <a:off x="79058" y="1193970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8D9F31D6-E7BC-4CF5-A067-D90920ABB15A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0.03951</cdr:x>
      <cdr:y>0.60878</cdr:y>
    </cdr:from>
    <cdr:to>
      <cdr:x>0.36348</cdr:x>
      <cdr:y>0.67464</cdr:y>
    </cdr:to>
    <cdr:sp macro="" textlink="'Data 1'!$G$225">
      <cdr:nvSpPr>
        <cdr:cNvPr id="5" name="6 CuadroTexto"/>
        <cdr:cNvSpPr txBox="1"/>
      </cdr:nvSpPr>
      <cdr:spPr>
        <a:xfrm xmlns:a="http://schemas.openxmlformats.org/drawingml/2006/main">
          <a:off x="126684" y="1539545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8A5D9D7-246C-4A8E-916F-FB85DC718E46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6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0.02773</cdr:x>
      <cdr:y>0.75175</cdr:y>
    </cdr:from>
    <cdr:to>
      <cdr:x>0.3517</cdr:x>
      <cdr:y>0.81761</cdr:y>
    </cdr:to>
    <cdr:sp macro="" textlink="'Data 1'!$G$224">
      <cdr:nvSpPr>
        <cdr:cNvPr id="6" name="6 CuadroTexto"/>
        <cdr:cNvSpPr txBox="1"/>
      </cdr:nvSpPr>
      <cdr:spPr>
        <a:xfrm xmlns:a="http://schemas.openxmlformats.org/drawingml/2006/main">
          <a:off x="88936" y="1901094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A1DD600-A44D-49D9-9C6C-5F025E7E4C3D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11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0.25784</cdr:y>
    </cdr:from>
    <cdr:to>
      <cdr:x>0.361</cdr:x>
      <cdr:y>0.3237</cdr:y>
    </cdr:to>
    <cdr:sp macro="" textlink="'Data 1'!$G$236">
      <cdr:nvSpPr>
        <cdr:cNvPr id="7" name="6 CuadroTexto"/>
        <cdr:cNvSpPr txBox="1"/>
      </cdr:nvSpPr>
      <cdr:spPr>
        <a:xfrm xmlns:a="http://schemas.openxmlformats.org/drawingml/2006/main">
          <a:off x="103909" y="718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FD2FA8E8-D4FF-48CB-8CE1-701C6247FB7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 de agosto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0.39453</cdr:y>
    </cdr:from>
    <cdr:to>
      <cdr:x>0.361</cdr:x>
      <cdr:y>0.46039</cdr:y>
    </cdr:to>
    <cdr:sp macro="" textlink="'Data 1'!$G$235">
      <cdr:nvSpPr>
        <cdr:cNvPr id="8" name="1 CuadroTexto"/>
        <cdr:cNvSpPr txBox="1"/>
      </cdr:nvSpPr>
      <cdr:spPr>
        <a:xfrm xmlns:a="http://schemas.openxmlformats.org/drawingml/2006/main">
          <a:off x="103909" y="1099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DA6067E-3AA8-4884-B063-80ECA83A3049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13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0.52665</cdr:y>
    </cdr:from>
    <cdr:to>
      <cdr:x>0.361</cdr:x>
      <cdr:y>0.59251</cdr:y>
    </cdr:to>
    <cdr:sp macro="" textlink="'Data 1'!$G$234">
      <cdr:nvSpPr>
        <cdr:cNvPr id="9" name="1 CuadroTexto"/>
        <cdr:cNvSpPr txBox="1"/>
      </cdr:nvSpPr>
      <cdr:spPr>
        <a:xfrm xmlns:a="http://schemas.openxmlformats.org/drawingml/2006/main">
          <a:off x="103921" y="1467962"/>
          <a:ext cx="909194" cy="183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E0AE706-5068-4562-9E67-E84FAF5D9D2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6 de septiembre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0.66791</cdr:y>
    </cdr:from>
    <cdr:to>
      <cdr:x>0.361</cdr:x>
      <cdr:y>0.73377</cdr:y>
    </cdr:to>
    <cdr:sp macro="" textlink="'Data 1'!$G$233">
      <cdr:nvSpPr>
        <cdr:cNvPr id="10" name="1 CuadroTexto"/>
        <cdr:cNvSpPr txBox="1"/>
      </cdr:nvSpPr>
      <cdr:spPr>
        <a:xfrm xmlns:a="http://schemas.openxmlformats.org/drawingml/2006/main">
          <a:off x="103910" y="1861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050DF756-7EC4-48B0-90D5-4C2B21234628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7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0.8077</cdr:y>
    </cdr:from>
    <cdr:to>
      <cdr:x>0.361</cdr:x>
      <cdr:y>0.87356</cdr:y>
    </cdr:to>
    <cdr:sp macro="" textlink="'Data 1'!$G$232">
      <cdr:nvSpPr>
        <cdr:cNvPr id="11" name="1 CuadroTexto"/>
        <cdr:cNvSpPr txBox="1"/>
      </cdr:nvSpPr>
      <cdr:spPr>
        <a:xfrm xmlns:a="http://schemas.openxmlformats.org/drawingml/2006/main">
          <a:off x="103910" y="2251364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9762407-22DE-45D9-99E4-78DA112E5F6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 de septiembre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14" name="Murcia"/>
        <xdr:cNvSpPr>
          <a:spLocks/>
        </xdr:cNvSpPr>
      </xdr:nvSpPr>
      <xdr:spPr bwMode="auto">
        <a:xfrm>
          <a:off x="4820188" y="4060571"/>
          <a:ext cx="741935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215967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15" name="Comunidad Valenciana"/>
        <xdr:cNvSpPr>
          <a:spLocks/>
        </xdr:cNvSpPr>
      </xdr:nvSpPr>
      <xdr:spPr bwMode="auto">
        <a:xfrm>
          <a:off x="5170514" y="2903975"/>
          <a:ext cx="898097" cy="1647583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215967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17" name="Ceuta"/>
        <xdr:cNvSpPr>
          <a:spLocks noChangeArrowheads="1"/>
        </xdr:cNvSpPr>
      </xdr:nvSpPr>
      <xdr:spPr bwMode="auto">
        <a:xfrm>
          <a:off x="3543085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18" name="Melilla"/>
        <xdr:cNvSpPr>
          <a:spLocks noChangeArrowheads="1"/>
        </xdr:cNvSpPr>
      </xdr:nvSpPr>
      <xdr:spPr bwMode="auto">
        <a:xfrm>
          <a:off x="4697685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2" name="Castilla León"/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4" name="País Vasco"/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5" name="Castilla La-Mancha"/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6" name="La Rioja"/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7" name="Navarra"/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8" name="Galicia"/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9" name="Asturias"/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0" name="Cantabria"/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1" name="Andalucía"/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2" name="Extremadura"/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3" name="Madrid"/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6" name="Cataluña"/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9" name="Islas Canarias"/>
        <xdr:cNvGrpSpPr/>
      </xdr:nvGrpSpPr>
      <xdr:grpSpPr>
        <a:xfrm>
          <a:off x="532128" y="5483689"/>
          <a:ext cx="1819467" cy="637146"/>
          <a:chOff x="981075" y="5364163"/>
          <a:chExt cx="1685925" cy="704850"/>
        </a:xfrm>
        <a:solidFill>
          <a:srgbClr val="DAEEF5"/>
        </a:solidFill>
      </xdr:grpSpPr>
      <xdr:sp macro="" textlink="">
        <xdr:nvSpPr>
          <xdr:cNvPr id="20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8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9" name="123 Grupo"/>
        <xdr:cNvGrpSpPr/>
      </xdr:nvGrpSpPr>
      <xdr:grpSpPr>
        <a:xfrm>
          <a:off x="3002904" y="5733555"/>
          <a:ext cx="2060121" cy="551045"/>
          <a:chOff x="3028950" y="5690666"/>
          <a:chExt cx="2219325" cy="609600"/>
        </a:xfrm>
      </xdr:grpSpPr>
      <xdr:sp macro="" textlink="">
        <xdr:nvSpPr>
          <xdr:cNvPr id="30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1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2" name="Islas Baleares"/>
        <xdr:cNvGrpSpPr/>
      </xdr:nvGrpSpPr>
      <xdr:grpSpPr>
        <a:xfrm>
          <a:off x="6578801" y="3233303"/>
          <a:ext cx="1343873" cy="888424"/>
          <a:chOff x="6715125" y="2963863"/>
          <a:chExt cx="1447800" cy="981075"/>
        </a:xfrm>
        <a:solidFill>
          <a:srgbClr val="31869B"/>
        </a:solidFill>
      </xdr:grpSpPr>
      <xdr:sp macro="" textlink="">
        <xdr:nvSpPr>
          <xdr:cNvPr id="33" name="Freeform 18"/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19"/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0"/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1"/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2"/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8" name="Freeform 23"/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9" name="Aragón"/>
        <xdr:cNvGrpSpPr/>
      </xdr:nvGrpSpPr>
      <xdr:grpSpPr>
        <a:xfrm>
          <a:off x="4875459" y="1774104"/>
          <a:ext cx="1221712" cy="1664916"/>
          <a:chOff x="5591175" y="952500"/>
          <a:chExt cx="1314450" cy="1838325"/>
        </a:xfrm>
        <a:solidFill>
          <a:srgbClr val="31869B"/>
        </a:solidFill>
      </xdr:grpSpPr>
      <xdr:sp macro="" textlink="">
        <xdr:nvSpPr>
          <xdr:cNvPr id="40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1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97">
      <xdr:nvSpPr>
        <xdr:cNvPr id="42" name="CuadroTexto 41"/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EC476B2-7FD9-4D92-922A-9894F9E1483C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Galicia 19.913 GWh 0,1 %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466654</xdr:colOff>
      <xdr:row>3</xdr:row>
      <xdr:rowOff>192406</xdr:rowOff>
    </xdr:from>
    <xdr:to>
      <xdr:col>5</xdr:col>
      <xdr:colOff>83331</xdr:colOff>
      <xdr:row>4</xdr:row>
      <xdr:rowOff>434503</xdr:rowOff>
    </xdr:to>
    <xdr:sp macro="" textlink="'Data 1'!F87">
      <xdr:nvSpPr>
        <xdr:cNvPr id="43" name="CuadroTexto 42"/>
        <xdr:cNvSpPr txBox="1"/>
      </xdr:nvSpPr>
      <xdr:spPr>
        <a:xfrm>
          <a:off x="2809804" y="906781"/>
          <a:ext cx="797777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91D7810-2A21-453D-9604-5CB462903F0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10.639 GWh 0,4 %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72925</xdr:rowOff>
    </xdr:from>
    <xdr:to>
      <xdr:col>6</xdr:col>
      <xdr:colOff>436466</xdr:colOff>
      <xdr:row>4</xdr:row>
      <xdr:rowOff>596333</xdr:rowOff>
    </xdr:to>
    <xdr:sp macro="" textlink="'Data 1'!F91">
      <xdr:nvSpPr>
        <xdr:cNvPr id="44" name="CuadroTexto 43"/>
        <xdr:cNvSpPr txBox="1"/>
      </xdr:nvSpPr>
      <xdr:spPr>
        <a:xfrm>
          <a:off x="3787210" y="1073050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B184BA2-1FD1-4D4F-83EF-D735CA6A617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4.275 GWh -2,2 %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444102</xdr:colOff>
      <xdr:row>4</xdr:row>
      <xdr:rowOff>91961</xdr:rowOff>
    </xdr:from>
    <xdr:to>
      <xdr:col>8</xdr:col>
      <xdr:colOff>114300</xdr:colOff>
      <xdr:row>5</xdr:row>
      <xdr:rowOff>5776</xdr:rowOff>
    </xdr:to>
    <xdr:sp macro="" textlink="'Data 1'!F103">
      <xdr:nvSpPr>
        <xdr:cNvPr id="45" name="CuadroTexto 44"/>
        <xdr:cNvSpPr txBox="1"/>
      </xdr:nvSpPr>
      <xdr:spPr>
        <a:xfrm>
          <a:off x="4530327" y="1092086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20812F5-78B4-478C-AE1B-4F4723F7767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16.711 GWh 1,1 %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02">
      <xdr:nvSpPr>
        <xdr:cNvPr id="46" name="CuadroTexto 45"/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5612E9E-96FE-44D7-90E1-2869BD7127AA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5.126 GWh 1,4 %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98">
      <xdr:nvSpPr>
        <xdr:cNvPr id="47" name="CuadroTexto 46"/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EA5942A-D6A0-42B5-A783-3EDC611A7E60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1.713 GWh 0,5 %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86">
      <xdr:nvSpPr>
        <xdr:cNvPr id="48" name="CuadroTexto 47"/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EDE26A5-1350-4EF0-B219-DE4C07AAEACE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10.731 GWh 0,6 %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94">
      <xdr:nvSpPr>
        <xdr:cNvPr id="49" name="CuadroTexto 48"/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907E967-FDEF-4BFB-8936-767FF3E4668D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Cataluña 47.323 GWh -1,0 %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93">
      <xdr:nvSpPr>
        <xdr:cNvPr id="50" name="CuadroTexto 49"/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DCF86BE-2FEA-4B64-9E84-40E833CA7B2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14.288 GWh 1,5 %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386730</xdr:colOff>
      <xdr:row>11</xdr:row>
      <xdr:rowOff>150777</xdr:rowOff>
    </xdr:from>
    <xdr:to>
      <xdr:col>7</xdr:col>
      <xdr:colOff>56843</xdr:colOff>
      <xdr:row>14</xdr:row>
      <xdr:rowOff>36068</xdr:rowOff>
    </xdr:to>
    <xdr:sp macro="" textlink="'Data 1'!F99">
      <xdr:nvSpPr>
        <xdr:cNvPr id="51" name="CuadroTexto 50"/>
        <xdr:cNvSpPr txBox="1"/>
      </xdr:nvSpPr>
      <xdr:spPr>
        <a:xfrm>
          <a:off x="3910980" y="2893977"/>
          <a:ext cx="803588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7C3F2D1-56E2-4FF0-916B-16C92B00FB1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Madrid 28.624 GWh 0,1 %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383779</xdr:colOff>
      <xdr:row>15</xdr:row>
      <xdr:rowOff>16633</xdr:rowOff>
    </xdr:from>
    <xdr:to>
      <xdr:col>5</xdr:col>
      <xdr:colOff>64506</xdr:colOff>
      <xdr:row>18</xdr:row>
      <xdr:rowOff>84331</xdr:rowOff>
    </xdr:to>
    <xdr:sp macro="" textlink="'Data 1'!F96">
      <xdr:nvSpPr>
        <xdr:cNvPr id="52" name="CuadroTexto 51"/>
        <xdr:cNvSpPr txBox="1"/>
      </xdr:nvSpPr>
      <xdr:spPr>
        <a:xfrm>
          <a:off x="2726929" y="3521833"/>
          <a:ext cx="861827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67BFB28-AA7A-48F6-AE76-61E45A8171E7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5.055 GWh 0,6 %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520247</xdr:colOff>
      <xdr:row>15</xdr:row>
      <xdr:rowOff>0</xdr:rowOff>
    </xdr:from>
    <xdr:to>
      <xdr:col>7</xdr:col>
      <xdr:colOff>257175</xdr:colOff>
      <xdr:row>18</xdr:row>
      <xdr:rowOff>17684</xdr:rowOff>
    </xdr:to>
    <xdr:sp macro="" textlink="'Data 1'!F92">
      <xdr:nvSpPr>
        <xdr:cNvPr id="53" name="CuadroTexto 52"/>
        <xdr:cNvSpPr txBox="1"/>
      </xdr:nvSpPr>
      <xdr:spPr>
        <a:xfrm>
          <a:off x="4044497" y="3505200"/>
          <a:ext cx="870403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16EE8E5-DF2A-477C-AAAD-6AF0AA83D7A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11.748 GWh 0,3 %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219075</xdr:colOff>
      <xdr:row>23</xdr:row>
      <xdr:rowOff>47625</xdr:rowOff>
    </xdr:to>
    <xdr:sp macro="" textlink="'Data 1'!F85">
      <xdr:nvSpPr>
        <xdr:cNvPr id="54" name="CuadroTexto 53"/>
        <xdr:cNvSpPr txBox="1"/>
      </xdr:nvSpPr>
      <xdr:spPr>
        <a:xfrm>
          <a:off x="3454729" y="4465484"/>
          <a:ext cx="850571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AF6ADA-49AE-46E3-AB4F-453C560D16F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40.237 GWh 0,2 %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243254</xdr:colOff>
      <xdr:row>18</xdr:row>
      <xdr:rowOff>93815</xdr:rowOff>
    </xdr:from>
    <xdr:to>
      <xdr:col>8</xdr:col>
      <xdr:colOff>407484</xdr:colOff>
      <xdr:row>22</xdr:row>
      <xdr:rowOff>17001</xdr:rowOff>
    </xdr:to>
    <xdr:sp macro="" textlink="'Data 1'!F101">
      <xdr:nvSpPr>
        <xdr:cNvPr id="55" name="CuadroTexto 54"/>
        <xdr:cNvSpPr txBox="1"/>
      </xdr:nvSpPr>
      <xdr:spPr>
        <a:xfrm>
          <a:off x="4900979" y="4160990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930B3B-6E9D-457E-9CDE-8798EFE0079F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9.613 GWh 2,5 %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89">
      <xdr:nvSpPr>
        <xdr:cNvPr id="56" name="CuadroTexto 55"/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D17904D-5149-4C40-8D43-8A8EC48663F8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Comunidad Valenciana 27.500 GWh 2,0 %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88">
      <xdr:nvSpPr>
        <xdr:cNvPr id="57" name="CuadroTexto 56"/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71B13F6-8B8C-4109-917C-34858D894159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Baleares 6.052 GWh 0,6 %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90">
      <xdr:nvSpPr>
        <xdr:cNvPr id="58" name="CuadroTexto 57"/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4020EBC-8E60-4006-A2EB-C2E67EC87E0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Canarias 8.840 GWh -1,0 %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597500</xdr:colOff>
      <xdr:row>25</xdr:row>
      <xdr:rowOff>159357</xdr:rowOff>
    </xdr:from>
    <xdr:to>
      <xdr:col>6</xdr:col>
      <xdr:colOff>9525</xdr:colOff>
      <xdr:row>28</xdr:row>
      <xdr:rowOff>44646</xdr:rowOff>
    </xdr:to>
    <xdr:sp macro="" textlink="'Data 1'!F95">
      <xdr:nvSpPr>
        <xdr:cNvPr id="59" name="CuadroTexto 58"/>
        <xdr:cNvSpPr txBox="1"/>
      </xdr:nvSpPr>
      <xdr:spPr>
        <a:xfrm>
          <a:off x="3483575" y="5560032"/>
          <a:ext cx="612175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6ED52E9-84D5-43B8-8A23-2AD50BE6E63B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Ceuta 207 GWh 2,2 %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8</xdr:col>
      <xdr:colOff>38100</xdr:colOff>
      <xdr:row>28</xdr:row>
      <xdr:rowOff>161923</xdr:rowOff>
    </xdr:to>
    <xdr:sp macro="" textlink="'Data 1'!F100">
      <xdr:nvSpPr>
        <xdr:cNvPr id="60" name="CuadroTexto 59"/>
        <xdr:cNvSpPr txBox="1"/>
      </xdr:nvSpPr>
      <xdr:spPr>
        <a:xfrm>
          <a:off x="4581525" y="5676900"/>
          <a:ext cx="6572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0FE9517-4787-40F9-B9B2-D9F3F81203C4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Melilla 213 GWh 1,2 %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2" name="Line 2"/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38</xdr:row>
      <xdr:rowOff>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19050</xdr:colOff>
      <xdr:row>6</xdr:row>
      <xdr:rowOff>38100</xdr:rowOff>
    </xdr:from>
    <xdr:to>
      <xdr:col>5</xdr:col>
      <xdr:colOff>49530</xdr:colOff>
      <xdr:row>24</xdr:row>
      <xdr:rowOff>30480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24</xdr:row>
      <xdr:rowOff>15239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950745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48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76200</xdr:colOff>
      <xdr:row>5</xdr:row>
      <xdr:rowOff>85725</xdr:rowOff>
    </xdr:from>
    <xdr:to>
      <xdr:col>4</xdr:col>
      <xdr:colOff>7016115</xdr:colOff>
      <xdr:row>24</xdr:row>
      <xdr:rowOff>11430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0.39676</cdr:x>
      <cdr:y>0.08064</cdr:y>
    </cdr:from>
    <cdr:to>
      <cdr:x>0.4275</cdr:x>
      <cdr:y>0.13174</cdr:y>
    </cdr:to>
    <cdr:sp macro="" textlink="">
      <cdr:nvSpPr>
        <cdr:cNvPr id="304129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165262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00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0.10655</cdr:y>
    </cdr:from>
    <cdr:to>
      <cdr:x>0.57582</cdr:x>
      <cdr:y>0.10655</cdr:y>
    </cdr:to>
    <cdr:sp macro="" textlink="">
      <cdr:nvSpPr>
        <cdr:cNvPr id="30413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213487"/>
          <a:ext cx="148006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624FAC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0.18286</cdr:y>
    </cdr:from>
    <cdr:to>
      <cdr:x>0.57436</cdr:x>
      <cdr:y>0.18286</cdr:y>
    </cdr:to>
    <cdr:sp macro="" textlink="">
      <cdr:nvSpPr>
        <cdr:cNvPr id="30413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355838"/>
          <a:ext cx="141322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4563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0.579</cdr:x>
      <cdr:y>0.07366</cdr:y>
    </cdr:from>
    <cdr:to>
      <cdr:x>0.89185</cdr:x>
      <cdr:y>0.14303</cdr:y>
    </cdr:to>
    <cdr:sp macro="" textlink="">
      <cdr:nvSpPr>
        <cdr:cNvPr id="304132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1138" y="174243"/>
          <a:ext cx="122174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medio histórico</a:t>
          </a:r>
        </a:p>
      </cdr:txBody>
    </cdr:sp>
  </cdr:relSizeAnchor>
  <cdr:relSizeAnchor xmlns:cdr="http://schemas.openxmlformats.org/drawingml/2006/chartDrawing">
    <cdr:from>
      <cdr:x>0.579</cdr:x>
      <cdr:y>0.16269</cdr:y>
    </cdr:from>
    <cdr:to>
      <cdr:x>0.68718</cdr:x>
      <cdr:y>0.21718</cdr:y>
    </cdr:to>
    <cdr:sp macro="" textlink="">
      <cdr:nvSpPr>
        <cdr:cNvPr id="304133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846" y="490005"/>
          <a:ext cx="760016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2018</a:t>
          </a:r>
        </a:p>
      </cdr:txBody>
    </cdr:sp>
  </cdr:relSizeAnchor>
  <cdr:relSizeAnchor xmlns:cdr="http://schemas.openxmlformats.org/drawingml/2006/chartDrawing">
    <cdr:from>
      <cdr:x>0.39676</cdr:x>
      <cdr:y>0.16726</cdr:y>
    </cdr:from>
    <cdr:to>
      <cdr:x>0.4275</cdr:x>
      <cdr:y>0.21837</cdr:y>
    </cdr:to>
    <cdr:sp macro="" textlink="">
      <cdr:nvSpPr>
        <cdr:cNvPr id="304147" name="Texto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326787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FF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0.43213</cdr:x>
      <cdr:y>0.07127</cdr:y>
    </cdr:from>
    <cdr:to>
      <cdr:x>0.53616</cdr:x>
      <cdr:y>0.14063</cdr:y>
    </cdr:to>
    <cdr:sp macro="" textlink="">
      <cdr:nvSpPr>
        <cdr:cNvPr id="304159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168570"/>
          <a:ext cx="40626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Húmedo</a:t>
          </a:r>
        </a:p>
      </cdr:txBody>
    </cdr:sp>
  </cdr:relSizeAnchor>
  <cdr:relSizeAnchor xmlns:cdr="http://schemas.openxmlformats.org/drawingml/2006/chartDrawing">
    <cdr:from>
      <cdr:x>0.43213</cdr:x>
      <cdr:y>0.15285</cdr:y>
    </cdr:from>
    <cdr:to>
      <cdr:x>0.49674</cdr:x>
      <cdr:y>0.22222</cdr:y>
    </cdr:to>
    <cdr:sp macro="" textlink="">
      <cdr:nvSpPr>
        <cdr:cNvPr id="304160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361543"/>
          <a:ext cx="25231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Seco</a:t>
          </a:r>
        </a:p>
      </cdr:txBody>
    </cdr:sp>
  </cdr:relSizeAnchor>
  <cdr:relSizeAnchor xmlns:cdr="http://schemas.openxmlformats.org/drawingml/2006/chartDrawing">
    <cdr:from>
      <cdr:x>0.11709</cdr:x>
      <cdr:y>0.84174</cdr:y>
    </cdr:from>
    <cdr:to>
      <cdr:x>0.93882</cdr:x>
      <cdr:y>0.92342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45820" y="2512695"/>
          <a:ext cx="59359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               F               M              A               M               J                J               A                S                O              N             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15</xdr:col>
      <xdr:colOff>3014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200024" y="495300"/>
          <a:ext cx="769921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738720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64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552450</xdr:colOff>
      <xdr:row>5</xdr:row>
      <xdr:rowOff>133350</xdr:rowOff>
    </xdr:from>
    <xdr:to>
      <xdr:col>5</xdr:col>
      <xdr:colOff>285750</xdr:colOff>
      <xdr:row>23</xdr:row>
      <xdr:rowOff>112395</xdr:rowOff>
    </xdr:to>
    <xdr:graphicFrame macro="">
      <xdr:nvGraphicFramePr>
        <xdr:cNvPr id="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0.55965</cdr:x>
      <cdr:y>0.86113</cdr:y>
    </cdr:from>
    <cdr:to>
      <cdr:x>0.59104</cdr:x>
      <cdr:y>0.91764</cdr:y>
    </cdr:to>
    <cdr:sp macro="" textlink="">
      <cdr:nvSpPr>
        <cdr:cNvPr id="321537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8302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2016</a:t>
          </a:r>
        </a:p>
      </cdr:txBody>
    </cdr:sp>
  </cdr:relSizeAnchor>
  <cdr:relSizeAnchor xmlns:cdr="http://schemas.openxmlformats.org/drawingml/2006/chartDrawing">
    <cdr:from>
      <cdr:x>0.66666</cdr:x>
      <cdr:y>0.75776</cdr:y>
    </cdr:from>
    <cdr:to>
      <cdr:x>0.91364</cdr:x>
      <cdr:y>0.82585</cdr:y>
    </cdr:to>
    <cdr:sp macro="" textlink="">
      <cdr:nvSpPr>
        <cdr:cNvPr id="321540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248" y="2186950"/>
          <a:ext cx="2147348" cy="196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0.84199</cdr:x>
      <cdr:y>0.86508</cdr:y>
    </cdr:from>
    <cdr:to>
      <cdr:x>0.87338</cdr:x>
      <cdr:y>0.92159</cdr:y>
    </cdr:to>
    <cdr:sp macro="" textlink="">
      <cdr:nvSpPr>
        <cdr:cNvPr id="321541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3701" y="2511507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2018</a:t>
          </a:r>
        </a:p>
      </cdr:txBody>
    </cdr:sp>
  </cdr:relSizeAnchor>
  <cdr:relSizeAnchor xmlns:cdr="http://schemas.openxmlformats.org/drawingml/2006/chartDrawing">
    <cdr:from>
      <cdr:x>0.70423</cdr:x>
      <cdr:y>0.8616</cdr:y>
    </cdr:from>
    <cdr:to>
      <cdr:x>0.73562</cdr:x>
      <cdr:y>0.91811</cdr:y>
    </cdr:to>
    <cdr:sp macro="" textlink="">
      <cdr:nvSpPr>
        <cdr:cNvPr id="321542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9811" y="250140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2017</a:t>
          </a:r>
        </a:p>
      </cdr:txBody>
    </cdr:sp>
  </cdr:relSizeAnchor>
  <cdr:relSizeAnchor xmlns:cdr="http://schemas.openxmlformats.org/drawingml/2006/chartDrawing">
    <cdr:from>
      <cdr:x>0.36897</cdr:x>
      <cdr:y>0.16568</cdr:y>
    </cdr:from>
    <cdr:to>
      <cdr:x>0.36907</cdr:x>
      <cdr:y>0.89806</cdr:y>
    </cdr:to>
    <cdr:sp macro="" textlink="">
      <cdr:nvSpPr>
        <cdr:cNvPr id="3215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08021" y="478154"/>
          <a:ext cx="836" cy="2113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0.51107</cdr:x>
      <cdr:y>0.15512</cdr:y>
    </cdr:from>
    <cdr:to>
      <cdr:x>0.51107</cdr:x>
      <cdr:y>0.89014</cdr:y>
    </cdr:to>
    <cdr:sp macro="" textlink="">
      <cdr:nvSpPr>
        <cdr:cNvPr id="32154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3468" y="447674"/>
          <a:ext cx="0" cy="2121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0.66725</cdr:x>
      <cdr:y>0.26956</cdr:y>
    </cdr:from>
    <cdr:to>
      <cdr:x>0.91175</cdr:x>
      <cdr:y>0.33978</cdr:y>
    </cdr:to>
    <cdr:sp macro="" textlink="">
      <cdr:nvSpPr>
        <cdr:cNvPr id="321539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359" y="777979"/>
          <a:ext cx="2125785" cy="202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Máximo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estadístico</a:t>
          </a:r>
        </a:p>
      </cdr:txBody>
    </cdr:sp>
  </cdr:relSizeAnchor>
  <cdr:relSizeAnchor xmlns:cdr="http://schemas.openxmlformats.org/drawingml/2006/chartDrawing">
    <cdr:from>
      <cdr:x>0.42966</cdr:x>
      <cdr:y>0.86113</cdr:y>
    </cdr:from>
    <cdr:to>
      <cdr:x>0.46105</cdr:x>
      <cdr:y>0.91764</cdr:y>
    </cdr:to>
    <cdr:sp macro="" textlink="">
      <cdr:nvSpPr>
        <cdr:cNvPr id="321545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059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2015</a:t>
          </a:r>
        </a:p>
      </cdr:txBody>
    </cdr:sp>
  </cdr:relSizeAnchor>
  <cdr:relSizeAnchor xmlns:cdr="http://schemas.openxmlformats.org/drawingml/2006/chartDrawing">
    <cdr:from>
      <cdr:x>0.64768</cdr:x>
      <cdr:y>0.16832</cdr:y>
    </cdr:from>
    <cdr:to>
      <cdr:x>0.65068</cdr:x>
      <cdr:y>0.90261</cdr:y>
    </cdr:to>
    <cdr:sp macro="" textlink="">
      <cdr:nvSpPr>
        <cdr:cNvPr id="3215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631180" y="485774"/>
          <a:ext cx="26105" cy="2119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0.7844</cdr:x>
      <cdr:y>0.14719</cdr:y>
    </cdr:from>
    <cdr:to>
      <cdr:x>0.78457</cdr:x>
      <cdr:y>0.88677</cdr:y>
    </cdr:to>
    <cdr:sp macro="" textlink="">
      <cdr:nvSpPr>
        <cdr:cNvPr id="32154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819900" y="424814"/>
          <a:ext cx="1475" cy="2134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0.28691</cdr:x>
      <cdr:y>0.85861</cdr:y>
    </cdr:from>
    <cdr:to>
      <cdr:x>0.31829</cdr:x>
      <cdr:y>0.91512</cdr:y>
    </cdr:to>
    <cdr:sp macro="" textlink="">
      <cdr:nvSpPr>
        <cdr:cNvPr id="321548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968" y="249272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2014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0.89554</cdr:x>
      <cdr:y>0.77233</cdr:y>
    </cdr:from>
    <cdr:to>
      <cdr:x>1</cdr:x>
      <cdr:y>0.87392</cdr:y>
    </cdr:to>
    <cdr:sp macro="" textlink="'Data 3'!$F$33">
      <cdr:nvSpPr>
        <cdr:cNvPr id="2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225107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370648F5-795F-4081-8F62-EFBFEABE097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39.878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0.622</cdr:y>
    </cdr:from>
    <cdr:to>
      <cdr:x>1</cdr:x>
      <cdr:y>0.72359</cdr:y>
    </cdr:to>
    <cdr:sp macro="" textlink="'Data 3'!$G$3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181292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2D4F2D8E-6160-4720-825C-FAB0FB1C9B2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40.109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0.47168</cdr:y>
    </cdr:from>
    <cdr:to>
      <cdr:x>1</cdr:x>
      <cdr:y>0.57326</cdr:y>
    </cdr:to>
    <cdr:sp macro="" textlink="'Data 3'!$H$3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137477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670DC3C-FF81-4C4C-BD51-86822F775A39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40.632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0.31808</cdr:y>
    </cdr:from>
    <cdr:to>
      <cdr:x>1</cdr:x>
      <cdr:y>0.41967</cdr:y>
    </cdr:to>
    <cdr:sp macro="" textlink="'Data 3'!$I$3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927100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24377AB-8647-4C6D-BB29-B80A1618B474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40.767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0.17756</cdr:y>
    </cdr:from>
    <cdr:to>
      <cdr:x>1</cdr:x>
      <cdr:y>0.27915</cdr:y>
    </cdr:to>
    <cdr:sp macro="" textlink="'Data 3'!$J$3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51752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72D1FF8-4699-43DE-AB72-DF3B1AE26C12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40.863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747570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72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" name="Line 93"/>
        <xdr:cNvSpPr>
          <a:spLocks noChangeShapeType="1"/>
        </xdr:cNvSpPr>
      </xdr:nvSpPr>
      <xdr:spPr bwMode="auto">
        <a:xfrm flipH="1">
          <a:off x="198120" y="497205"/>
          <a:ext cx="70446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457200</xdr:colOff>
      <xdr:row>8</xdr:row>
      <xdr:rowOff>1270</xdr:rowOff>
    </xdr:from>
    <xdr:to>
      <xdr:col>4</xdr:col>
      <xdr:colOff>5204460</xdr:colOff>
      <xdr:row>31</xdr:row>
      <xdr:rowOff>30480</xdr:rowOff>
    </xdr:to>
    <xdr:sp macro="" textlink="">
      <xdr:nvSpPr>
        <xdr:cNvPr id="4" name="Dibujo 466"/>
        <xdr:cNvSpPr>
          <a:spLocks/>
        </xdr:cNvSpPr>
      </xdr:nvSpPr>
      <xdr:spPr bwMode="auto">
        <a:xfrm>
          <a:off x="2314575" y="1379220"/>
          <a:ext cx="4747260" cy="375666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0 h 16384"/>
            <a:gd name="T14" fmla="*/ 0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rgbClr val="F3E6AF"/>
        </a:solidFill>
        <a:ln>
          <a:noFill/>
        </a:ln>
        <a:effectLst>
          <a:outerShdw dist="25400" dir="5400000" algn="ctr" rotWithShape="0">
            <a:srgbClr val="B7AEDA"/>
          </a:outerShdw>
        </a:effectLst>
        <a:extLst>
          <a:ext uri="{91240B29-F687-4F45-9708-019B960494DF}">
            <a14:hiddenLine xmlns:a14="http://schemas.microsoft.com/office/drawing/2010/main" w="0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17</xdr:row>
      <xdr:rowOff>22860</xdr:rowOff>
    </xdr:from>
    <xdr:to>
      <xdr:col>4</xdr:col>
      <xdr:colOff>1325880</xdr:colOff>
      <xdr:row>17</xdr:row>
      <xdr:rowOff>129540</xdr:rowOff>
    </xdr:to>
    <xdr:sp macro="" textlink="">
      <xdr:nvSpPr>
        <xdr:cNvPr id="5" name="Dibujo 501"/>
        <xdr:cNvSpPr>
          <a:spLocks/>
        </xdr:cNvSpPr>
      </xdr:nvSpPr>
      <xdr:spPr bwMode="auto">
        <a:xfrm>
          <a:off x="2703195" y="2861310"/>
          <a:ext cx="48006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883920</xdr:colOff>
      <xdr:row>15</xdr:row>
      <xdr:rowOff>91440</xdr:rowOff>
    </xdr:from>
    <xdr:to>
      <xdr:col>4</xdr:col>
      <xdr:colOff>1363980</xdr:colOff>
      <xdr:row>16</xdr:row>
      <xdr:rowOff>30480</xdr:rowOff>
    </xdr:to>
    <xdr:sp macro="" textlink="">
      <xdr:nvSpPr>
        <xdr:cNvPr id="6" name="Dibujo 509"/>
        <xdr:cNvSpPr>
          <a:spLocks/>
        </xdr:cNvSpPr>
      </xdr:nvSpPr>
      <xdr:spPr bwMode="auto">
        <a:xfrm>
          <a:off x="2741295" y="2606040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20</xdr:row>
      <xdr:rowOff>68580</xdr:rowOff>
    </xdr:from>
    <xdr:to>
      <xdr:col>4</xdr:col>
      <xdr:colOff>1325880</xdr:colOff>
      <xdr:row>21</xdr:row>
      <xdr:rowOff>0</xdr:rowOff>
    </xdr:to>
    <xdr:sp macro="" textlink="">
      <xdr:nvSpPr>
        <xdr:cNvPr id="7" name="Dibujo 513"/>
        <xdr:cNvSpPr>
          <a:spLocks/>
        </xdr:cNvSpPr>
      </xdr:nvSpPr>
      <xdr:spPr bwMode="auto">
        <a:xfrm>
          <a:off x="2703195" y="3392805"/>
          <a:ext cx="480060" cy="9334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18</xdr:row>
      <xdr:rowOff>129540</xdr:rowOff>
    </xdr:from>
    <xdr:to>
      <xdr:col>4</xdr:col>
      <xdr:colOff>1325880</xdr:colOff>
      <xdr:row>19</xdr:row>
      <xdr:rowOff>68580</xdr:rowOff>
    </xdr:to>
    <xdr:sp macro="" textlink="">
      <xdr:nvSpPr>
        <xdr:cNvPr id="8" name="Dibujo 517"/>
        <xdr:cNvSpPr>
          <a:spLocks/>
        </xdr:cNvSpPr>
      </xdr:nvSpPr>
      <xdr:spPr bwMode="auto">
        <a:xfrm>
          <a:off x="2703195" y="312991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389639</xdr:colOff>
      <xdr:row>19</xdr:row>
      <xdr:rowOff>40226</xdr:rowOff>
    </xdr:from>
    <xdr:to>
      <xdr:col>4</xdr:col>
      <xdr:colOff>1235255</xdr:colOff>
      <xdr:row>20</xdr:row>
      <xdr:rowOff>13587</xdr:rowOff>
    </xdr:to>
    <xdr:sp macro="" textlink="">
      <xdr:nvSpPr>
        <xdr:cNvPr id="9" name="Texto 497"/>
        <xdr:cNvSpPr txBox="1">
          <a:spLocks noChangeArrowheads="1"/>
        </xdr:cNvSpPr>
      </xdr:nvSpPr>
      <xdr:spPr bwMode="auto">
        <a:xfrm>
          <a:off x="2247014" y="3202526"/>
          <a:ext cx="84561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Falagueira            </a:t>
          </a:r>
        </a:p>
      </xdr:txBody>
    </xdr:sp>
    <xdr:clientData/>
  </xdr:twoCellAnchor>
  <xdr:twoCellAnchor editAs="absolute">
    <xdr:from>
      <xdr:col>4</xdr:col>
      <xdr:colOff>1531620</xdr:colOff>
      <xdr:row>12</xdr:row>
      <xdr:rowOff>137160</xdr:rowOff>
    </xdr:from>
    <xdr:to>
      <xdr:col>4</xdr:col>
      <xdr:colOff>1920240</xdr:colOff>
      <xdr:row>15</xdr:row>
      <xdr:rowOff>121920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 flipV="1">
          <a:off x="3388995" y="2165985"/>
          <a:ext cx="388620" cy="47053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491624</xdr:colOff>
      <xdr:row>17</xdr:row>
      <xdr:rowOff>137516</xdr:rowOff>
    </xdr:from>
    <xdr:to>
      <xdr:col>4</xdr:col>
      <xdr:colOff>880833</xdr:colOff>
      <xdr:row>18</xdr:row>
      <xdr:rowOff>110877</xdr:rowOff>
    </xdr:to>
    <xdr:sp macro="" textlink="">
      <xdr:nvSpPr>
        <xdr:cNvPr id="11" name="Texto 522"/>
        <xdr:cNvSpPr txBox="1">
          <a:spLocks noChangeArrowheads="1"/>
        </xdr:cNvSpPr>
      </xdr:nvSpPr>
      <xdr:spPr bwMode="auto">
        <a:xfrm>
          <a:off x="2348999" y="2975966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</a:p>
      </xdr:txBody>
    </xdr:sp>
    <xdr:clientData/>
  </xdr:twoCellAnchor>
  <xdr:twoCellAnchor editAs="absolute">
    <xdr:from>
      <xdr:col>4</xdr:col>
      <xdr:colOff>2796540</xdr:colOff>
      <xdr:row>6</xdr:row>
      <xdr:rowOff>129540</xdr:rowOff>
    </xdr:from>
    <xdr:to>
      <xdr:col>4</xdr:col>
      <xdr:colOff>2926080</xdr:colOff>
      <xdr:row>9</xdr:row>
      <xdr:rowOff>38100</xdr:rowOff>
    </xdr:to>
    <xdr:sp macro="" textlink="">
      <xdr:nvSpPr>
        <xdr:cNvPr id="12" name="Dibujo 530"/>
        <xdr:cNvSpPr>
          <a:spLocks/>
        </xdr:cNvSpPr>
      </xdr:nvSpPr>
      <xdr:spPr bwMode="auto">
        <a:xfrm>
          <a:off x="4653915" y="1185228"/>
          <a:ext cx="12954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vert270"/>
        <a:lstStyle/>
        <a:p>
          <a:r>
            <a:rPr lang="en-US"/>
            <a:t>210</a:t>
          </a:r>
        </a:p>
      </xdr:txBody>
    </xdr:sp>
    <xdr:clientData/>
  </xdr:twoCellAnchor>
  <xdr:twoCellAnchor editAs="absolute">
    <xdr:from>
      <xdr:col>4</xdr:col>
      <xdr:colOff>222885</xdr:colOff>
      <xdr:row>9</xdr:row>
      <xdr:rowOff>47979</xdr:rowOff>
    </xdr:from>
    <xdr:to>
      <xdr:col>4</xdr:col>
      <xdr:colOff>914293</xdr:colOff>
      <xdr:row>10</xdr:row>
      <xdr:rowOff>21340</xdr:rowOff>
    </xdr:to>
    <xdr:sp macro="" textlink="">
      <xdr:nvSpPr>
        <xdr:cNvPr id="13" name="Texto 534"/>
        <xdr:cNvSpPr txBox="1">
          <a:spLocks noChangeArrowheads="1"/>
        </xdr:cNvSpPr>
      </xdr:nvSpPr>
      <xdr:spPr bwMode="auto">
        <a:xfrm>
          <a:off x="2080260" y="1591029"/>
          <a:ext cx="69140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Cartelle 400kV</a:t>
          </a:r>
        </a:p>
      </xdr:txBody>
    </xdr:sp>
    <xdr:clientData/>
  </xdr:twoCellAnchor>
  <xdr:twoCellAnchor editAs="absolute">
    <xdr:from>
      <xdr:col>4</xdr:col>
      <xdr:colOff>4259580</xdr:colOff>
      <xdr:row>9</xdr:row>
      <xdr:rowOff>45720</xdr:rowOff>
    </xdr:from>
    <xdr:to>
      <xdr:col>4</xdr:col>
      <xdr:colOff>4396740</xdr:colOff>
      <xdr:row>12</xdr:row>
      <xdr:rowOff>45720</xdr:rowOff>
    </xdr:to>
    <xdr:sp macro="" textlink="">
      <xdr:nvSpPr>
        <xdr:cNvPr id="14" name="Dibujo 553"/>
        <xdr:cNvSpPr>
          <a:spLocks/>
        </xdr:cNvSpPr>
      </xdr:nvSpPr>
      <xdr:spPr bwMode="auto">
        <a:xfrm>
          <a:off x="6116955" y="1588770"/>
          <a:ext cx="137160" cy="485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 editAs="absolute">
    <xdr:from>
      <xdr:col>4</xdr:col>
      <xdr:colOff>3063240</xdr:colOff>
      <xdr:row>7</xdr:row>
      <xdr:rowOff>22860</xdr:rowOff>
    </xdr:from>
    <xdr:to>
      <xdr:col>4</xdr:col>
      <xdr:colOff>3200400</xdr:colOff>
      <xdr:row>9</xdr:row>
      <xdr:rowOff>121920</xdr:rowOff>
    </xdr:to>
    <xdr:sp macro="" textlink="">
      <xdr:nvSpPr>
        <xdr:cNvPr id="15" name="Dibujo 564"/>
        <xdr:cNvSpPr>
          <a:spLocks/>
        </xdr:cNvSpPr>
      </xdr:nvSpPr>
      <xdr:spPr bwMode="auto">
        <a:xfrm>
          <a:off x="4920615" y="1242060"/>
          <a:ext cx="137160" cy="4229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3200400</xdr:colOff>
      <xdr:row>7</xdr:row>
      <xdr:rowOff>121920</xdr:rowOff>
    </xdr:from>
    <xdr:to>
      <xdr:col>4</xdr:col>
      <xdr:colOff>3299460</xdr:colOff>
      <xdr:row>10</xdr:row>
      <xdr:rowOff>22860</xdr:rowOff>
    </xdr:to>
    <xdr:sp macro="" textlink="">
      <xdr:nvSpPr>
        <xdr:cNvPr id="16" name="Dibujo 565"/>
        <xdr:cNvSpPr>
          <a:spLocks/>
        </xdr:cNvSpPr>
      </xdr:nvSpPr>
      <xdr:spPr bwMode="auto">
        <a:xfrm>
          <a:off x="5057775" y="1341120"/>
          <a:ext cx="99060" cy="38671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3360420</xdr:colOff>
      <xdr:row>7</xdr:row>
      <xdr:rowOff>99060</xdr:rowOff>
    </xdr:from>
    <xdr:to>
      <xdr:col>4</xdr:col>
      <xdr:colOff>3497580</xdr:colOff>
      <xdr:row>10</xdr:row>
      <xdr:rowOff>60960</xdr:rowOff>
    </xdr:to>
    <xdr:sp macro="" textlink="">
      <xdr:nvSpPr>
        <xdr:cNvPr id="17" name="Dibujo 572"/>
        <xdr:cNvSpPr>
          <a:spLocks/>
        </xdr:cNvSpPr>
      </xdr:nvSpPr>
      <xdr:spPr bwMode="auto">
        <a:xfrm>
          <a:off x="5217795" y="1318260"/>
          <a:ext cx="13716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3497580</xdr:colOff>
      <xdr:row>8</xdr:row>
      <xdr:rowOff>30480</xdr:rowOff>
    </xdr:from>
    <xdr:to>
      <xdr:col>4</xdr:col>
      <xdr:colOff>3611880</xdr:colOff>
      <xdr:row>10</xdr:row>
      <xdr:rowOff>144780</xdr:rowOff>
    </xdr:to>
    <xdr:sp macro="" textlink="">
      <xdr:nvSpPr>
        <xdr:cNvPr id="18" name="Dibujo 573"/>
        <xdr:cNvSpPr>
          <a:spLocks/>
        </xdr:cNvSpPr>
      </xdr:nvSpPr>
      <xdr:spPr bwMode="auto">
        <a:xfrm>
          <a:off x="5354955" y="1411605"/>
          <a:ext cx="11430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3672840</xdr:colOff>
      <xdr:row>8</xdr:row>
      <xdr:rowOff>22860</xdr:rowOff>
    </xdr:from>
    <xdr:to>
      <xdr:col>4</xdr:col>
      <xdr:colOff>3787140</xdr:colOff>
      <xdr:row>11</xdr:row>
      <xdr:rowOff>1270</xdr:rowOff>
    </xdr:to>
    <xdr:sp macro="" textlink="">
      <xdr:nvSpPr>
        <xdr:cNvPr id="19" name="Dibujo 575"/>
        <xdr:cNvSpPr>
          <a:spLocks/>
        </xdr:cNvSpPr>
      </xdr:nvSpPr>
      <xdr:spPr bwMode="auto">
        <a:xfrm>
          <a:off x="5530215" y="1403985"/>
          <a:ext cx="114300" cy="4610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3779520</xdr:colOff>
      <xdr:row>8</xdr:row>
      <xdr:rowOff>121920</xdr:rowOff>
    </xdr:from>
    <xdr:to>
      <xdr:col>4</xdr:col>
      <xdr:colOff>3916680</xdr:colOff>
      <xdr:row>11</xdr:row>
      <xdr:rowOff>91440</xdr:rowOff>
    </xdr:to>
    <xdr:sp macro="" textlink="">
      <xdr:nvSpPr>
        <xdr:cNvPr id="20" name="Dibujo 576"/>
        <xdr:cNvSpPr>
          <a:spLocks/>
        </xdr:cNvSpPr>
      </xdr:nvSpPr>
      <xdr:spPr bwMode="auto">
        <a:xfrm>
          <a:off x="5636895" y="1503045"/>
          <a:ext cx="137160" cy="4552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3977640</xdr:colOff>
      <xdr:row>8</xdr:row>
      <xdr:rowOff>121920</xdr:rowOff>
    </xdr:from>
    <xdr:to>
      <xdr:col>4</xdr:col>
      <xdr:colOff>4084320</xdr:colOff>
      <xdr:row>11</xdr:row>
      <xdr:rowOff>99060</xdr:rowOff>
    </xdr:to>
    <xdr:sp macro="" textlink="">
      <xdr:nvSpPr>
        <xdr:cNvPr id="21" name="Dibujo 578"/>
        <xdr:cNvSpPr>
          <a:spLocks/>
        </xdr:cNvSpPr>
      </xdr:nvSpPr>
      <xdr:spPr bwMode="auto">
        <a:xfrm>
          <a:off x="5835015" y="1503045"/>
          <a:ext cx="106680" cy="46291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4084320</xdr:colOff>
      <xdr:row>9</xdr:row>
      <xdr:rowOff>68580</xdr:rowOff>
    </xdr:from>
    <xdr:to>
      <xdr:col>4</xdr:col>
      <xdr:colOff>4206240</xdr:colOff>
      <xdr:row>12</xdr:row>
      <xdr:rowOff>30480</xdr:rowOff>
    </xdr:to>
    <xdr:sp macro="" textlink="">
      <xdr:nvSpPr>
        <xdr:cNvPr id="22" name="Dibujo 579"/>
        <xdr:cNvSpPr>
          <a:spLocks/>
        </xdr:cNvSpPr>
      </xdr:nvSpPr>
      <xdr:spPr bwMode="auto">
        <a:xfrm>
          <a:off x="5941695" y="1611630"/>
          <a:ext cx="121920" cy="4476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3046095</xdr:colOff>
      <xdr:row>7</xdr:row>
      <xdr:rowOff>91440</xdr:rowOff>
    </xdr:from>
    <xdr:to>
      <xdr:col>4</xdr:col>
      <xdr:colOff>3182479</xdr:colOff>
      <xdr:row>8</xdr:row>
      <xdr:rowOff>123799</xdr:rowOff>
    </xdr:to>
    <xdr:sp macro="" textlink="'Data 1'!E364">
      <xdr:nvSpPr>
        <xdr:cNvPr id="23" name="Texto 584"/>
        <xdr:cNvSpPr txBox="1">
          <a:spLocks noChangeArrowheads="1"/>
        </xdr:cNvSpPr>
      </xdr:nvSpPr>
      <xdr:spPr bwMode="auto">
        <a:xfrm>
          <a:off x="4903470" y="131064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38ED099-99F7-4D22-8358-DA7C08F5A77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446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3168015</xdr:colOff>
      <xdr:row>8</xdr:row>
      <xdr:rowOff>104775</xdr:rowOff>
    </xdr:from>
    <xdr:to>
      <xdr:col>4</xdr:col>
      <xdr:colOff>3304399</xdr:colOff>
      <xdr:row>9</xdr:row>
      <xdr:rowOff>137134</xdr:rowOff>
    </xdr:to>
    <xdr:sp macro="" textlink="'Data 1'!D364">
      <xdr:nvSpPr>
        <xdr:cNvPr id="24" name="Texto 585"/>
        <xdr:cNvSpPr txBox="1">
          <a:spLocks noChangeArrowheads="1"/>
        </xdr:cNvSpPr>
      </xdr:nvSpPr>
      <xdr:spPr bwMode="auto">
        <a:xfrm>
          <a:off x="5025390" y="14859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5FD68F4-04D2-40E1-8146-443692741D6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490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3329940</xdr:colOff>
      <xdr:row>8</xdr:row>
      <xdr:rowOff>11430</xdr:rowOff>
    </xdr:from>
    <xdr:to>
      <xdr:col>4</xdr:col>
      <xdr:colOff>3466324</xdr:colOff>
      <xdr:row>9</xdr:row>
      <xdr:rowOff>129389</xdr:rowOff>
    </xdr:to>
    <xdr:sp macro="" textlink="'Data 1'!E365">
      <xdr:nvSpPr>
        <xdr:cNvPr id="25" name="Texto 586"/>
        <xdr:cNvSpPr txBox="1">
          <a:spLocks noChangeArrowheads="1"/>
        </xdr:cNvSpPr>
      </xdr:nvSpPr>
      <xdr:spPr bwMode="auto">
        <a:xfrm>
          <a:off x="5187315" y="13925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8D6A692-A5A3-42B6-9C79-CC59D4FD5FB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1.284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3470910</xdr:colOff>
      <xdr:row>8</xdr:row>
      <xdr:rowOff>123606</xdr:rowOff>
    </xdr:from>
    <xdr:to>
      <xdr:col>4</xdr:col>
      <xdr:colOff>3607294</xdr:colOff>
      <xdr:row>10</xdr:row>
      <xdr:rowOff>79640</xdr:rowOff>
    </xdr:to>
    <xdr:sp macro="" textlink="'Data 1'!D365">
      <xdr:nvSpPr>
        <xdr:cNvPr id="26" name="Texto 587"/>
        <xdr:cNvSpPr txBox="1">
          <a:spLocks noChangeArrowheads="1"/>
        </xdr:cNvSpPr>
      </xdr:nvSpPr>
      <xdr:spPr bwMode="auto">
        <a:xfrm>
          <a:off x="5328285" y="1504731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49A39086-89CD-457E-87FC-2DC2C602C04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5.419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3629025</xdr:colOff>
      <xdr:row>8</xdr:row>
      <xdr:rowOff>78105</xdr:rowOff>
    </xdr:from>
    <xdr:to>
      <xdr:col>4</xdr:col>
      <xdr:colOff>3765409</xdr:colOff>
      <xdr:row>9</xdr:row>
      <xdr:rowOff>110464</xdr:rowOff>
    </xdr:to>
    <xdr:sp macro="" textlink="'Data 1'!E366">
      <xdr:nvSpPr>
        <xdr:cNvPr id="27" name="Texto 588"/>
        <xdr:cNvSpPr txBox="1">
          <a:spLocks noChangeArrowheads="1"/>
        </xdr:cNvSpPr>
      </xdr:nvSpPr>
      <xdr:spPr bwMode="auto">
        <a:xfrm>
          <a:off x="5486400" y="145923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159348E-84FC-49D5-97B0-7A36B8802C3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347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3771900</xdr:colOff>
      <xdr:row>9</xdr:row>
      <xdr:rowOff>146997</xdr:rowOff>
    </xdr:from>
    <xdr:to>
      <xdr:col>4</xdr:col>
      <xdr:colOff>3908284</xdr:colOff>
      <xdr:row>11</xdr:row>
      <xdr:rowOff>17431</xdr:rowOff>
    </xdr:to>
    <xdr:sp macro="" textlink="'Data 1'!D366">
      <xdr:nvSpPr>
        <xdr:cNvPr id="28" name="Texto 589"/>
        <xdr:cNvSpPr txBox="1">
          <a:spLocks noChangeArrowheads="1"/>
        </xdr:cNvSpPr>
      </xdr:nvSpPr>
      <xdr:spPr bwMode="auto">
        <a:xfrm>
          <a:off x="5629275" y="1690047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3742F28C-44FA-4370-9079-1D8ACCE2140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710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3937635</xdr:colOff>
      <xdr:row>9</xdr:row>
      <xdr:rowOff>60960</xdr:rowOff>
    </xdr:from>
    <xdr:to>
      <xdr:col>4</xdr:col>
      <xdr:colOff>4074019</xdr:colOff>
      <xdr:row>9</xdr:row>
      <xdr:rowOff>141110</xdr:rowOff>
    </xdr:to>
    <xdr:sp macro="" textlink="'Data 1'!E367">
      <xdr:nvSpPr>
        <xdr:cNvPr id="29" name="Texto 590"/>
        <xdr:cNvSpPr txBox="1">
          <a:spLocks noChangeArrowheads="1"/>
        </xdr:cNvSpPr>
      </xdr:nvSpPr>
      <xdr:spPr bwMode="auto">
        <a:xfrm>
          <a:off x="5795010" y="160401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960FBA4-4867-4471-9A97-34B902AD42E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4061460</xdr:colOff>
      <xdr:row>11</xdr:row>
      <xdr:rowOff>45720</xdr:rowOff>
    </xdr:from>
    <xdr:to>
      <xdr:col>4</xdr:col>
      <xdr:colOff>4197844</xdr:colOff>
      <xdr:row>11</xdr:row>
      <xdr:rowOff>125870</xdr:rowOff>
    </xdr:to>
    <xdr:sp macro="" textlink="'Data 1'!D367">
      <xdr:nvSpPr>
        <xdr:cNvPr id="30" name="Texto 591"/>
        <xdr:cNvSpPr txBox="1">
          <a:spLocks noChangeArrowheads="1"/>
        </xdr:cNvSpPr>
      </xdr:nvSpPr>
      <xdr:spPr bwMode="auto">
        <a:xfrm>
          <a:off x="5918835" y="191262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22246C8-7489-4B67-91AF-E4634CBDF65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4231005</xdr:colOff>
      <xdr:row>9</xdr:row>
      <xdr:rowOff>108585</xdr:rowOff>
    </xdr:from>
    <xdr:to>
      <xdr:col>4</xdr:col>
      <xdr:colOff>4367389</xdr:colOff>
      <xdr:row>10</xdr:row>
      <xdr:rowOff>140944</xdr:rowOff>
    </xdr:to>
    <xdr:sp macro="" textlink="'Data 1'!E361">
      <xdr:nvSpPr>
        <xdr:cNvPr id="31" name="Texto 592"/>
        <xdr:cNvSpPr txBox="1">
          <a:spLocks noChangeArrowheads="1"/>
        </xdr:cNvSpPr>
      </xdr:nvSpPr>
      <xdr:spPr bwMode="auto">
        <a:xfrm>
          <a:off x="6088380" y="16516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CEAC92A-3A39-4480-A7FA-55FB8CD7138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210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2270760</xdr:colOff>
      <xdr:row>6</xdr:row>
      <xdr:rowOff>74295</xdr:rowOff>
    </xdr:from>
    <xdr:to>
      <xdr:col>4</xdr:col>
      <xdr:colOff>2791159</xdr:colOff>
      <xdr:row>7</xdr:row>
      <xdr:rowOff>47656</xdr:rowOff>
    </xdr:to>
    <xdr:sp macro="" textlink="">
      <xdr:nvSpPr>
        <xdr:cNvPr id="32" name="Texto 595"/>
        <xdr:cNvSpPr txBox="1">
          <a:spLocks noChangeArrowheads="1"/>
        </xdr:cNvSpPr>
      </xdr:nvSpPr>
      <xdr:spPr bwMode="auto">
        <a:xfrm>
          <a:off x="4128135" y="1131570"/>
          <a:ext cx="52039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Errondenia</a:t>
          </a:r>
        </a:p>
      </xdr:txBody>
    </xdr:sp>
    <xdr:clientData/>
  </xdr:twoCellAnchor>
  <xdr:twoCellAnchor editAs="absolute">
    <xdr:from>
      <xdr:col>4</xdr:col>
      <xdr:colOff>4672965</xdr:colOff>
      <xdr:row>9</xdr:row>
      <xdr:rowOff>108585</xdr:rowOff>
    </xdr:from>
    <xdr:to>
      <xdr:col>4</xdr:col>
      <xdr:colOff>4999336</xdr:colOff>
      <xdr:row>10</xdr:row>
      <xdr:rowOff>81946</xdr:rowOff>
    </xdr:to>
    <xdr:sp macro="" textlink="">
      <xdr:nvSpPr>
        <xdr:cNvPr id="33" name="Texto 596"/>
        <xdr:cNvSpPr txBox="1">
          <a:spLocks noChangeArrowheads="1"/>
        </xdr:cNvSpPr>
      </xdr:nvSpPr>
      <xdr:spPr bwMode="auto">
        <a:xfrm>
          <a:off x="6530340" y="1651635"/>
          <a:ext cx="32637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Baixas</a:t>
          </a:r>
        </a:p>
      </xdr:txBody>
    </xdr:sp>
    <xdr:clientData/>
  </xdr:twoCellAnchor>
  <xdr:twoCellAnchor editAs="absolute">
    <xdr:from>
      <xdr:col>4</xdr:col>
      <xdr:colOff>3187065</xdr:colOff>
      <xdr:row>6</xdr:row>
      <xdr:rowOff>118110</xdr:rowOff>
    </xdr:from>
    <xdr:to>
      <xdr:col>4</xdr:col>
      <xdr:colOff>3445021</xdr:colOff>
      <xdr:row>7</xdr:row>
      <xdr:rowOff>91471</xdr:rowOff>
    </xdr:to>
    <xdr:sp macro="" textlink="">
      <xdr:nvSpPr>
        <xdr:cNvPr id="34" name="Texto 597"/>
        <xdr:cNvSpPr txBox="1">
          <a:spLocks noChangeArrowheads="1"/>
        </xdr:cNvSpPr>
      </xdr:nvSpPr>
      <xdr:spPr bwMode="auto">
        <a:xfrm>
          <a:off x="5044440" y="117538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4364355</xdr:colOff>
      <xdr:row>9</xdr:row>
      <xdr:rowOff>22860</xdr:rowOff>
    </xdr:from>
    <xdr:to>
      <xdr:col>4</xdr:col>
      <xdr:colOff>5329556</xdr:colOff>
      <xdr:row>10</xdr:row>
      <xdr:rowOff>1936</xdr:rowOff>
    </xdr:to>
    <xdr:sp macro="" textlink="">
      <xdr:nvSpPr>
        <xdr:cNvPr id="35" name="Texto 598"/>
        <xdr:cNvSpPr txBox="1">
          <a:spLocks noChangeArrowheads="1"/>
        </xdr:cNvSpPr>
      </xdr:nvSpPr>
      <xdr:spPr bwMode="auto">
        <a:xfrm>
          <a:off x="6221730" y="1565910"/>
          <a:ext cx="96520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Margineda (Andorra)</a:t>
          </a:r>
        </a:p>
      </xdr:txBody>
    </xdr:sp>
    <xdr:clientData/>
  </xdr:twoCellAnchor>
  <xdr:twoCellAnchor editAs="absolute">
    <xdr:from>
      <xdr:col>4</xdr:col>
      <xdr:colOff>3771900</xdr:colOff>
      <xdr:row>7</xdr:row>
      <xdr:rowOff>125730</xdr:rowOff>
    </xdr:from>
    <xdr:to>
      <xdr:col>4</xdr:col>
      <xdr:colOff>4263766</xdr:colOff>
      <xdr:row>8</xdr:row>
      <xdr:rowOff>99091</xdr:rowOff>
    </xdr:to>
    <xdr:sp macro="" textlink="">
      <xdr:nvSpPr>
        <xdr:cNvPr id="36" name="Texto 599"/>
        <xdr:cNvSpPr txBox="1">
          <a:spLocks noChangeArrowheads="1"/>
        </xdr:cNvSpPr>
      </xdr:nvSpPr>
      <xdr:spPr bwMode="auto">
        <a:xfrm>
          <a:off x="5629275" y="1344930"/>
          <a:ext cx="49186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Pragnéres</a:t>
          </a:r>
        </a:p>
      </xdr:txBody>
    </xdr:sp>
    <xdr:clientData/>
  </xdr:twoCellAnchor>
  <xdr:twoCellAnchor editAs="absolute">
    <xdr:from>
      <xdr:col>4</xdr:col>
      <xdr:colOff>3465195</xdr:colOff>
      <xdr:row>7</xdr:row>
      <xdr:rowOff>40005</xdr:rowOff>
    </xdr:from>
    <xdr:to>
      <xdr:col>4</xdr:col>
      <xdr:colOff>3723151</xdr:colOff>
      <xdr:row>8</xdr:row>
      <xdr:rowOff>13366</xdr:rowOff>
    </xdr:to>
    <xdr:sp macro="" textlink="">
      <xdr:nvSpPr>
        <xdr:cNvPr id="37" name="Texto 600"/>
        <xdr:cNvSpPr txBox="1">
          <a:spLocks noChangeArrowheads="1"/>
        </xdr:cNvSpPr>
      </xdr:nvSpPr>
      <xdr:spPr bwMode="auto">
        <a:xfrm>
          <a:off x="5322570" y="125920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4078605</xdr:colOff>
      <xdr:row>8</xdr:row>
      <xdr:rowOff>93345</xdr:rowOff>
    </xdr:from>
    <xdr:to>
      <xdr:col>4</xdr:col>
      <xdr:colOff>4498785</xdr:colOff>
      <xdr:row>9</xdr:row>
      <xdr:rowOff>66706</xdr:rowOff>
    </xdr:to>
    <xdr:sp macro="" textlink="">
      <xdr:nvSpPr>
        <xdr:cNvPr id="38" name="Texto 601"/>
        <xdr:cNvSpPr txBox="1">
          <a:spLocks noChangeArrowheads="1"/>
        </xdr:cNvSpPr>
      </xdr:nvSpPr>
      <xdr:spPr bwMode="auto">
        <a:xfrm>
          <a:off x="5935980" y="1474470"/>
          <a:ext cx="42018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Lac D'oo</a:t>
          </a:r>
        </a:p>
      </xdr:txBody>
    </xdr:sp>
    <xdr:clientData/>
  </xdr:twoCellAnchor>
  <xdr:twoCellAnchor editAs="absolute">
    <xdr:from>
      <xdr:col>4</xdr:col>
      <xdr:colOff>2343150</xdr:colOff>
      <xdr:row>9</xdr:row>
      <xdr:rowOff>20955</xdr:rowOff>
    </xdr:from>
    <xdr:to>
      <xdr:col>4</xdr:col>
      <xdr:colOff>2886440</xdr:colOff>
      <xdr:row>10</xdr:row>
      <xdr:rowOff>31</xdr:rowOff>
    </xdr:to>
    <xdr:sp macro="" textlink="">
      <xdr:nvSpPr>
        <xdr:cNvPr id="39" name="Texto 602"/>
        <xdr:cNvSpPr txBox="1">
          <a:spLocks noChangeArrowheads="1"/>
        </xdr:cNvSpPr>
      </xdr:nvSpPr>
      <xdr:spPr bwMode="auto">
        <a:xfrm>
          <a:off x="4200525" y="1564005"/>
          <a:ext cx="54329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Irún 132 kV</a:t>
          </a:r>
        </a:p>
      </xdr:txBody>
    </xdr:sp>
    <xdr:clientData/>
  </xdr:twoCellAnchor>
  <xdr:twoCellAnchor editAs="absolute">
    <xdr:from>
      <xdr:col>4</xdr:col>
      <xdr:colOff>2541270</xdr:colOff>
      <xdr:row>9</xdr:row>
      <xdr:rowOff>108585</xdr:rowOff>
    </xdr:from>
    <xdr:to>
      <xdr:col>4</xdr:col>
      <xdr:colOff>3198501</xdr:colOff>
      <xdr:row>10</xdr:row>
      <xdr:rowOff>81946</xdr:rowOff>
    </xdr:to>
    <xdr:sp macro="" textlink="">
      <xdr:nvSpPr>
        <xdr:cNvPr id="40" name="Texto 604"/>
        <xdr:cNvSpPr txBox="1">
          <a:spLocks noChangeArrowheads="1"/>
        </xdr:cNvSpPr>
      </xdr:nvSpPr>
      <xdr:spPr bwMode="auto">
        <a:xfrm>
          <a:off x="4398645" y="1651635"/>
          <a:ext cx="65723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Arkale 220 kV</a:t>
          </a:r>
        </a:p>
      </xdr:txBody>
    </xdr:sp>
    <xdr:clientData/>
  </xdr:twoCellAnchor>
  <xdr:twoCellAnchor editAs="absolute">
    <xdr:from>
      <xdr:col>4</xdr:col>
      <xdr:colOff>3042285</xdr:colOff>
      <xdr:row>10</xdr:row>
      <xdr:rowOff>146685</xdr:rowOff>
    </xdr:from>
    <xdr:to>
      <xdr:col>4</xdr:col>
      <xdr:colOff>3767933</xdr:colOff>
      <xdr:row>11</xdr:row>
      <xdr:rowOff>120046</xdr:rowOff>
    </xdr:to>
    <xdr:sp macro="" textlink="">
      <xdr:nvSpPr>
        <xdr:cNvPr id="41" name="Texto 606"/>
        <xdr:cNvSpPr txBox="1">
          <a:spLocks noChangeArrowheads="1"/>
        </xdr:cNvSpPr>
      </xdr:nvSpPr>
      <xdr:spPr bwMode="auto">
        <a:xfrm>
          <a:off x="4899660" y="1851660"/>
          <a:ext cx="72564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Biescas 220 kV</a:t>
          </a:r>
        </a:p>
      </xdr:txBody>
    </xdr:sp>
    <xdr:clientData/>
  </xdr:twoCellAnchor>
  <xdr:twoCellAnchor editAs="absolute">
    <xdr:from>
      <xdr:col>4</xdr:col>
      <xdr:colOff>2737485</xdr:colOff>
      <xdr:row>10</xdr:row>
      <xdr:rowOff>43815</xdr:rowOff>
    </xdr:from>
    <xdr:to>
      <xdr:col>4</xdr:col>
      <xdr:colOff>3463196</xdr:colOff>
      <xdr:row>11</xdr:row>
      <xdr:rowOff>17176</xdr:rowOff>
    </xdr:to>
    <xdr:sp macro="" textlink="">
      <xdr:nvSpPr>
        <xdr:cNvPr id="42" name="Texto 607"/>
        <xdr:cNvSpPr txBox="1">
          <a:spLocks noChangeArrowheads="1"/>
        </xdr:cNvSpPr>
      </xdr:nvSpPr>
      <xdr:spPr bwMode="auto">
        <a:xfrm>
          <a:off x="4594860" y="1748790"/>
          <a:ext cx="72571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Hernani 400 kV</a:t>
          </a:r>
        </a:p>
      </xdr:txBody>
    </xdr:sp>
    <xdr:clientData/>
  </xdr:twoCellAnchor>
  <xdr:twoCellAnchor editAs="absolute">
    <xdr:from>
      <xdr:col>4</xdr:col>
      <xdr:colOff>3400425</xdr:colOff>
      <xdr:row>11</xdr:row>
      <xdr:rowOff>100965</xdr:rowOff>
    </xdr:from>
    <xdr:to>
      <xdr:col>4</xdr:col>
      <xdr:colOff>4057784</xdr:colOff>
      <xdr:row>12</xdr:row>
      <xdr:rowOff>74326</xdr:rowOff>
    </xdr:to>
    <xdr:sp macro="" textlink="">
      <xdr:nvSpPr>
        <xdr:cNvPr id="43" name="Texto 608"/>
        <xdr:cNvSpPr txBox="1">
          <a:spLocks noChangeArrowheads="1"/>
        </xdr:cNvSpPr>
      </xdr:nvSpPr>
      <xdr:spPr bwMode="auto">
        <a:xfrm>
          <a:off x="5257800" y="1967865"/>
          <a:ext cx="65735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Benós 150 kV</a:t>
          </a:r>
        </a:p>
      </xdr:txBody>
    </xdr:sp>
    <xdr:clientData/>
  </xdr:twoCellAnchor>
  <xdr:twoCellAnchor editAs="absolute">
    <xdr:from>
      <xdr:col>4</xdr:col>
      <xdr:colOff>3747135</xdr:colOff>
      <xdr:row>12</xdr:row>
      <xdr:rowOff>30480</xdr:rowOff>
    </xdr:from>
    <xdr:to>
      <xdr:col>4</xdr:col>
      <xdr:colOff>4375833</xdr:colOff>
      <xdr:row>13</xdr:row>
      <xdr:rowOff>3841</xdr:rowOff>
    </xdr:to>
    <xdr:sp macro="" textlink="">
      <xdr:nvSpPr>
        <xdr:cNvPr id="44" name="Texto 605"/>
        <xdr:cNvSpPr txBox="1">
          <a:spLocks noChangeArrowheads="1"/>
        </xdr:cNvSpPr>
      </xdr:nvSpPr>
      <xdr:spPr bwMode="auto">
        <a:xfrm>
          <a:off x="5604510" y="2059305"/>
          <a:ext cx="62869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Adrall 110 kV</a:t>
          </a:r>
        </a:p>
      </xdr:txBody>
    </xdr:sp>
    <xdr:clientData/>
  </xdr:twoCellAnchor>
  <xdr:twoCellAnchor editAs="absolute">
    <xdr:from>
      <xdr:col>4</xdr:col>
      <xdr:colOff>601980</xdr:colOff>
      <xdr:row>10</xdr:row>
      <xdr:rowOff>30480</xdr:rowOff>
    </xdr:from>
    <xdr:to>
      <xdr:col>4</xdr:col>
      <xdr:colOff>716280</xdr:colOff>
      <xdr:row>12</xdr:row>
      <xdr:rowOff>91440</xdr:rowOff>
    </xdr:to>
    <xdr:sp macro="" textlink="">
      <xdr:nvSpPr>
        <xdr:cNvPr id="45" name="Dibujo 610"/>
        <xdr:cNvSpPr>
          <a:spLocks/>
        </xdr:cNvSpPr>
      </xdr:nvSpPr>
      <xdr:spPr bwMode="auto">
        <a:xfrm>
          <a:off x="245935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746760</xdr:colOff>
      <xdr:row>10</xdr:row>
      <xdr:rowOff>137160</xdr:rowOff>
    </xdr:from>
    <xdr:to>
      <xdr:col>4</xdr:col>
      <xdr:colOff>854760</xdr:colOff>
      <xdr:row>13</xdr:row>
      <xdr:rowOff>30480</xdr:rowOff>
    </xdr:to>
    <xdr:sp macro="" textlink="">
      <xdr:nvSpPr>
        <xdr:cNvPr id="46" name="Dibujo 611"/>
        <xdr:cNvSpPr>
          <a:spLocks/>
        </xdr:cNvSpPr>
      </xdr:nvSpPr>
      <xdr:spPr bwMode="auto">
        <a:xfrm>
          <a:off x="2604135" y="1827848"/>
          <a:ext cx="108000" cy="3695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581421</xdr:colOff>
      <xdr:row>10</xdr:row>
      <xdr:rowOff>123825</xdr:rowOff>
    </xdr:from>
    <xdr:to>
      <xdr:col>4</xdr:col>
      <xdr:colOff>717805</xdr:colOff>
      <xdr:row>11</xdr:row>
      <xdr:rowOff>156184</xdr:rowOff>
    </xdr:to>
    <xdr:sp macro="" textlink="'Data 1'!D371">
      <xdr:nvSpPr>
        <xdr:cNvPr id="47" name="Texto 612"/>
        <xdr:cNvSpPr txBox="1">
          <a:spLocks noChangeArrowheads="1"/>
        </xdr:cNvSpPr>
      </xdr:nvSpPr>
      <xdr:spPr bwMode="auto">
        <a:xfrm>
          <a:off x="2438796" y="18288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49D573-7F27-4AB0-A811-8224342D2A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368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712866</xdr:colOff>
      <xdr:row>11</xdr:row>
      <xdr:rowOff>20955</xdr:rowOff>
    </xdr:from>
    <xdr:to>
      <xdr:col>4</xdr:col>
      <xdr:colOff>849250</xdr:colOff>
      <xdr:row>12</xdr:row>
      <xdr:rowOff>138914</xdr:rowOff>
    </xdr:to>
    <xdr:sp macro="" textlink="'Data 1'!E371">
      <xdr:nvSpPr>
        <xdr:cNvPr id="48" name="Texto 613"/>
        <xdr:cNvSpPr txBox="1">
          <a:spLocks noChangeArrowheads="1"/>
        </xdr:cNvSpPr>
      </xdr:nvSpPr>
      <xdr:spPr bwMode="auto">
        <a:xfrm>
          <a:off x="2570241" y="18878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22F03D33-684A-4019-A456-BB3742F4E55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3.862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1348519</xdr:colOff>
      <xdr:row>20</xdr:row>
      <xdr:rowOff>30702</xdr:rowOff>
    </xdr:from>
    <xdr:to>
      <xdr:col>4</xdr:col>
      <xdr:colOff>2028513</xdr:colOff>
      <xdr:row>21</xdr:row>
      <xdr:rowOff>4063</xdr:rowOff>
    </xdr:to>
    <xdr:sp macro="" textlink="">
      <xdr:nvSpPr>
        <xdr:cNvPr id="49" name="Texto 626"/>
        <xdr:cNvSpPr txBox="1">
          <a:spLocks noChangeArrowheads="1"/>
        </xdr:cNvSpPr>
      </xdr:nvSpPr>
      <xdr:spPr bwMode="auto">
        <a:xfrm>
          <a:off x="3205894" y="3354927"/>
          <a:ext cx="6799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Cedillo 400 kV</a:t>
          </a:r>
        </a:p>
      </xdr:txBody>
    </xdr:sp>
    <xdr:clientData/>
  </xdr:twoCellAnchor>
  <xdr:twoCellAnchor editAs="absolute">
    <xdr:from>
      <xdr:col>4</xdr:col>
      <xdr:colOff>1330197</xdr:colOff>
      <xdr:row>21</xdr:row>
      <xdr:rowOff>145535</xdr:rowOff>
    </xdr:from>
    <xdr:to>
      <xdr:col>4</xdr:col>
      <xdr:colOff>2010320</xdr:colOff>
      <xdr:row>22</xdr:row>
      <xdr:rowOff>118896</xdr:rowOff>
    </xdr:to>
    <xdr:sp macro="" textlink="">
      <xdr:nvSpPr>
        <xdr:cNvPr id="50" name="Texto 628"/>
        <xdr:cNvSpPr txBox="1">
          <a:spLocks noChangeArrowheads="1"/>
        </xdr:cNvSpPr>
      </xdr:nvSpPr>
      <xdr:spPr bwMode="auto">
        <a:xfrm>
          <a:off x="3187572" y="3631685"/>
          <a:ext cx="68012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Badajoz 66 kV</a:t>
          </a:r>
        </a:p>
      </xdr:txBody>
    </xdr:sp>
    <xdr:clientData/>
  </xdr:twoCellAnchor>
  <xdr:twoCellAnchor editAs="absolute">
    <xdr:from>
      <xdr:col>4</xdr:col>
      <xdr:colOff>1325835</xdr:colOff>
      <xdr:row>16</xdr:row>
      <xdr:rowOff>145800</xdr:rowOff>
    </xdr:from>
    <xdr:to>
      <xdr:col>4</xdr:col>
      <xdr:colOff>2222684</xdr:colOff>
      <xdr:row>17</xdr:row>
      <xdr:rowOff>119161</xdr:rowOff>
    </xdr:to>
    <xdr:sp macro="" textlink="">
      <xdr:nvSpPr>
        <xdr:cNvPr id="51" name="Texto 629"/>
        <xdr:cNvSpPr txBox="1">
          <a:spLocks noChangeArrowheads="1"/>
        </xdr:cNvSpPr>
      </xdr:nvSpPr>
      <xdr:spPr bwMode="auto">
        <a:xfrm>
          <a:off x="3183210" y="2822325"/>
          <a:ext cx="89684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Aldeadávila 220 kV</a:t>
          </a:r>
        </a:p>
      </xdr:txBody>
    </xdr:sp>
    <xdr:clientData/>
  </xdr:twoCellAnchor>
  <xdr:twoCellAnchor editAs="absolute">
    <xdr:from>
      <xdr:col>4</xdr:col>
      <xdr:colOff>1342625</xdr:colOff>
      <xdr:row>18</xdr:row>
      <xdr:rowOff>101320</xdr:rowOff>
    </xdr:from>
    <xdr:to>
      <xdr:col>4</xdr:col>
      <xdr:colOff>2102577</xdr:colOff>
      <xdr:row>19</xdr:row>
      <xdr:rowOff>74681</xdr:rowOff>
    </xdr:to>
    <xdr:sp macro="" textlink="">
      <xdr:nvSpPr>
        <xdr:cNvPr id="52" name="Texto 630"/>
        <xdr:cNvSpPr txBox="1">
          <a:spLocks noChangeArrowheads="1"/>
        </xdr:cNvSpPr>
      </xdr:nvSpPr>
      <xdr:spPr bwMode="auto">
        <a:xfrm>
          <a:off x="3200000" y="3101695"/>
          <a:ext cx="75995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Saucelle 220 kV</a:t>
          </a:r>
        </a:p>
      </xdr:txBody>
    </xdr:sp>
    <xdr:clientData/>
  </xdr:twoCellAnchor>
  <xdr:twoCellAnchor editAs="absolute">
    <xdr:from>
      <xdr:col>4</xdr:col>
      <xdr:colOff>1340189</xdr:colOff>
      <xdr:row>15</xdr:row>
      <xdr:rowOff>60165</xdr:rowOff>
    </xdr:from>
    <xdr:to>
      <xdr:col>4</xdr:col>
      <xdr:colOff>2265571</xdr:colOff>
      <xdr:row>16</xdr:row>
      <xdr:rowOff>33526</xdr:rowOff>
    </xdr:to>
    <xdr:sp macro="" textlink="">
      <xdr:nvSpPr>
        <xdr:cNvPr id="53" name="Texto 631"/>
        <xdr:cNvSpPr txBox="1">
          <a:spLocks noChangeArrowheads="1"/>
        </xdr:cNvSpPr>
      </xdr:nvSpPr>
      <xdr:spPr bwMode="auto">
        <a:xfrm>
          <a:off x="3197564" y="2574765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220 kV</a:t>
          </a:r>
        </a:p>
      </xdr:txBody>
    </xdr:sp>
    <xdr:clientData/>
  </xdr:twoCellAnchor>
  <xdr:twoCellAnchor editAs="absolute">
    <xdr:from>
      <xdr:col>4</xdr:col>
      <xdr:colOff>919938</xdr:colOff>
      <xdr:row>20</xdr:row>
      <xdr:rowOff>29815</xdr:rowOff>
    </xdr:from>
    <xdr:to>
      <xdr:col>4</xdr:col>
      <xdr:colOff>1109605</xdr:colOff>
      <xdr:row>21</xdr:row>
      <xdr:rowOff>12066</xdr:rowOff>
    </xdr:to>
    <xdr:sp macro="" textlink="'Data 1'!E377">
      <xdr:nvSpPr>
        <xdr:cNvPr id="54" name="Texto 637"/>
        <xdr:cNvSpPr txBox="1">
          <a:spLocks noChangeArrowheads="1"/>
        </xdr:cNvSpPr>
      </xdr:nvSpPr>
      <xdr:spPr bwMode="auto">
        <a:xfrm>
          <a:off x="2777313" y="330800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3300B48C-FD66-4111-994B-5FF1CFA8294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291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916482</xdr:colOff>
      <xdr:row>16</xdr:row>
      <xdr:rowOff>154970</xdr:rowOff>
    </xdr:from>
    <xdr:to>
      <xdr:col>4</xdr:col>
      <xdr:colOff>1106149</xdr:colOff>
      <xdr:row>17</xdr:row>
      <xdr:rowOff>137221</xdr:rowOff>
    </xdr:to>
    <xdr:sp macro="" textlink="'Data 1'!E374">
      <xdr:nvSpPr>
        <xdr:cNvPr id="55" name="Texto 638"/>
        <xdr:cNvSpPr txBox="1">
          <a:spLocks noChangeArrowheads="1"/>
        </xdr:cNvSpPr>
      </xdr:nvSpPr>
      <xdr:spPr bwMode="auto">
        <a:xfrm>
          <a:off x="2773857" y="2798158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C948E493-5CC1-431A-8F7A-83B6E339C34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223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914400</xdr:colOff>
      <xdr:row>18</xdr:row>
      <xdr:rowOff>95959</xdr:rowOff>
    </xdr:from>
    <xdr:to>
      <xdr:col>4</xdr:col>
      <xdr:colOff>1104067</xdr:colOff>
      <xdr:row>19</xdr:row>
      <xdr:rowOff>78210</xdr:rowOff>
    </xdr:to>
    <xdr:sp macro="" textlink="'Data 1'!E376">
      <xdr:nvSpPr>
        <xdr:cNvPr id="56" name="Texto 639"/>
        <xdr:cNvSpPr txBox="1">
          <a:spLocks noChangeArrowheads="1"/>
        </xdr:cNvSpPr>
      </xdr:nvSpPr>
      <xdr:spPr bwMode="auto">
        <a:xfrm>
          <a:off x="2771775" y="3056647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6934252-2CF6-4319-84D0-F287464E366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319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930262</xdr:colOff>
      <xdr:row>15</xdr:row>
      <xdr:rowOff>59592</xdr:rowOff>
    </xdr:from>
    <xdr:to>
      <xdr:col>4</xdr:col>
      <xdr:colOff>1119929</xdr:colOff>
      <xdr:row>16</xdr:row>
      <xdr:rowOff>41843</xdr:rowOff>
    </xdr:to>
    <xdr:sp macro="" textlink="'Data 1'!E375">
      <xdr:nvSpPr>
        <xdr:cNvPr id="57" name="Texto 640"/>
        <xdr:cNvSpPr txBox="1">
          <a:spLocks noChangeArrowheads="1"/>
        </xdr:cNvSpPr>
      </xdr:nvSpPr>
      <xdr:spPr bwMode="auto">
        <a:xfrm>
          <a:off x="2787637" y="254403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1A1357-84B7-48DD-A27A-BC4B60818B0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224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387545</xdr:colOff>
      <xdr:row>21</xdr:row>
      <xdr:rowOff>2720</xdr:rowOff>
    </xdr:from>
    <xdr:to>
      <xdr:col>4</xdr:col>
      <xdr:colOff>951666</xdr:colOff>
      <xdr:row>21</xdr:row>
      <xdr:rowOff>143721</xdr:rowOff>
    </xdr:to>
    <xdr:sp macro="" textlink="">
      <xdr:nvSpPr>
        <xdr:cNvPr id="58" name="Texto 676"/>
        <xdr:cNvSpPr txBox="1">
          <a:spLocks noChangeArrowheads="1"/>
        </xdr:cNvSpPr>
      </xdr:nvSpPr>
      <xdr:spPr bwMode="auto">
        <a:xfrm>
          <a:off x="2244920" y="3488870"/>
          <a:ext cx="56412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Alcáçovas            </a:t>
          </a:r>
        </a:p>
      </xdr:txBody>
    </xdr:sp>
    <xdr:clientData/>
  </xdr:twoCellAnchor>
  <xdr:twoCellAnchor editAs="absolute">
    <xdr:from>
      <xdr:col>4</xdr:col>
      <xdr:colOff>4564380</xdr:colOff>
      <xdr:row>10</xdr:row>
      <xdr:rowOff>22860</xdr:rowOff>
    </xdr:from>
    <xdr:to>
      <xdr:col>4</xdr:col>
      <xdr:colOff>4686300</xdr:colOff>
      <xdr:row>12</xdr:row>
      <xdr:rowOff>144780</xdr:rowOff>
    </xdr:to>
    <xdr:sp macro="" textlink="">
      <xdr:nvSpPr>
        <xdr:cNvPr id="59" name="Dibujo 581"/>
        <xdr:cNvSpPr>
          <a:spLocks/>
        </xdr:cNvSpPr>
      </xdr:nvSpPr>
      <xdr:spPr bwMode="auto">
        <a:xfrm>
          <a:off x="6421755" y="1727835"/>
          <a:ext cx="121920" cy="44577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4531995</xdr:colOff>
      <xdr:row>10</xdr:row>
      <xdr:rowOff>99060</xdr:rowOff>
    </xdr:from>
    <xdr:to>
      <xdr:col>4</xdr:col>
      <xdr:colOff>4668379</xdr:colOff>
      <xdr:row>11</xdr:row>
      <xdr:rowOff>131419</xdr:rowOff>
    </xdr:to>
    <xdr:sp macro="" textlink="'Data 1'!E369">
      <xdr:nvSpPr>
        <xdr:cNvPr id="60" name="Texto 593"/>
        <xdr:cNvSpPr txBox="1">
          <a:spLocks noChangeArrowheads="1"/>
        </xdr:cNvSpPr>
      </xdr:nvSpPr>
      <xdr:spPr bwMode="auto">
        <a:xfrm>
          <a:off x="6389370" y="18040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9AA7E9-91CD-478F-846A-6F48CDA201E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310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4177665</xdr:colOff>
      <xdr:row>12</xdr:row>
      <xdr:rowOff>121920</xdr:rowOff>
    </xdr:from>
    <xdr:to>
      <xdr:col>4</xdr:col>
      <xdr:colOff>4686587</xdr:colOff>
      <xdr:row>13</xdr:row>
      <xdr:rowOff>95281</xdr:rowOff>
    </xdr:to>
    <xdr:sp macro="" textlink="">
      <xdr:nvSpPr>
        <xdr:cNvPr id="61" name="Texto 603"/>
        <xdr:cNvSpPr txBox="1">
          <a:spLocks noChangeArrowheads="1"/>
        </xdr:cNvSpPr>
      </xdr:nvSpPr>
      <xdr:spPr bwMode="auto">
        <a:xfrm>
          <a:off x="6035040" y="2150745"/>
          <a:ext cx="50892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Vic 400 kV</a:t>
          </a:r>
        </a:p>
      </xdr:txBody>
    </xdr:sp>
    <xdr:clientData/>
  </xdr:twoCellAnchor>
  <xdr:twoCellAnchor editAs="absolute">
    <xdr:from>
      <xdr:col>4</xdr:col>
      <xdr:colOff>971550</xdr:colOff>
      <xdr:row>9</xdr:row>
      <xdr:rowOff>68580</xdr:rowOff>
    </xdr:from>
    <xdr:to>
      <xdr:col>4</xdr:col>
      <xdr:colOff>1742915</xdr:colOff>
      <xdr:row>10</xdr:row>
      <xdr:rowOff>41941</xdr:rowOff>
    </xdr:to>
    <xdr:sp macro="" textlink="">
      <xdr:nvSpPr>
        <xdr:cNvPr id="62" name="Texto 751"/>
        <xdr:cNvSpPr txBox="1">
          <a:spLocks noChangeArrowheads="1"/>
        </xdr:cNvSpPr>
      </xdr:nvSpPr>
      <xdr:spPr bwMode="auto">
        <a:xfrm>
          <a:off x="2828925" y="1611630"/>
          <a:ext cx="771365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Conchas 132 kV</a:t>
          </a:r>
        </a:p>
      </xdr:txBody>
    </xdr:sp>
    <xdr:clientData/>
  </xdr:twoCellAnchor>
  <xdr:twoCellAnchor editAs="absolute">
    <xdr:from>
      <xdr:col>4</xdr:col>
      <xdr:colOff>1173480</xdr:colOff>
      <xdr:row>29</xdr:row>
      <xdr:rowOff>22860</xdr:rowOff>
    </xdr:from>
    <xdr:to>
      <xdr:col>4</xdr:col>
      <xdr:colOff>2956560</xdr:colOff>
      <xdr:row>32</xdr:row>
      <xdr:rowOff>121920</xdr:rowOff>
    </xdr:to>
    <xdr:grpSp>
      <xdr:nvGrpSpPr>
        <xdr:cNvPr id="63" name="Group 121"/>
        <xdr:cNvGrpSpPr>
          <a:grpSpLocks/>
        </xdr:cNvGrpSpPr>
      </xdr:nvGrpSpPr>
      <xdr:grpSpPr bwMode="auto">
        <a:xfrm>
          <a:off x="3030855" y="4804410"/>
          <a:ext cx="1783080" cy="584835"/>
          <a:chOff x="233" y="439"/>
          <a:chExt cx="183" cy="64"/>
        </a:xfrm>
      </xdr:grpSpPr>
      <xdr:sp macro="" textlink="">
        <xdr:nvSpPr>
          <xdr:cNvPr id="64" name="Dibujo 753"/>
          <xdr:cNvSpPr>
            <a:spLocks/>
          </xdr:cNvSpPr>
        </xdr:nvSpPr>
        <xdr:spPr bwMode="auto">
          <a:xfrm>
            <a:off x="293" y="459"/>
            <a:ext cx="15" cy="37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3863"/>
                </a:lnTo>
                <a:lnTo>
                  <a:pt x="8937" y="16384"/>
                </a:lnTo>
                <a:lnTo>
                  <a:pt x="0" y="13863"/>
                </a:lnTo>
                <a:lnTo>
                  <a:pt x="0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E384">
        <xdr:nvSpPr>
          <xdr:cNvPr id="65" name="Texto 755"/>
          <xdr:cNvSpPr txBox="1">
            <a:spLocks noChangeArrowheads="1"/>
          </xdr:cNvSpPr>
        </xdr:nvSpPr>
        <xdr:spPr bwMode="auto">
          <a:xfrm>
            <a:off x="292" y="459"/>
            <a:ext cx="14" cy="3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D0646A32-6574-4E15-A534-7AA06F812905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3.569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6" name="Texto 756"/>
          <xdr:cNvSpPr txBox="1">
            <a:spLocks noChangeArrowheads="1"/>
          </xdr:cNvSpPr>
        </xdr:nvSpPr>
        <xdr:spPr bwMode="auto">
          <a:xfrm>
            <a:off x="233" y="439"/>
            <a:ext cx="71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P. Cruz 400 kV</a:t>
            </a:r>
          </a:p>
        </xdr:txBody>
      </xdr:sp>
      <xdr:sp macro="" textlink="">
        <xdr:nvSpPr>
          <xdr:cNvPr id="67" name="Texto 757"/>
          <xdr:cNvSpPr txBox="1">
            <a:spLocks noChangeArrowheads="1"/>
          </xdr:cNvSpPr>
        </xdr:nvSpPr>
        <xdr:spPr bwMode="auto">
          <a:xfrm>
            <a:off x="310" y="487"/>
            <a:ext cx="106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18288" bIns="0" anchor="t" upright="1">
            <a:spAutoFit/>
          </a:bodyPr>
          <a:lstStyle/>
          <a:p>
            <a:pPr algn="ctr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Melloussa (Marruecos)</a:t>
            </a:r>
          </a:p>
        </xdr:txBody>
      </xdr:sp>
      <xdr:sp macro="" textlink="">
        <xdr:nvSpPr>
          <xdr:cNvPr id="68" name="Dibujo 752"/>
          <xdr:cNvSpPr>
            <a:spLocks/>
          </xdr:cNvSpPr>
        </xdr:nvSpPr>
        <xdr:spPr bwMode="auto">
          <a:xfrm>
            <a:off x="308" y="446"/>
            <a:ext cx="13" cy="4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2657"/>
                </a:moveTo>
                <a:lnTo>
                  <a:pt x="8192" y="0"/>
                </a:lnTo>
                <a:lnTo>
                  <a:pt x="0" y="2657"/>
                </a:lnTo>
                <a:lnTo>
                  <a:pt x="0" y="16384"/>
                </a:lnTo>
                <a:lnTo>
                  <a:pt x="16384" y="16384"/>
                </a:lnTo>
                <a:lnTo>
                  <a:pt x="16384" y="2657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D384">
        <xdr:nvSpPr>
          <xdr:cNvPr id="69" name="Texto 754"/>
          <xdr:cNvSpPr txBox="1">
            <a:spLocks noChangeArrowheads="1"/>
          </xdr:cNvSpPr>
        </xdr:nvSpPr>
        <xdr:spPr bwMode="auto">
          <a:xfrm>
            <a:off x="305" y="453"/>
            <a:ext cx="14" cy="2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C9678CEC-E1E9-4227-9C19-6BAA33D73E82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180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4686300</xdr:colOff>
      <xdr:row>10</xdr:row>
      <xdr:rowOff>106680</xdr:rowOff>
    </xdr:from>
    <xdr:to>
      <xdr:col>4</xdr:col>
      <xdr:colOff>4815840</xdr:colOff>
      <xdr:row>13</xdr:row>
      <xdr:rowOff>38100</xdr:rowOff>
    </xdr:to>
    <xdr:sp macro="" textlink="">
      <xdr:nvSpPr>
        <xdr:cNvPr id="70" name="Dibujo 582"/>
        <xdr:cNvSpPr>
          <a:spLocks/>
        </xdr:cNvSpPr>
      </xdr:nvSpPr>
      <xdr:spPr bwMode="auto">
        <a:xfrm>
          <a:off x="6543675" y="1811655"/>
          <a:ext cx="129540" cy="4171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4674870</xdr:colOff>
      <xdr:row>11</xdr:row>
      <xdr:rowOff>24324</xdr:rowOff>
    </xdr:from>
    <xdr:to>
      <xdr:col>4</xdr:col>
      <xdr:colOff>4811254</xdr:colOff>
      <xdr:row>12</xdr:row>
      <xdr:rowOff>142283</xdr:rowOff>
    </xdr:to>
    <xdr:sp macro="" textlink="'Data 1'!D369">
      <xdr:nvSpPr>
        <xdr:cNvPr id="71" name="Texto 594"/>
        <xdr:cNvSpPr txBox="1">
          <a:spLocks noChangeArrowheads="1"/>
        </xdr:cNvSpPr>
      </xdr:nvSpPr>
      <xdr:spPr bwMode="auto">
        <a:xfrm>
          <a:off x="6532245" y="1891224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1398D65A-1664-4031-892A-D3FDD34A49F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2.786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4396740</xdr:colOff>
      <xdr:row>10</xdr:row>
      <xdr:rowOff>7620</xdr:rowOff>
    </xdr:from>
    <xdr:to>
      <xdr:col>4</xdr:col>
      <xdr:colOff>4518660</xdr:colOff>
      <xdr:row>12</xdr:row>
      <xdr:rowOff>121920</xdr:rowOff>
    </xdr:to>
    <xdr:sp macro="" textlink="">
      <xdr:nvSpPr>
        <xdr:cNvPr id="73" name="Dibujo 573"/>
        <xdr:cNvSpPr>
          <a:spLocks/>
        </xdr:cNvSpPr>
      </xdr:nvSpPr>
      <xdr:spPr bwMode="auto">
        <a:xfrm>
          <a:off x="6254115" y="1712595"/>
          <a:ext cx="12192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4371975</xdr:colOff>
      <xdr:row>11</xdr:row>
      <xdr:rowOff>139065</xdr:rowOff>
    </xdr:from>
    <xdr:to>
      <xdr:col>4</xdr:col>
      <xdr:colOff>4508359</xdr:colOff>
      <xdr:row>12</xdr:row>
      <xdr:rowOff>57290</xdr:rowOff>
    </xdr:to>
    <xdr:sp macro="" textlink="'Data 1'!D361">
      <xdr:nvSpPr>
        <xdr:cNvPr id="74" name="Texto 585"/>
        <xdr:cNvSpPr txBox="1">
          <a:spLocks noChangeArrowheads="1"/>
        </xdr:cNvSpPr>
      </xdr:nvSpPr>
      <xdr:spPr bwMode="auto">
        <a:xfrm>
          <a:off x="6229350" y="200596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CD4F095-36BC-49C8-8590-7BC66101B80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922020</xdr:colOff>
      <xdr:row>19</xdr:row>
      <xdr:rowOff>121920</xdr:rowOff>
    </xdr:from>
    <xdr:to>
      <xdr:col>4</xdr:col>
      <xdr:colOff>1402080</xdr:colOff>
      <xdr:row>20</xdr:row>
      <xdr:rowOff>45720</xdr:rowOff>
    </xdr:to>
    <xdr:sp macro="" textlink="">
      <xdr:nvSpPr>
        <xdr:cNvPr id="75" name="Dibujo 512"/>
        <xdr:cNvSpPr>
          <a:spLocks/>
        </xdr:cNvSpPr>
      </xdr:nvSpPr>
      <xdr:spPr bwMode="auto">
        <a:xfrm>
          <a:off x="2779395" y="3284220"/>
          <a:ext cx="480060" cy="8572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1060908</xdr:colOff>
      <xdr:row>19</xdr:row>
      <xdr:rowOff>81074</xdr:rowOff>
    </xdr:from>
    <xdr:to>
      <xdr:col>4</xdr:col>
      <xdr:colOff>1336176</xdr:colOff>
      <xdr:row>20</xdr:row>
      <xdr:rowOff>63325</xdr:rowOff>
    </xdr:to>
    <xdr:sp macro="" textlink="'Data 1'!D377">
      <xdr:nvSpPr>
        <xdr:cNvPr id="76" name="Texto 632"/>
        <xdr:cNvSpPr txBox="1">
          <a:spLocks noChangeArrowheads="1"/>
        </xdr:cNvSpPr>
      </xdr:nvSpPr>
      <xdr:spPr bwMode="auto">
        <a:xfrm>
          <a:off x="2918283" y="3200512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980FB51-DF38-4BAD-B1C1-873280C3118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1.749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18</xdr:row>
      <xdr:rowOff>0</xdr:rowOff>
    </xdr:from>
    <xdr:to>
      <xdr:col>4</xdr:col>
      <xdr:colOff>1447800</xdr:colOff>
      <xdr:row>18</xdr:row>
      <xdr:rowOff>121920</xdr:rowOff>
    </xdr:to>
    <xdr:sp macro="" textlink="">
      <xdr:nvSpPr>
        <xdr:cNvPr id="77" name="Dibujo 516"/>
        <xdr:cNvSpPr>
          <a:spLocks/>
        </xdr:cNvSpPr>
      </xdr:nvSpPr>
      <xdr:spPr bwMode="auto">
        <a:xfrm>
          <a:off x="2825115" y="3000375"/>
          <a:ext cx="480060" cy="12192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1218491</xdr:colOff>
      <xdr:row>17</xdr:row>
      <xdr:rowOff>137514</xdr:rowOff>
    </xdr:from>
    <xdr:to>
      <xdr:col>4</xdr:col>
      <xdr:colOff>1408158</xdr:colOff>
      <xdr:row>18</xdr:row>
      <xdr:rowOff>119765</xdr:rowOff>
    </xdr:to>
    <xdr:sp macro="" textlink="'Data 1'!D376">
      <xdr:nvSpPr>
        <xdr:cNvPr id="78" name="Texto 635"/>
        <xdr:cNvSpPr txBox="1">
          <a:spLocks noChangeArrowheads="1"/>
        </xdr:cNvSpPr>
      </xdr:nvSpPr>
      <xdr:spPr bwMode="auto">
        <a:xfrm>
          <a:off x="3075866" y="2939452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82C431A2-7548-4114-A83D-39D5D563B94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159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16</xdr:row>
      <xdr:rowOff>68580</xdr:rowOff>
    </xdr:from>
    <xdr:to>
      <xdr:col>4</xdr:col>
      <xdr:colOff>1447800</xdr:colOff>
      <xdr:row>17</xdr:row>
      <xdr:rowOff>7620</xdr:rowOff>
    </xdr:to>
    <xdr:sp macro="" textlink="">
      <xdr:nvSpPr>
        <xdr:cNvPr id="79" name="Dibujo 499"/>
        <xdr:cNvSpPr>
          <a:spLocks/>
        </xdr:cNvSpPr>
      </xdr:nvSpPr>
      <xdr:spPr bwMode="auto">
        <a:xfrm>
          <a:off x="2825115" y="2745105"/>
          <a:ext cx="480060" cy="10096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1184172</xdr:colOff>
      <xdr:row>16</xdr:row>
      <xdr:rowOff>39385</xdr:rowOff>
    </xdr:from>
    <xdr:to>
      <xdr:col>4</xdr:col>
      <xdr:colOff>1373839</xdr:colOff>
      <xdr:row>17</xdr:row>
      <xdr:rowOff>21636</xdr:rowOff>
    </xdr:to>
    <xdr:sp macro="" textlink="'Data 1'!D374">
      <xdr:nvSpPr>
        <xdr:cNvPr id="80" name="Texto 634"/>
        <xdr:cNvSpPr txBox="1">
          <a:spLocks noChangeArrowheads="1"/>
        </xdr:cNvSpPr>
      </xdr:nvSpPr>
      <xdr:spPr bwMode="auto">
        <a:xfrm>
          <a:off x="3041547" y="268257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5C8C0526-67F8-43AB-9704-10DC8729C8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199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14</xdr:row>
      <xdr:rowOff>144780</xdr:rowOff>
    </xdr:from>
    <xdr:to>
      <xdr:col>4</xdr:col>
      <xdr:colOff>1447800</xdr:colOff>
      <xdr:row>15</xdr:row>
      <xdr:rowOff>76200</xdr:rowOff>
    </xdr:to>
    <xdr:sp macro="" textlink="">
      <xdr:nvSpPr>
        <xdr:cNvPr id="81" name="Dibujo 508"/>
        <xdr:cNvSpPr>
          <a:spLocks/>
        </xdr:cNvSpPr>
      </xdr:nvSpPr>
      <xdr:spPr bwMode="auto">
        <a:xfrm>
          <a:off x="2825115" y="2497455"/>
          <a:ext cx="480060" cy="9334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967740</xdr:colOff>
      <xdr:row>13</xdr:row>
      <xdr:rowOff>60960</xdr:rowOff>
    </xdr:from>
    <xdr:to>
      <xdr:col>4</xdr:col>
      <xdr:colOff>1295400</xdr:colOff>
      <xdr:row>13</xdr:row>
      <xdr:rowOff>60960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 flipH="1">
          <a:off x="2825115" y="2251710"/>
          <a:ext cx="327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1215389</xdr:colOff>
      <xdr:row>14</xdr:row>
      <xdr:rowOff>116073</xdr:rowOff>
    </xdr:from>
    <xdr:to>
      <xdr:col>4</xdr:col>
      <xdr:colOff>1405056</xdr:colOff>
      <xdr:row>15</xdr:row>
      <xdr:rowOff>98324</xdr:rowOff>
    </xdr:to>
    <xdr:sp macro="" textlink="'Data 1'!D375">
      <xdr:nvSpPr>
        <xdr:cNvPr id="83" name="Texto 636"/>
        <xdr:cNvSpPr txBox="1">
          <a:spLocks noChangeArrowheads="1"/>
        </xdr:cNvSpPr>
      </xdr:nvSpPr>
      <xdr:spPr bwMode="auto">
        <a:xfrm>
          <a:off x="3072764" y="2441761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D8E4365-E40C-4CD7-AD62-9897ED2540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226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10</xdr:row>
      <xdr:rowOff>30480</xdr:rowOff>
    </xdr:from>
    <xdr:to>
      <xdr:col>4</xdr:col>
      <xdr:colOff>1066800</xdr:colOff>
      <xdr:row>12</xdr:row>
      <xdr:rowOff>91440</xdr:rowOff>
    </xdr:to>
    <xdr:sp macro="" textlink="">
      <xdr:nvSpPr>
        <xdr:cNvPr id="84" name="Dibujo 610"/>
        <xdr:cNvSpPr>
          <a:spLocks/>
        </xdr:cNvSpPr>
      </xdr:nvSpPr>
      <xdr:spPr bwMode="auto">
        <a:xfrm>
          <a:off x="280987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915504</xdr:colOff>
      <xdr:row>10</xdr:row>
      <xdr:rowOff>123825</xdr:rowOff>
    </xdr:from>
    <xdr:to>
      <xdr:col>4</xdr:col>
      <xdr:colOff>1051888</xdr:colOff>
      <xdr:row>11</xdr:row>
      <xdr:rowOff>42050</xdr:rowOff>
    </xdr:to>
    <xdr:sp macro="" textlink="'Data 1'!D372">
      <xdr:nvSpPr>
        <xdr:cNvPr id="85" name="Texto 612"/>
        <xdr:cNvSpPr txBox="1">
          <a:spLocks noChangeArrowheads="1"/>
        </xdr:cNvSpPr>
      </xdr:nvSpPr>
      <xdr:spPr bwMode="auto">
        <a:xfrm>
          <a:off x="2772879" y="182880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7E3AF1-5ADD-4BF5-9EC3-369552C58AC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1074420</xdr:colOff>
      <xdr:row>10</xdr:row>
      <xdr:rowOff>121920</xdr:rowOff>
    </xdr:from>
    <xdr:to>
      <xdr:col>4</xdr:col>
      <xdr:colOff>1181100</xdr:colOff>
      <xdr:row>13</xdr:row>
      <xdr:rowOff>7620</xdr:rowOff>
    </xdr:to>
    <xdr:sp macro="" textlink="">
      <xdr:nvSpPr>
        <xdr:cNvPr id="86" name="Dibujo 746"/>
        <xdr:cNvSpPr>
          <a:spLocks/>
        </xdr:cNvSpPr>
      </xdr:nvSpPr>
      <xdr:spPr bwMode="auto">
        <a:xfrm>
          <a:off x="2931795" y="1826895"/>
          <a:ext cx="106680" cy="3714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1052487</xdr:colOff>
      <xdr:row>12</xdr:row>
      <xdr:rowOff>17145</xdr:rowOff>
    </xdr:from>
    <xdr:to>
      <xdr:col>4</xdr:col>
      <xdr:colOff>1188871</xdr:colOff>
      <xdr:row>12</xdr:row>
      <xdr:rowOff>97295</xdr:rowOff>
    </xdr:to>
    <xdr:sp macro="" textlink="'Data 1'!E372">
      <xdr:nvSpPr>
        <xdr:cNvPr id="87" name="Texto 747"/>
        <xdr:cNvSpPr txBox="1">
          <a:spLocks noChangeArrowheads="1"/>
        </xdr:cNvSpPr>
      </xdr:nvSpPr>
      <xdr:spPr bwMode="auto">
        <a:xfrm>
          <a:off x="2909862" y="204597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4E130C-6F33-489C-A2F5-C905C42BD81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21</xdr:row>
      <xdr:rowOff>38100</xdr:rowOff>
    </xdr:from>
    <xdr:to>
      <xdr:col>4</xdr:col>
      <xdr:colOff>1432560</xdr:colOff>
      <xdr:row>21</xdr:row>
      <xdr:rowOff>144780</xdr:rowOff>
    </xdr:to>
    <xdr:sp macro="" textlink="">
      <xdr:nvSpPr>
        <xdr:cNvPr id="88" name="Dibujo 512"/>
        <xdr:cNvSpPr>
          <a:spLocks/>
        </xdr:cNvSpPr>
      </xdr:nvSpPr>
      <xdr:spPr bwMode="auto">
        <a:xfrm>
          <a:off x="2809875" y="352425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1267352</xdr:colOff>
      <xdr:row>21</xdr:row>
      <xdr:rowOff>3143</xdr:rowOff>
    </xdr:from>
    <xdr:to>
      <xdr:col>4</xdr:col>
      <xdr:colOff>1338555</xdr:colOff>
      <xdr:row>21</xdr:row>
      <xdr:rowOff>157108</xdr:rowOff>
    </xdr:to>
    <xdr:sp macro="" textlink="'Data 1'!D378">
      <xdr:nvSpPr>
        <xdr:cNvPr id="89" name="Texto 632"/>
        <xdr:cNvSpPr txBox="1">
          <a:spLocks noChangeArrowheads="1"/>
        </xdr:cNvSpPr>
      </xdr:nvSpPr>
      <xdr:spPr bwMode="auto">
        <a:xfrm>
          <a:off x="3124727" y="3489293"/>
          <a:ext cx="71203" cy="1539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6A677B11-D402-4FA3-BAA0-9344157FBEA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845820</xdr:colOff>
      <xdr:row>21</xdr:row>
      <xdr:rowOff>144780</xdr:rowOff>
    </xdr:from>
    <xdr:to>
      <xdr:col>4</xdr:col>
      <xdr:colOff>1325880</xdr:colOff>
      <xdr:row>22</xdr:row>
      <xdr:rowOff>99060</xdr:rowOff>
    </xdr:to>
    <xdr:sp macro="" textlink="">
      <xdr:nvSpPr>
        <xdr:cNvPr id="90" name="Dibujo 505"/>
        <xdr:cNvSpPr>
          <a:spLocks/>
        </xdr:cNvSpPr>
      </xdr:nvSpPr>
      <xdr:spPr bwMode="auto">
        <a:xfrm>
          <a:off x="2703195" y="3630930"/>
          <a:ext cx="480060" cy="11620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888729</xdr:colOff>
      <xdr:row>21</xdr:row>
      <xdr:rowOff>125193</xdr:rowOff>
    </xdr:from>
    <xdr:to>
      <xdr:col>4</xdr:col>
      <xdr:colOff>1086299</xdr:colOff>
      <xdr:row>22</xdr:row>
      <xdr:rowOff>90145</xdr:rowOff>
    </xdr:to>
    <xdr:sp macro="" textlink="'Data 1'!E378">
      <xdr:nvSpPr>
        <xdr:cNvPr id="91" name="Texto 633"/>
        <xdr:cNvSpPr txBox="1">
          <a:spLocks noChangeArrowheads="1"/>
        </xdr:cNvSpPr>
      </xdr:nvSpPr>
      <xdr:spPr bwMode="auto">
        <a:xfrm>
          <a:off x="2746104" y="3611343"/>
          <a:ext cx="197570" cy="12687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1F1649BC-A080-4AC3-8BD8-58687C001F7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2903220</xdr:colOff>
      <xdr:row>7</xdr:row>
      <xdr:rowOff>38100</xdr:rowOff>
    </xdr:from>
    <xdr:to>
      <xdr:col>4</xdr:col>
      <xdr:colOff>3017520</xdr:colOff>
      <xdr:row>9</xdr:row>
      <xdr:rowOff>121920</xdr:rowOff>
    </xdr:to>
    <xdr:sp macro="" textlink="">
      <xdr:nvSpPr>
        <xdr:cNvPr id="92" name="Dibujo 565"/>
        <xdr:cNvSpPr>
          <a:spLocks/>
        </xdr:cNvSpPr>
      </xdr:nvSpPr>
      <xdr:spPr bwMode="auto">
        <a:xfrm>
          <a:off x="4760595" y="1257300"/>
          <a:ext cx="114300" cy="4076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2882265</xdr:colOff>
      <xdr:row>8</xdr:row>
      <xdr:rowOff>135255</xdr:rowOff>
    </xdr:from>
    <xdr:to>
      <xdr:col>4</xdr:col>
      <xdr:colOff>3018649</xdr:colOff>
      <xdr:row>9</xdr:row>
      <xdr:rowOff>53480</xdr:rowOff>
    </xdr:to>
    <xdr:sp macro="" textlink="'Data 1'!D363">
      <xdr:nvSpPr>
        <xdr:cNvPr id="93" name="Texto 584"/>
        <xdr:cNvSpPr txBox="1">
          <a:spLocks noChangeArrowheads="1"/>
        </xdr:cNvSpPr>
      </xdr:nvSpPr>
      <xdr:spPr bwMode="auto">
        <a:xfrm>
          <a:off x="4739640" y="151638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2748070-5839-49D5-B216-FDE1FECBDA0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807720</xdr:colOff>
      <xdr:row>23</xdr:row>
      <xdr:rowOff>76200</xdr:rowOff>
    </xdr:from>
    <xdr:to>
      <xdr:col>4</xdr:col>
      <xdr:colOff>1280160</xdr:colOff>
      <xdr:row>24</xdr:row>
      <xdr:rowOff>22860</xdr:rowOff>
    </xdr:to>
    <xdr:sp macro="" textlink="">
      <xdr:nvSpPr>
        <xdr:cNvPr id="94" name="Dibujo 748"/>
        <xdr:cNvSpPr>
          <a:spLocks/>
        </xdr:cNvSpPr>
      </xdr:nvSpPr>
      <xdr:spPr bwMode="auto">
        <a:xfrm>
          <a:off x="2665095" y="3886200"/>
          <a:ext cx="472440" cy="10858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1270571</xdr:colOff>
      <xdr:row>23</xdr:row>
      <xdr:rowOff>49236</xdr:rowOff>
    </xdr:from>
    <xdr:to>
      <xdr:col>4</xdr:col>
      <xdr:colOff>2036165</xdr:colOff>
      <xdr:row>24</xdr:row>
      <xdr:rowOff>22597</xdr:rowOff>
    </xdr:to>
    <xdr:sp macro="" textlink="">
      <xdr:nvSpPr>
        <xdr:cNvPr id="95" name="Texto 749"/>
        <xdr:cNvSpPr txBox="1">
          <a:spLocks noChangeArrowheads="1"/>
        </xdr:cNvSpPr>
      </xdr:nvSpPr>
      <xdr:spPr bwMode="auto">
        <a:xfrm>
          <a:off x="3127946" y="3859236"/>
          <a:ext cx="7655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Brovales 400 kV</a:t>
          </a:r>
        </a:p>
      </xdr:txBody>
    </xdr:sp>
    <xdr:clientData/>
  </xdr:twoCellAnchor>
  <xdr:twoCellAnchor editAs="absolute">
    <xdr:from>
      <xdr:col>4</xdr:col>
      <xdr:colOff>855345</xdr:colOff>
      <xdr:row>23</xdr:row>
      <xdr:rowOff>44965</xdr:rowOff>
    </xdr:from>
    <xdr:to>
      <xdr:col>4</xdr:col>
      <xdr:colOff>1043645</xdr:colOff>
      <xdr:row>24</xdr:row>
      <xdr:rowOff>13832</xdr:rowOff>
    </xdr:to>
    <xdr:sp macro="" textlink="'Data 1'!E379">
      <xdr:nvSpPr>
        <xdr:cNvPr id="96" name="Texto 750"/>
        <xdr:cNvSpPr txBox="1">
          <a:spLocks noChangeArrowheads="1"/>
        </xdr:cNvSpPr>
      </xdr:nvSpPr>
      <xdr:spPr bwMode="auto">
        <a:xfrm>
          <a:off x="2712720" y="3854965"/>
          <a:ext cx="188300" cy="1307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75A510D-8A68-4ACB-ADA5-E067719D0D7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281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929640</xdr:colOff>
      <xdr:row>22</xdr:row>
      <xdr:rowOff>129540</xdr:rowOff>
    </xdr:from>
    <xdr:to>
      <xdr:col>4</xdr:col>
      <xdr:colOff>1409700</xdr:colOff>
      <xdr:row>23</xdr:row>
      <xdr:rowOff>76200</xdr:rowOff>
    </xdr:to>
    <xdr:sp macro="" textlink="">
      <xdr:nvSpPr>
        <xdr:cNvPr id="97" name="Dibujo 512"/>
        <xdr:cNvSpPr>
          <a:spLocks/>
        </xdr:cNvSpPr>
      </xdr:nvSpPr>
      <xdr:spPr bwMode="auto">
        <a:xfrm>
          <a:off x="2787015" y="3777615"/>
          <a:ext cx="480060" cy="10858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491490</xdr:colOff>
      <xdr:row>22</xdr:row>
      <xdr:rowOff>88875</xdr:rowOff>
    </xdr:from>
    <xdr:to>
      <xdr:col>4</xdr:col>
      <xdr:colOff>880699</xdr:colOff>
      <xdr:row>23</xdr:row>
      <xdr:rowOff>62236</xdr:rowOff>
    </xdr:to>
    <xdr:sp macro="" textlink="">
      <xdr:nvSpPr>
        <xdr:cNvPr id="98" name="Texto 749"/>
        <xdr:cNvSpPr txBox="1">
          <a:spLocks noChangeArrowheads="1"/>
        </xdr:cNvSpPr>
      </xdr:nvSpPr>
      <xdr:spPr bwMode="auto">
        <a:xfrm>
          <a:off x="2348865" y="3736950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Alqueva</a:t>
          </a:r>
        </a:p>
      </xdr:txBody>
    </xdr:sp>
    <xdr:clientData/>
  </xdr:twoCellAnchor>
  <xdr:twoCellAnchor editAs="absolute">
    <xdr:from>
      <xdr:col>4</xdr:col>
      <xdr:colOff>1061255</xdr:colOff>
      <xdr:row>22</xdr:row>
      <xdr:rowOff>102809</xdr:rowOff>
    </xdr:from>
    <xdr:to>
      <xdr:col>4</xdr:col>
      <xdr:colOff>1342389</xdr:colOff>
      <xdr:row>23</xdr:row>
      <xdr:rowOff>88986</xdr:rowOff>
    </xdr:to>
    <xdr:sp macro="" textlink="'Data 1'!D379">
      <xdr:nvSpPr>
        <xdr:cNvPr id="99" name="Texto 750"/>
        <xdr:cNvSpPr txBox="1">
          <a:spLocks noChangeArrowheads="1"/>
        </xdr:cNvSpPr>
      </xdr:nvSpPr>
      <xdr:spPr bwMode="auto">
        <a:xfrm>
          <a:off x="2918630" y="3750884"/>
          <a:ext cx="281134" cy="14810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6ACC318-9281-4A69-B4A3-BAA16063FB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1.704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388620</xdr:colOff>
      <xdr:row>24</xdr:row>
      <xdr:rowOff>7620</xdr:rowOff>
    </xdr:from>
    <xdr:to>
      <xdr:col>4</xdr:col>
      <xdr:colOff>2461260</xdr:colOff>
      <xdr:row>25</xdr:row>
      <xdr:rowOff>121920</xdr:rowOff>
    </xdr:to>
    <xdr:grpSp>
      <xdr:nvGrpSpPr>
        <xdr:cNvPr id="100" name="Group 129"/>
        <xdr:cNvGrpSpPr>
          <a:grpSpLocks/>
        </xdr:cNvGrpSpPr>
      </xdr:nvGrpSpPr>
      <xdr:grpSpPr bwMode="auto">
        <a:xfrm>
          <a:off x="2245995" y="3979545"/>
          <a:ext cx="2072640" cy="276225"/>
          <a:chOff x="180" y="412"/>
          <a:chExt cx="213" cy="30"/>
        </a:xfrm>
      </xdr:grpSpPr>
      <xdr:sp macro="" textlink="">
        <xdr:nvSpPr>
          <xdr:cNvPr id="101" name="Dibujo 748"/>
          <xdr:cNvSpPr>
            <a:spLocks/>
          </xdr:cNvSpPr>
        </xdr:nvSpPr>
        <xdr:spPr bwMode="auto">
          <a:xfrm>
            <a:off x="221" y="428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6384"/>
                </a:lnTo>
                <a:lnTo>
                  <a:pt x="2048" y="16384"/>
                </a:lnTo>
                <a:lnTo>
                  <a:pt x="0" y="8582"/>
                </a:lnTo>
                <a:lnTo>
                  <a:pt x="2253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Texto 749"/>
          <xdr:cNvSpPr txBox="1">
            <a:spLocks noChangeArrowheads="1"/>
          </xdr:cNvSpPr>
        </xdr:nvSpPr>
        <xdr:spPr bwMode="auto">
          <a:xfrm>
            <a:off x="270" y="426"/>
            <a:ext cx="123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Rosal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 de la Frontera</a:t>
            </a: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 15 kV</a:t>
            </a:r>
          </a:p>
        </xdr:txBody>
      </xdr:sp>
      <xdr:sp macro="" textlink="'Data 1'!E382">
        <xdr:nvSpPr>
          <xdr:cNvPr id="103" name="Texto 750"/>
          <xdr:cNvSpPr txBox="1">
            <a:spLocks noChangeArrowheads="1"/>
          </xdr:cNvSpPr>
        </xdr:nvSpPr>
        <xdr:spPr bwMode="auto">
          <a:xfrm>
            <a:off x="229" y="425"/>
            <a:ext cx="9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square" lIns="18288" tIns="22860" rIns="0" bIns="0" anchor="t" upright="1">
            <a:noAutofit/>
          </a:bodyPr>
          <a:lstStyle/>
          <a:p>
            <a:pPr algn="l" rtl="0">
              <a:defRPr sz="1000"/>
            </a:pPr>
            <a:fld id="{B96F0F53-F81C-4E3D-A670-AD7627D1276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" name="Dibujo 512"/>
          <xdr:cNvSpPr>
            <a:spLocks/>
          </xdr:cNvSpPr>
        </xdr:nvSpPr>
        <xdr:spPr bwMode="auto">
          <a:xfrm>
            <a:off x="235" y="416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16384"/>
                </a:lnTo>
                <a:lnTo>
                  <a:pt x="14522" y="16384"/>
                </a:lnTo>
                <a:lnTo>
                  <a:pt x="16384" y="9011"/>
                </a:lnTo>
                <a:lnTo>
                  <a:pt x="14522" y="0"/>
                </a:lnTo>
                <a:lnTo>
                  <a:pt x="0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Texto 749"/>
          <xdr:cNvSpPr txBox="1">
            <a:spLocks noChangeArrowheads="1"/>
          </xdr:cNvSpPr>
        </xdr:nvSpPr>
        <xdr:spPr bwMode="auto">
          <a:xfrm>
            <a:off x="180" y="413"/>
            <a:ext cx="48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V. 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Ficalho</a:t>
            </a:r>
            <a:endParaRPr lang="es-ES" sz="800" b="0" i="0" strike="noStrike">
              <a:solidFill>
                <a:srgbClr val="002060"/>
              </a:solidFill>
              <a:latin typeface="Arial"/>
              <a:cs typeface="Arial"/>
            </a:endParaRPr>
          </a:p>
        </xdr:txBody>
      </xdr:sp>
      <xdr:sp macro="" textlink="'Data 1'!D382">
        <xdr:nvSpPr>
          <xdr:cNvPr id="106" name="Texto 750"/>
          <xdr:cNvSpPr txBox="1">
            <a:spLocks noChangeArrowheads="1"/>
          </xdr:cNvSpPr>
        </xdr:nvSpPr>
        <xdr:spPr bwMode="auto">
          <a:xfrm>
            <a:off x="265" y="412"/>
            <a:ext cx="8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fld id="{723A2D4B-6AC3-4D0D-9954-85D6315DBC3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1215162</xdr:colOff>
      <xdr:row>11</xdr:row>
      <xdr:rowOff>125730</xdr:rowOff>
    </xdr:from>
    <xdr:to>
      <xdr:col>4</xdr:col>
      <xdr:colOff>1593022</xdr:colOff>
      <xdr:row>12</xdr:row>
      <xdr:rowOff>99091</xdr:rowOff>
    </xdr:to>
    <xdr:sp macro="" textlink="">
      <xdr:nvSpPr>
        <xdr:cNvPr id="107" name="Texto 615"/>
        <xdr:cNvSpPr txBox="1">
          <a:spLocks noChangeArrowheads="1"/>
        </xdr:cNvSpPr>
      </xdr:nvSpPr>
      <xdr:spPr bwMode="auto">
        <a:xfrm>
          <a:off x="3072537" y="1992630"/>
          <a:ext cx="37786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Lindoso</a:t>
          </a:r>
        </a:p>
      </xdr:txBody>
    </xdr:sp>
    <xdr:clientData/>
  </xdr:twoCellAnchor>
  <xdr:twoCellAnchor editAs="absolute">
    <xdr:from>
      <xdr:col>4</xdr:col>
      <xdr:colOff>435807</xdr:colOff>
      <xdr:row>14</xdr:row>
      <xdr:rowOff>104555</xdr:rowOff>
    </xdr:from>
    <xdr:to>
      <xdr:col>4</xdr:col>
      <xdr:colOff>990067</xdr:colOff>
      <xdr:row>15</xdr:row>
      <xdr:rowOff>89315</xdr:rowOff>
    </xdr:to>
    <xdr:sp macro="" textlink="">
      <xdr:nvSpPr>
        <xdr:cNvPr id="108" name="Texto 527"/>
        <xdr:cNvSpPr txBox="1">
          <a:spLocks noChangeArrowheads="1"/>
        </xdr:cNvSpPr>
      </xdr:nvSpPr>
      <xdr:spPr bwMode="auto">
        <a:xfrm>
          <a:off x="2293182" y="2457230"/>
          <a:ext cx="554260" cy="1466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2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410906</xdr:colOff>
      <xdr:row>16</xdr:row>
      <xdr:rowOff>29862</xdr:rowOff>
    </xdr:from>
    <xdr:to>
      <xdr:col>4</xdr:col>
      <xdr:colOff>885716</xdr:colOff>
      <xdr:row>17</xdr:row>
      <xdr:rowOff>3223</xdr:rowOff>
    </xdr:to>
    <xdr:sp macro="" textlink="">
      <xdr:nvSpPr>
        <xdr:cNvPr id="109" name="Texto 520"/>
        <xdr:cNvSpPr txBox="1">
          <a:spLocks noChangeArrowheads="1"/>
        </xdr:cNvSpPr>
      </xdr:nvSpPr>
      <xdr:spPr bwMode="auto">
        <a:xfrm>
          <a:off x="2268281" y="2706387"/>
          <a:ext cx="4748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81959"/>
              </a:solidFill>
              <a:effectLst/>
              <a:uLnTx/>
              <a:uFillTx/>
              <a:latin typeface="Arial"/>
              <a:ea typeface="+mn-ea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1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1120140</xdr:colOff>
      <xdr:row>13</xdr:row>
      <xdr:rowOff>45720</xdr:rowOff>
    </xdr:from>
    <xdr:to>
      <xdr:col>4</xdr:col>
      <xdr:colOff>1600200</xdr:colOff>
      <xdr:row>13</xdr:row>
      <xdr:rowOff>152400</xdr:rowOff>
    </xdr:to>
    <xdr:sp macro="" textlink="">
      <xdr:nvSpPr>
        <xdr:cNvPr id="110" name="Dibujo 508"/>
        <xdr:cNvSpPr>
          <a:spLocks/>
        </xdr:cNvSpPr>
      </xdr:nvSpPr>
      <xdr:spPr bwMode="auto">
        <a:xfrm>
          <a:off x="2977515" y="223647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952500</xdr:colOff>
      <xdr:row>14</xdr:row>
      <xdr:rowOff>0</xdr:rowOff>
    </xdr:from>
    <xdr:to>
      <xdr:col>4</xdr:col>
      <xdr:colOff>1447800</xdr:colOff>
      <xdr:row>14</xdr:row>
      <xdr:rowOff>106680</xdr:rowOff>
    </xdr:to>
    <xdr:sp macro="" textlink="">
      <xdr:nvSpPr>
        <xdr:cNvPr id="111" name="Dibujo 509"/>
        <xdr:cNvSpPr>
          <a:spLocks/>
        </xdr:cNvSpPr>
      </xdr:nvSpPr>
      <xdr:spPr bwMode="auto">
        <a:xfrm>
          <a:off x="2809875" y="2352675"/>
          <a:ext cx="49530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647440</xdr:colOff>
      <xdr:row>13</xdr:row>
      <xdr:rowOff>7531</xdr:rowOff>
    </xdr:from>
    <xdr:to>
      <xdr:col>4</xdr:col>
      <xdr:colOff>1144658</xdr:colOff>
      <xdr:row>13</xdr:row>
      <xdr:rowOff>150406</xdr:rowOff>
    </xdr:to>
    <xdr:sp macro="" textlink="">
      <xdr:nvSpPr>
        <xdr:cNvPr id="112" name="Texto 527"/>
        <xdr:cNvSpPr txBox="1">
          <a:spLocks noChangeArrowheads="1"/>
        </xdr:cNvSpPr>
      </xdr:nvSpPr>
      <xdr:spPr bwMode="auto">
        <a:xfrm>
          <a:off x="2504815" y="2198281"/>
          <a:ext cx="497218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Lagoaça</a:t>
          </a:r>
        </a:p>
      </xdr:txBody>
    </xdr:sp>
    <xdr:clientData/>
  </xdr:twoCellAnchor>
  <xdr:twoCellAnchor editAs="absolute">
    <xdr:from>
      <xdr:col>4</xdr:col>
      <xdr:colOff>1433667</xdr:colOff>
      <xdr:row>13</xdr:row>
      <xdr:rowOff>127989</xdr:rowOff>
    </xdr:from>
    <xdr:to>
      <xdr:col>4</xdr:col>
      <xdr:colOff>2359049</xdr:colOff>
      <xdr:row>14</xdr:row>
      <xdr:rowOff>101350</xdr:rowOff>
    </xdr:to>
    <xdr:sp macro="" textlink="">
      <xdr:nvSpPr>
        <xdr:cNvPr id="113" name="Texto 631"/>
        <xdr:cNvSpPr txBox="1">
          <a:spLocks noChangeArrowheads="1"/>
        </xdr:cNvSpPr>
      </xdr:nvSpPr>
      <xdr:spPr bwMode="auto">
        <a:xfrm>
          <a:off x="3291042" y="2318739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400 kV</a:t>
          </a:r>
        </a:p>
      </xdr:txBody>
    </xdr:sp>
    <xdr:clientData/>
  </xdr:twoCellAnchor>
  <xdr:twoCellAnchor editAs="absolute">
    <xdr:from>
      <xdr:col>4</xdr:col>
      <xdr:colOff>1242193</xdr:colOff>
      <xdr:row>13</xdr:row>
      <xdr:rowOff>25252</xdr:rowOff>
    </xdr:from>
    <xdr:to>
      <xdr:col>4</xdr:col>
      <xdr:colOff>1517461</xdr:colOff>
      <xdr:row>14</xdr:row>
      <xdr:rowOff>7503</xdr:rowOff>
    </xdr:to>
    <xdr:sp macro="" textlink="'Data 1'!D373">
      <xdr:nvSpPr>
        <xdr:cNvPr id="114" name="Texto 636"/>
        <xdr:cNvSpPr txBox="1">
          <a:spLocks noChangeArrowheads="1"/>
        </xdr:cNvSpPr>
      </xdr:nvSpPr>
      <xdr:spPr bwMode="auto">
        <a:xfrm>
          <a:off x="3099568" y="219219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EA52AE-CD6D-4FCE-8982-48914B56CA1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2.511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1012086</xdr:colOff>
      <xdr:row>13</xdr:row>
      <xdr:rowOff>139862</xdr:rowOff>
    </xdr:from>
    <xdr:to>
      <xdr:col>4</xdr:col>
      <xdr:colOff>1201753</xdr:colOff>
      <xdr:row>14</xdr:row>
      <xdr:rowOff>122113</xdr:rowOff>
    </xdr:to>
    <xdr:sp macro="" textlink="'Data 1'!E373">
      <xdr:nvSpPr>
        <xdr:cNvPr id="115" name="Texto 636"/>
        <xdr:cNvSpPr txBox="1">
          <a:spLocks noChangeArrowheads="1"/>
        </xdr:cNvSpPr>
      </xdr:nvSpPr>
      <xdr:spPr bwMode="auto">
        <a:xfrm>
          <a:off x="2869461" y="230680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F859655D-F5DE-422F-A993-9DC6057874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407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4991100</xdr:colOff>
      <xdr:row>11</xdr:row>
      <xdr:rowOff>22860</xdr:rowOff>
    </xdr:from>
    <xdr:to>
      <xdr:col>4</xdr:col>
      <xdr:colOff>5120640</xdr:colOff>
      <xdr:row>13</xdr:row>
      <xdr:rowOff>121920</xdr:rowOff>
    </xdr:to>
    <xdr:sp macro="" textlink="">
      <xdr:nvSpPr>
        <xdr:cNvPr id="116" name="Dibujo 582"/>
        <xdr:cNvSpPr>
          <a:spLocks/>
        </xdr:cNvSpPr>
      </xdr:nvSpPr>
      <xdr:spPr bwMode="auto">
        <a:xfrm>
          <a:off x="6848475" y="1889760"/>
          <a:ext cx="129540" cy="42291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4846320</xdr:colOff>
      <xdr:row>10</xdr:row>
      <xdr:rowOff>99060</xdr:rowOff>
    </xdr:from>
    <xdr:to>
      <xdr:col>4</xdr:col>
      <xdr:colOff>4975860</xdr:colOff>
      <xdr:row>13</xdr:row>
      <xdr:rowOff>60960</xdr:rowOff>
    </xdr:to>
    <xdr:sp macro="" textlink="">
      <xdr:nvSpPr>
        <xdr:cNvPr id="117" name="Dibujo 581"/>
        <xdr:cNvSpPr>
          <a:spLocks/>
        </xdr:cNvSpPr>
      </xdr:nvSpPr>
      <xdr:spPr bwMode="auto">
        <a:xfrm>
          <a:off x="6703695" y="1804035"/>
          <a:ext cx="12954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4832985</xdr:colOff>
      <xdr:row>11</xdr:row>
      <xdr:rowOff>9525</xdr:rowOff>
    </xdr:from>
    <xdr:to>
      <xdr:col>4</xdr:col>
      <xdr:colOff>4969369</xdr:colOff>
      <xdr:row>12</xdr:row>
      <xdr:rowOff>127484</xdr:rowOff>
    </xdr:to>
    <xdr:sp macro="" textlink="'Data 1'!E368">
      <xdr:nvSpPr>
        <xdr:cNvPr id="118" name="Texto 593"/>
        <xdr:cNvSpPr txBox="1">
          <a:spLocks noChangeArrowheads="1"/>
        </xdr:cNvSpPr>
      </xdr:nvSpPr>
      <xdr:spPr bwMode="auto">
        <a:xfrm>
          <a:off x="6690360" y="187642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777DD56-B4EB-4D27-908D-3EA3C1A65DE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1.078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4983797</xdr:colOff>
      <xdr:row>11</xdr:row>
      <xdr:rowOff>64770</xdr:rowOff>
    </xdr:from>
    <xdr:to>
      <xdr:col>4</xdr:col>
      <xdr:colOff>5120181</xdr:colOff>
      <xdr:row>13</xdr:row>
      <xdr:rowOff>20804</xdr:rowOff>
    </xdr:to>
    <xdr:sp macro="" textlink="'Data 1'!D368">
      <xdr:nvSpPr>
        <xdr:cNvPr id="119" name="Texto 594"/>
        <xdr:cNvSpPr txBox="1">
          <a:spLocks noChangeArrowheads="1"/>
        </xdr:cNvSpPr>
      </xdr:nvSpPr>
      <xdr:spPr bwMode="auto">
        <a:xfrm>
          <a:off x="6841172" y="1931670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5F4D6861-DCDA-468E-A5F0-B633373685F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6.107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4440555</xdr:colOff>
      <xdr:row>13</xdr:row>
      <xdr:rowOff>45720</xdr:rowOff>
    </xdr:from>
    <xdr:to>
      <xdr:col>4</xdr:col>
      <xdr:colOff>5000965</xdr:colOff>
      <xdr:row>14</xdr:row>
      <xdr:rowOff>19081</xdr:rowOff>
    </xdr:to>
    <xdr:sp macro="" textlink="">
      <xdr:nvSpPr>
        <xdr:cNvPr id="120" name="Texto 596"/>
        <xdr:cNvSpPr txBox="1">
          <a:spLocks noChangeArrowheads="1"/>
        </xdr:cNvSpPr>
      </xdr:nvSpPr>
      <xdr:spPr bwMode="auto">
        <a:xfrm>
          <a:off x="6297930" y="2236470"/>
          <a:ext cx="5604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Sta. Llogaia</a:t>
          </a:r>
        </a:p>
      </xdr:txBody>
    </xdr:sp>
    <xdr:clientData/>
  </xdr:twoCellAnchor>
  <xdr:twoCellAnchor editAs="absolute">
    <xdr:from>
      <xdr:col>4</xdr:col>
      <xdr:colOff>914400</xdr:colOff>
      <xdr:row>25</xdr:row>
      <xdr:rowOff>137160</xdr:rowOff>
    </xdr:from>
    <xdr:to>
      <xdr:col>4</xdr:col>
      <xdr:colOff>1386840</xdr:colOff>
      <xdr:row>26</xdr:row>
      <xdr:rowOff>91440</xdr:rowOff>
    </xdr:to>
    <xdr:sp macro="" textlink="">
      <xdr:nvSpPr>
        <xdr:cNvPr id="121" name="Dibujo 508"/>
        <xdr:cNvSpPr>
          <a:spLocks/>
        </xdr:cNvSpPr>
      </xdr:nvSpPr>
      <xdr:spPr bwMode="auto">
        <a:xfrm>
          <a:off x="2771775" y="4271010"/>
          <a:ext cx="472440" cy="11620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822960</xdr:colOff>
      <xdr:row>26</xdr:row>
      <xdr:rowOff>106680</xdr:rowOff>
    </xdr:from>
    <xdr:to>
      <xdr:col>4</xdr:col>
      <xdr:colOff>1303020</xdr:colOff>
      <xdr:row>27</xdr:row>
      <xdr:rowOff>45720</xdr:rowOff>
    </xdr:to>
    <xdr:sp macro="" textlink="">
      <xdr:nvSpPr>
        <xdr:cNvPr id="122" name="Dibujo 748"/>
        <xdr:cNvSpPr>
          <a:spLocks/>
        </xdr:cNvSpPr>
      </xdr:nvSpPr>
      <xdr:spPr bwMode="auto">
        <a:xfrm>
          <a:off x="2680335" y="440245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1302956</xdr:colOff>
      <xdr:row>26</xdr:row>
      <xdr:rowOff>67041</xdr:rowOff>
    </xdr:from>
    <xdr:to>
      <xdr:col>4</xdr:col>
      <xdr:colOff>2547849</xdr:colOff>
      <xdr:row>27</xdr:row>
      <xdr:rowOff>40402</xdr:rowOff>
    </xdr:to>
    <xdr:sp macro="" textlink="">
      <xdr:nvSpPr>
        <xdr:cNvPr id="123" name="Texto 749"/>
        <xdr:cNvSpPr txBox="1">
          <a:spLocks noChangeArrowheads="1"/>
        </xdr:cNvSpPr>
      </xdr:nvSpPr>
      <xdr:spPr bwMode="auto">
        <a:xfrm>
          <a:off x="3160331" y="4362816"/>
          <a:ext cx="124489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Puebla de Guzmán 400 kV</a:t>
          </a:r>
        </a:p>
      </xdr:txBody>
    </xdr:sp>
    <xdr:clientData/>
  </xdr:twoCellAnchor>
  <xdr:twoCellAnchor editAs="absolute">
    <xdr:from>
      <xdr:col>4</xdr:col>
      <xdr:colOff>560070</xdr:colOff>
      <xdr:row>25</xdr:row>
      <xdr:rowOff>89535</xdr:rowOff>
    </xdr:from>
    <xdr:to>
      <xdr:col>4</xdr:col>
      <xdr:colOff>863551</xdr:colOff>
      <xdr:row>26</xdr:row>
      <xdr:rowOff>62896</xdr:rowOff>
    </xdr:to>
    <xdr:sp macro="" textlink="">
      <xdr:nvSpPr>
        <xdr:cNvPr id="124" name="Texto 749"/>
        <xdr:cNvSpPr txBox="1">
          <a:spLocks noChangeArrowheads="1"/>
        </xdr:cNvSpPr>
      </xdr:nvSpPr>
      <xdr:spPr bwMode="auto">
        <a:xfrm>
          <a:off x="2417445" y="4223385"/>
          <a:ext cx="30348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Tavira</a:t>
          </a:r>
        </a:p>
      </xdr:txBody>
    </xdr:sp>
    <xdr:clientData/>
  </xdr:twoCellAnchor>
  <xdr:twoCellAnchor editAs="absolute">
    <xdr:from>
      <xdr:col>4</xdr:col>
      <xdr:colOff>1040300</xdr:colOff>
      <xdr:row>25</xdr:row>
      <xdr:rowOff>111089</xdr:rowOff>
    </xdr:from>
    <xdr:to>
      <xdr:col>4</xdr:col>
      <xdr:colOff>1321434</xdr:colOff>
      <xdr:row>26</xdr:row>
      <xdr:rowOff>87649</xdr:rowOff>
    </xdr:to>
    <xdr:sp macro="" textlink="'Data 1'!D381">
      <xdr:nvSpPr>
        <xdr:cNvPr id="125" name="Texto 750"/>
        <xdr:cNvSpPr txBox="1">
          <a:spLocks noChangeArrowheads="1"/>
        </xdr:cNvSpPr>
      </xdr:nvSpPr>
      <xdr:spPr bwMode="auto">
        <a:xfrm>
          <a:off x="2897675" y="4244939"/>
          <a:ext cx="281134" cy="138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4F4BB83F-2120-4130-88BD-19FAD2D635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1.409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880109</xdr:colOff>
      <xdr:row>26</xdr:row>
      <xdr:rowOff>65770</xdr:rowOff>
    </xdr:from>
    <xdr:to>
      <xdr:col>4</xdr:col>
      <xdr:colOff>1066662</xdr:colOff>
      <xdr:row>27</xdr:row>
      <xdr:rowOff>15065</xdr:rowOff>
    </xdr:to>
    <xdr:sp macro="" textlink="'Data 1'!E381">
      <xdr:nvSpPr>
        <xdr:cNvPr id="126" name="Texto 750"/>
        <xdr:cNvSpPr txBox="1">
          <a:spLocks noChangeArrowheads="1"/>
        </xdr:cNvSpPr>
      </xdr:nvSpPr>
      <xdr:spPr bwMode="auto">
        <a:xfrm>
          <a:off x="2737484" y="4361545"/>
          <a:ext cx="186553" cy="1112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CB95FF5B-91DE-45B3-A2B7-AAE7A77190D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63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2770187</xdr:colOff>
      <xdr:row>7</xdr:row>
      <xdr:rowOff>47625</xdr:rowOff>
    </xdr:from>
    <xdr:to>
      <xdr:col>4</xdr:col>
      <xdr:colOff>2906571</xdr:colOff>
      <xdr:row>7</xdr:row>
      <xdr:rowOff>127775</xdr:rowOff>
    </xdr:to>
    <xdr:sp macro="" textlink="'Data 1'!E363">
      <xdr:nvSpPr>
        <xdr:cNvPr id="127" name="Texto 584"/>
        <xdr:cNvSpPr txBox="1">
          <a:spLocks noChangeArrowheads="1"/>
        </xdr:cNvSpPr>
      </xdr:nvSpPr>
      <xdr:spPr bwMode="auto">
        <a:xfrm>
          <a:off x="4627562" y="126682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0C6FD58-EB0F-4E43-8D24-4196CD3DBE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14</xdr:col>
      <xdr:colOff>494564</xdr:colOff>
      <xdr:row>3</xdr:row>
      <xdr:rowOff>38100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8724165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14</xdr:col>
      <xdr:colOff>496663</xdr:colOff>
      <xdr:row>3</xdr:row>
      <xdr:rowOff>28575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200023" y="495300"/>
          <a:ext cx="868816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1</xdr:row>
      <xdr:rowOff>161925</xdr:rowOff>
    </xdr:from>
    <xdr:to>
      <xdr:col>2</xdr:col>
      <xdr:colOff>904875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10</xdr:col>
      <xdr:colOff>703274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4" y="495300"/>
          <a:ext cx="80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12</xdr:col>
      <xdr:colOff>740745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4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/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8</xdr:col>
      <xdr:colOff>836745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55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10</xdr:col>
      <xdr:colOff>730200</xdr:colOff>
      <xdr:row>3</xdr:row>
      <xdr:rowOff>32385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200025" y="489585"/>
          <a:ext cx="90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4968240</xdr:colOff>
      <xdr:row>25</xdr:row>
      <xdr:rowOff>15240</xdr:rowOff>
    </xdr:from>
    <xdr:ext cx="184731" cy="264560"/>
    <xdr:sp macro="" textlink="">
      <xdr:nvSpPr>
        <xdr:cNvPr id="9" name="CuadroTexto 8"/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5</xdr:col>
      <xdr:colOff>428625</xdr:colOff>
      <xdr:row>7</xdr:row>
      <xdr:rowOff>0</xdr:rowOff>
    </xdr:from>
    <xdr:to>
      <xdr:col>5</xdr:col>
      <xdr:colOff>628650</xdr:colOff>
      <xdr:row>8</xdr:row>
      <xdr:rowOff>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3048000" y="1190625"/>
          <a:ext cx="200025" cy="1619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7</xdr:row>
      <xdr:rowOff>19050</xdr:rowOff>
    </xdr:from>
    <xdr:to>
      <xdr:col>8</xdr:col>
      <xdr:colOff>438150</xdr:colOff>
      <xdr:row>8</xdr:row>
      <xdr:rowOff>19050</xdr:rowOff>
    </xdr:to>
    <xdr:sp macro="" textlink="">
      <xdr:nvSpPr>
        <xdr:cNvPr id="13" name="Rectangle 6"/>
        <xdr:cNvSpPr>
          <a:spLocks noChangeArrowheads="1"/>
        </xdr:cNvSpPr>
      </xdr:nvSpPr>
      <xdr:spPr bwMode="auto">
        <a:xfrm>
          <a:off x="6181725" y="1209675"/>
          <a:ext cx="200025" cy="161925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2" name="Murcia"/>
        <xdr:cNvSpPr>
          <a:spLocks/>
        </xdr:cNvSpPr>
      </xdr:nvSpPr>
      <xdr:spPr bwMode="auto">
        <a:xfrm>
          <a:off x="4826538" y="4055808"/>
          <a:ext cx="74511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3" name="Comunidad Valenciana"/>
        <xdr:cNvSpPr>
          <a:spLocks/>
        </xdr:cNvSpPr>
      </xdr:nvSpPr>
      <xdr:spPr bwMode="auto">
        <a:xfrm>
          <a:off x="5176864" y="2900800"/>
          <a:ext cx="90444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4" name="Ceuta"/>
        <xdr:cNvSpPr>
          <a:spLocks noChangeArrowheads="1"/>
        </xdr:cNvSpPr>
      </xdr:nvSpPr>
      <xdr:spPr bwMode="auto">
        <a:xfrm>
          <a:off x="3076360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5" name="Melilla"/>
        <xdr:cNvSpPr>
          <a:spLocks noChangeArrowheads="1"/>
        </xdr:cNvSpPr>
      </xdr:nvSpPr>
      <xdr:spPr bwMode="auto">
        <a:xfrm>
          <a:off x="4230960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6" name="Castilla León"/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7" name="País Vasco"/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8" name="Castilla La-Mancha"/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9" name="La Rioja"/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10" name="Navarra"/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11" name="Galicia"/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12" name="Asturias"/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3" name="Cantabria"/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4" name="Andalucía"/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5" name="Extremadura"/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6" name="Madrid"/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7" name="Cataluña"/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8" name="Islas Canarias"/>
        <xdr:cNvGrpSpPr/>
      </xdr:nvGrpSpPr>
      <xdr:grpSpPr>
        <a:xfrm>
          <a:off x="532128" y="5483689"/>
          <a:ext cx="1819467" cy="637146"/>
          <a:chOff x="981075" y="5364163"/>
          <a:chExt cx="1685925" cy="704850"/>
        </a:xfrm>
        <a:solidFill>
          <a:srgbClr val="92CDDC"/>
        </a:solidFill>
      </xdr:grpSpPr>
      <xdr:sp macro="" textlink="">
        <xdr:nvSpPr>
          <xdr:cNvPr id="19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8" name="123 Grupo"/>
        <xdr:cNvGrpSpPr/>
      </xdr:nvGrpSpPr>
      <xdr:grpSpPr>
        <a:xfrm>
          <a:off x="3002904" y="5733555"/>
          <a:ext cx="2060121" cy="551045"/>
          <a:chOff x="3028950" y="5690666"/>
          <a:chExt cx="2219325" cy="609600"/>
        </a:xfrm>
      </xdr:grpSpPr>
      <xdr:sp macro="" textlink="">
        <xdr:nvSpPr>
          <xdr:cNvPr id="29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0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1" name="Islas Baleares"/>
        <xdr:cNvGrpSpPr/>
      </xdr:nvGrpSpPr>
      <xdr:grpSpPr>
        <a:xfrm>
          <a:off x="6578801" y="3233303"/>
          <a:ext cx="1343873" cy="888424"/>
          <a:chOff x="6715125" y="2963863"/>
          <a:chExt cx="1447800" cy="981075"/>
        </a:xfrm>
        <a:solidFill>
          <a:srgbClr val="92CDDC"/>
        </a:solidFill>
      </xdr:grpSpPr>
      <xdr:sp macro="" textlink="">
        <xdr:nvSpPr>
          <xdr:cNvPr id="32" name="Freeform 18"/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3" name="Freeform 19"/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20"/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1"/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2"/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3"/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8" name="Aragón"/>
        <xdr:cNvGrpSpPr/>
      </xdr:nvGrpSpPr>
      <xdr:grpSpPr>
        <a:xfrm>
          <a:off x="4875459" y="1774104"/>
          <a:ext cx="1221712" cy="1664916"/>
          <a:chOff x="5591175" y="952500"/>
          <a:chExt cx="1314450" cy="1838325"/>
        </a:xfrm>
        <a:solidFill>
          <a:srgbClr val="31869B"/>
        </a:solidFill>
      </xdr:grpSpPr>
      <xdr:sp macro="" textlink="">
        <xdr:nvSpPr>
          <xdr:cNvPr id="39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0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119">
      <xdr:nvSpPr>
        <xdr:cNvPr id="41" name="CuadroTexto 40"/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5C345A6-0279-497C-8001-C58C38C27C1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Galicia 10.988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466654</xdr:colOff>
      <xdr:row>3</xdr:row>
      <xdr:rowOff>192406</xdr:rowOff>
    </xdr:from>
    <xdr:to>
      <xdr:col>5</xdr:col>
      <xdr:colOff>83331</xdr:colOff>
      <xdr:row>4</xdr:row>
      <xdr:rowOff>434503</xdr:rowOff>
    </xdr:to>
    <xdr:sp macro="" textlink="'Data 1'!F109">
      <xdr:nvSpPr>
        <xdr:cNvPr id="42" name="CuadroTexto 41"/>
        <xdr:cNvSpPr txBox="1"/>
      </xdr:nvSpPr>
      <xdr:spPr>
        <a:xfrm>
          <a:off x="2809804" y="906781"/>
          <a:ext cx="797777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12320A8-B647-4AE1-B911-80AE8FB7A55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4.512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72925</xdr:rowOff>
    </xdr:from>
    <xdr:to>
      <xdr:col>6</xdr:col>
      <xdr:colOff>436466</xdr:colOff>
      <xdr:row>4</xdr:row>
      <xdr:rowOff>596333</xdr:rowOff>
    </xdr:to>
    <xdr:sp macro="" textlink="'Data 1'!F113">
      <xdr:nvSpPr>
        <xdr:cNvPr id="43" name="CuadroTexto 42"/>
        <xdr:cNvSpPr txBox="1"/>
      </xdr:nvSpPr>
      <xdr:spPr>
        <a:xfrm>
          <a:off x="3787210" y="1073050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65775F5-F9A5-4FD3-AC9D-C12E0F6BEA5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815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444102</xdr:colOff>
      <xdr:row>4</xdr:row>
      <xdr:rowOff>91961</xdr:rowOff>
    </xdr:from>
    <xdr:to>
      <xdr:col>8</xdr:col>
      <xdr:colOff>114300</xdr:colOff>
      <xdr:row>5</xdr:row>
      <xdr:rowOff>5776</xdr:rowOff>
    </xdr:to>
    <xdr:sp macro="" textlink="'Data 1'!F125">
      <xdr:nvSpPr>
        <xdr:cNvPr id="44" name="CuadroTexto 43"/>
        <xdr:cNvSpPr txBox="1"/>
      </xdr:nvSpPr>
      <xdr:spPr>
        <a:xfrm>
          <a:off x="4530327" y="1092086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6D30CE-4DDD-4E31-B4FA-EE12C0F173D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2.905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24">
      <xdr:nvSpPr>
        <xdr:cNvPr id="45" name="CuadroTexto 44"/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8327C35-3FB6-4B22-8058-E6B37223E02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2.832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120">
      <xdr:nvSpPr>
        <xdr:cNvPr id="46" name="CuadroTexto 45"/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4CD955D-091A-4548-8417-14DA4CBB469C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1.398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108">
      <xdr:nvSpPr>
        <xdr:cNvPr id="47" name="CuadroTexto 46"/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C3552A1-391D-4C46-80DD-1641CD00F0CA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7.183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116">
      <xdr:nvSpPr>
        <xdr:cNvPr id="48" name="CuadroTexto 47"/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4AE2D8F-B784-40BF-885C-D32C82605A3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Cataluña 11.873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115">
      <xdr:nvSpPr>
        <xdr:cNvPr id="49" name="CuadroTexto 48"/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AEE2CA0-1C65-432F-90C4-9B9172D6D3E1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13.586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329580</xdr:colOff>
      <xdr:row>11</xdr:row>
      <xdr:rowOff>160302</xdr:rowOff>
    </xdr:from>
    <xdr:to>
      <xdr:col>6</xdr:col>
      <xdr:colOff>428625</xdr:colOff>
      <xdr:row>14</xdr:row>
      <xdr:rowOff>45593</xdr:rowOff>
    </xdr:to>
    <xdr:sp macro="" textlink="'Data 1'!F121">
      <xdr:nvSpPr>
        <xdr:cNvPr id="50" name="CuadroTexto 49"/>
        <xdr:cNvSpPr txBox="1"/>
      </xdr:nvSpPr>
      <xdr:spPr>
        <a:xfrm>
          <a:off x="3853830" y="2903502"/>
          <a:ext cx="66102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557B90D-F953-4F58-8D72-F9158AB2F7D3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Madrid 458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383779</xdr:colOff>
      <xdr:row>15</xdr:row>
      <xdr:rowOff>16633</xdr:rowOff>
    </xdr:from>
    <xdr:to>
      <xdr:col>5</xdr:col>
      <xdr:colOff>64506</xdr:colOff>
      <xdr:row>18</xdr:row>
      <xdr:rowOff>84331</xdr:rowOff>
    </xdr:to>
    <xdr:sp macro="" textlink="'Data 1'!F118">
      <xdr:nvSpPr>
        <xdr:cNvPr id="51" name="CuadroTexto 50"/>
        <xdr:cNvSpPr txBox="1"/>
      </xdr:nvSpPr>
      <xdr:spPr>
        <a:xfrm>
          <a:off x="2726929" y="3521833"/>
          <a:ext cx="861827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BFA9D33-D70B-449E-9204-BCC1F6F55A0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5.762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520248</xdr:colOff>
      <xdr:row>15</xdr:row>
      <xdr:rowOff>0</xdr:rowOff>
    </xdr:from>
    <xdr:to>
      <xdr:col>7</xdr:col>
      <xdr:colOff>209551</xdr:colOff>
      <xdr:row>18</xdr:row>
      <xdr:rowOff>17684</xdr:rowOff>
    </xdr:to>
    <xdr:sp macro="" textlink="'Data 1'!F114">
      <xdr:nvSpPr>
        <xdr:cNvPr id="52" name="CuadroTexto 51"/>
        <xdr:cNvSpPr txBox="1"/>
      </xdr:nvSpPr>
      <xdr:spPr>
        <a:xfrm>
          <a:off x="4044498" y="3505200"/>
          <a:ext cx="822778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812424E-6873-49A2-8CEE-1B40E94030A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8.204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219075</xdr:colOff>
      <xdr:row>23</xdr:row>
      <xdr:rowOff>47625</xdr:rowOff>
    </xdr:to>
    <xdr:sp macro="" textlink="'Data 1'!F107">
      <xdr:nvSpPr>
        <xdr:cNvPr id="53" name="CuadroTexto 52"/>
        <xdr:cNvSpPr txBox="1"/>
      </xdr:nvSpPr>
      <xdr:spPr>
        <a:xfrm>
          <a:off x="3454729" y="4465484"/>
          <a:ext cx="850571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6E1E82A-FA08-4BA4-A1B3-E60129C8E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15.485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233729</xdr:colOff>
      <xdr:row>18</xdr:row>
      <xdr:rowOff>179540</xdr:rowOff>
    </xdr:from>
    <xdr:to>
      <xdr:col>8</xdr:col>
      <xdr:colOff>397959</xdr:colOff>
      <xdr:row>22</xdr:row>
      <xdr:rowOff>102726</xdr:rowOff>
    </xdr:to>
    <xdr:sp macro="" textlink="'Data 1'!F123">
      <xdr:nvSpPr>
        <xdr:cNvPr id="54" name="CuadroTexto 53"/>
        <xdr:cNvSpPr txBox="1"/>
      </xdr:nvSpPr>
      <xdr:spPr>
        <a:xfrm>
          <a:off x="4891454" y="4246715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923A1F-D8DB-4224-BA3F-F679C2FCB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4.368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111">
      <xdr:nvSpPr>
        <xdr:cNvPr id="55" name="CuadroTexto 54"/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BCB1A8-6A4D-4B3E-8BD6-5AB7402E878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8.224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110">
      <xdr:nvSpPr>
        <xdr:cNvPr id="56" name="CuadroTexto 55"/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A940440-7168-4B92-AD10-34095BC3A75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Baleares 2.285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112">
      <xdr:nvSpPr>
        <xdr:cNvPr id="57" name="CuadroTexto 56"/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9CD1A35-87F9-455D-AAF0-FB8923F0B6FF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Canarias 3.006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597501</xdr:colOff>
      <xdr:row>25</xdr:row>
      <xdr:rowOff>159357</xdr:rowOff>
    </xdr:from>
    <xdr:to>
      <xdr:col>5</xdr:col>
      <xdr:colOff>523876</xdr:colOff>
      <xdr:row>28</xdr:row>
      <xdr:rowOff>44646</xdr:rowOff>
    </xdr:to>
    <xdr:sp macro="" textlink="'Data 1'!F117">
      <xdr:nvSpPr>
        <xdr:cNvPr id="58" name="CuadroTexto 57"/>
        <xdr:cNvSpPr txBox="1"/>
      </xdr:nvSpPr>
      <xdr:spPr>
        <a:xfrm>
          <a:off x="3483576" y="5560032"/>
          <a:ext cx="564550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D0DCF5E-B9B5-42BE-9EE2-ECDE28D99D61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Ceuta 91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7</xdr:col>
      <xdr:colOff>523875</xdr:colOff>
      <xdr:row>28</xdr:row>
      <xdr:rowOff>161923</xdr:rowOff>
    </xdr:to>
    <xdr:sp macro="" textlink="'Data 1'!F122">
      <xdr:nvSpPr>
        <xdr:cNvPr id="59" name="CuadroTexto 58"/>
        <xdr:cNvSpPr txBox="1"/>
      </xdr:nvSpPr>
      <xdr:spPr>
        <a:xfrm>
          <a:off x="4581525" y="5676900"/>
          <a:ext cx="60007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5BFA042-5722-411D-8D2F-71D1742ADA46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Melilla 78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7412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1" name="Line 2"/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10</xdr:col>
      <xdr:colOff>741570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133350</xdr:rowOff>
    </xdr:from>
    <xdr:to>
      <xdr:col>3</xdr:col>
      <xdr:colOff>123825</xdr:colOff>
      <xdr:row>1</xdr:row>
      <xdr:rowOff>133350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10</xdr:col>
      <xdr:colOff>19410</xdr:colOff>
      <xdr:row>2</xdr:row>
      <xdr:rowOff>28575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 flipH="1">
          <a:off x="190500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9</xdr:col>
      <xdr:colOff>724949</xdr:colOff>
      <xdr:row>2</xdr:row>
      <xdr:rowOff>28575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 flipH="1">
          <a:off x="152399" y="495300"/>
          <a:ext cx="68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2</xdr:row>
      <xdr:rowOff>9525</xdr:rowOff>
    </xdr:from>
    <xdr:to>
      <xdr:col>7</xdr:col>
      <xdr:colOff>756000</xdr:colOff>
      <xdr:row>2</xdr:row>
      <xdr:rowOff>9525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 flipH="1">
          <a:off x="171450" y="476250"/>
          <a:ext cx="53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8</xdr:col>
      <xdr:colOff>742874</xdr:colOff>
      <xdr:row>2</xdr:row>
      <xdr:rowOff>28575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 flipH="1">
          <a:off x="152399" y="495300"/>
          <a:ext cx="66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28575</xdr:rowOff>
    </xdr:from>
    <xdr:to>
      <xdr:col>15</xdr:col>
      <xdr:colOff>4197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2" y="495300"/>
          <a:ext cx="77004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1428750</xdr:colOff>
      <xdr:row>6</xdr:row>
      <xdr:rowOff>20955</xdr:rowOff>
    </xdr:from>
    <xdr:to>
      <xdr:col>5</xdr:col>
      <xdr:colOff>13335</xdr:colOff>
      <xdr:row>24</xdr:row>
      <xdr:rowOff>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160019</xdr:colOff>
      <xdr:row>6</xdr:row>
      <xdr:rowOff>11430</xdr:rowOff>
    </xdr:from>
    <xdr:to>
      <xdr:col>5</xdr:col>
      <xdr:colOff>409574</xdr:colOff>
      <xdr:row>23</xdr:row>
      <xdr:rowOff>153330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0.14774</cdr:x>
      <cdr:y>0.2014</cdr:y>
    </cdr:from>
    <cdr:to>
      <cdr:x>0.24849</cdr:x>
      <cdr:y>0.30269</cdr:y>
    </cdr:to>
    <cdr:sp macro="" textlink="'Data 3'!$F$2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78179" y="588734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8EB7EB61-1134-4940-A571-6C42DF95E0E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42.713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0.3119</cdr:x>
      <cdr:y>0.18253</cdr:y>
    </cdr:from>
    <cdr:to>
      <cdr:x>0.41265</cdr:x>
      <cdr:y>0.29317</cdr:y>
    </cdr:to>
    <cdr:sp macro="" textlink="'Data 3'!$G$2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76228" y="533578"/>
          <a:ext cx="735279" cy="32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B74A0C4-4D2B-41E9-A21E-F84C658B0387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43.130</a:t>
          </a:fld>
          <a:endParaRPr lang="en-U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0.47589</cdr:x>
      <cdr:y>0.17747</cdr:y>
    </cdr:from>
    <cdr:to>
      <cdr:x>0.57664</cdr:x>
      <cdr:y>0.28813</cdr:y>
    </cdr:to>
    <cdr:sp macro="" textlink="'Data 3'!$H$2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73107" y="518786"/>
          <a:ext cx="735279" cy="32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7DB445E9-BCA0-44EC-8F17-FDDB9DE6487F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43.786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0.64424</cdr:x>
      <cdr:y>0.17434</cdr:y>
    </cdr:from>
    <cdr:to>
      <cdr:x>0.74499</cdr:x>
      <cdr:y>0.28501</cdr:y>
    </cdr:to>
    <cdr:sp macro="" textlink="'Data 3'!$I$2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701664" y="509641"/>
          <a:ext cx="735279" cy="323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639524FC-6D5B-4961-AF5E-ED5B066E876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43.930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0.80469</cdr:x>
      <cdr:y>0.16994</cdr:y>
    </cdr:from>
    <cdr:to>
      <cdr:x>0.90544</cdr:x>
      <cdr:y>0.28061</cdr:y>
    </cdr:to>
    <cdr:sp macro="" textlink="'Data 3'!$J$23">
      <cdr:nvSpPr>
        <cdr:cNvPr id="7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72636" y="496775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6D29283B-F81B-4938-8743-E8039B045C44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44.207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4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5" customWidth="1"/>
    <col min="2" max="2" width="2.7109375" style="105" customWidth="1"/>
    <col min="3" max="3" width="16.42578125" style="105" customWidth="1"/>
    <col min="4" max="4" width="4.7109375" style="105" customWidth="1"/>
    <col min="5" max="5" width="95.7109375" style="105" customWidth="1"/>
    <col min="6" max="16384" width="11.42578125" style="105"/>
  </cols>
  <sheetData>
    <row r="1" spans="1:15" ht="0.75" customHeight="1">
      <c r="A1" s="168" t="s">
        <v>318</v>
      </c>
    </row>
    <row r="2" spans="1:15" ht="21" customHeight="1">
      <c r="B2" s="105" t="s">
        <v>35</v>
      </c>
      <c r="C2" s="106"/>
      <c r="D2" s="106"/>
      <c r="E2" s="7" t="s">
        <v>87</v>
      </c>
    </row>
    <row r="3" spans="1:15" ht="15" customHeight="1">
      <c r="C3" s="106"/>
      <c r="D3" s="106"/>
      <c r="E3" s="437" t="s">
        <v>119</v>
      </c>
    </row>
    <row r="4" spans="1:15" s="109" customFormat="1" ht="20.25" customHeight="1">
      <c r="B4" s="107"/>
      <c r="C4" s="108"/>
      <c r="E4" s="466" t="s">
        <v>380</v>
      </c>
    </row>
    <row r="5" spans="1:15" s="109" customFormat="1" ht="8.25" customHeight="1">
      <c r="B5" s="107"/>
      <c r="C5" s="110"/>
    </row>
    <row r="6" spans="1:15" s="109" customFormat="1" ht="3" customHeight="1">
      <c r="B6" s="107"/>
      <c r="C6" s="110"/>
    </row>
    <row r="7" spans="1:15" s="109" customFormat="1" ht="7.5" customHeight="1">
      <c r="B7" s="107"/>
      <c r="C7" s="111"/>
      <c r="D7" s="112"/>
      <c r="E7" s="112"/>
    </row>
    <row r="8" spans="1:15" s="109" customFormat="1" ht="12.6" customHeight="1">
      <c r="B8" s="107"/>
      <c r="C8" s="113"/>
      <c r="D8" s="114" t="s">
        <v>132</v>
      </c>
      <c r="E8" s="115" t="str">
        <f>'C1'!B5</f>
        <v>Demanda eléctrica por CC.AA. y variación respecto al año anterior</v>
      </c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12.6" customHeight="1">
      <c r="D9" s="114" t="s">
        <v>132</v>
      </c>
      <c r="E9" s="115" t="str">
        <f>'C2'!B5</f>
        <v>Potencia instalada por CC.AA. a 31.12.2018</v>
      </c>
    </row>
    <row r="10" spans="1:15" ht="12.6" customHeight="1">
      <c r="D10" s="114" t="s">
        <v>132</v>
      </c>
      <c r="E10" s="115" t="str">
        <f>'C3'!C7</f>
        <v>Evolución de la red de transporte de energía eléctrica en España</v>
      </c>
    </row>
    <row r="11" spans="1:15" ht="12.6" customHeight="1">
      <c r="D11" s="114" t="s">
        <v>132</v>
      </c>
      <c r="E11" s="115" t="str">
        <f>'C4'!C7</f>
        <v>Instalaciones de la red de transporte de energía eléctrica en España</v>
      </c>
    </row>
    <row r="12" spans="1:15" ht="12.6" customHeight="1">
      <c r="D12" s="114" t="s">
        <v>132</v>
      </c>
      <c r="E12" s="115" t="str">
        <f>'C5'!C7</f>
        <v>Evolución de la demanda eléctrica peninsular</v>
      </c>
    </row>
    <row r="13" spans="1:15" ht="12.6" customHeight="1">
      <c r="D13" s="114" t="s">
        <v>132</v>
      </c>
      <c r="E13" s="115" t="str">
        <f>MID('C6'!C7,1,52)</f>
        <v>Variación mensual de la demanda eléctrica peninsular</v>
      </c>
    </row>
    <row r="14" spans="1:15" ht="12.6" customHeight="1">
      <c r="D14" s="114" t="s">
        <v>132</v>
      </c>
      <c r="E14" s="115" t="str">
        <f>MID('C7'!C7,1,50)</f>
        <v>Variación anual de la demanda eléctrica peninsular</v>
      </c>
    </row>
    <row r="15" spans="1:15" ht="12.6" customHeight="1">
      <c r="D15" s="114" t="s">
        <v>132</v>
      </c>
      <c r="E15" s="115" t="str">
        <f>MID('C8'!C7,1,70)</f>
        <v>Componentes de la variación de la demanda eléctrica mensual peninsular</v>
      </c>
    </row>
    <row r="16" spans="1:15" ht="12.6" customHeight="1">
      <c r="D16" s="114" t="s">
        <v>132</v>
      </c>
      <c r="E16" s="465" t="str">
        <f>MID('C9'!C7,1,32)</f>
        <v>IRE: Componentes de la variación</v>
      </c>
    </row>
    <row r="17" spans="4:5" ht="12.6" customHeight="1">
      <c r="D17" s="114" t="s">
        <v>132</v>
      </c>
      <c r="E17" s="117" t="str">
        <f>MID('C10'!C7,1,35)</f>
        <v>Variación mensual del IRE corregido</v>
      </c>
    </row>
    <row r="18" spans="4:5" ht="12.6" customHeight="1">
      <c r="D18" s="114" t="s">
        <v>132</v>
      </c>
      <c r="E18" s="115" t="str">
        <f>'C11'!C7</f>
        <v>Máximos anuales de demanda peninsular</v>
      </c>
    </row>
    <row r="19" spans="4:5" ht="12.6" customHeight="1">
      <c r="D19" s="114" t="s">
        <v>132</v>
      </c>
      <c r="E19" s="115" t="str">
        <f>'C12'!C7</f>
        <v xml:space="preserve">Potencia eléctrica instalada peninsular
a 31 de diciembre de 2018
</v>
      </c>
    </row>
    <row r="20" spans="4:5" ht="12.6" customHeight="1">
      <c r="D20" s="114" t="s">
        <v>132</v>
      </c>
      <c r="E20" s="115" t="str">
        <f>MID('C13'!C7,1,45)</f>
        <v xml:space="preserve">Cobertura de la demanda eléctrica peninsular </v>
      </c>
    </row>
    <row r="21" spans="4:5" ht="12.6" customHeight="1">
      <c r="D21" s="114" t="s">
        <v>132</v>
      </c>
      <c r="E21" s="115" t="str">
        <f>'C14'!C7</f>
        <v>Cobertura de la demanda  eléctrica. 
Máxima horaria peninsular 2018</v>
      </c>
    </row>
    <row r="22" spans="4:5" ht="12.6" customHeight="1">
      <c r="D22" s="114" t="s">
        <v>132</v>
      </c>
      <c r="E22" s="117" t="str">
        <f>'C15'!C7</f>
        <v xml:space="preserve">Evolución de la generación eléctrica peninsular renovable y no renovable </v>
      </c>
    </row>
    <row r="23" spans="4:5" ht="12.6" customHeight="1">
      <c r="D23" s="114" t="s">
        <v>132</v>
      </c>
      <c r="E23" s="115" t="str">
        <f>'C16'!$C$7</f>
        <v xml:space="preserve">Evolución de las emisiones de CO2 asociadas a la generación eléctrica peninsular </v>
      </c>
    </row>
    <row r="24" spans="4:5" ht="12.6" customHeight="1">
      <c r="D24" s="114" t="s">
        <v>132</v>
      </c>
      <c r="E24" s="115" t="str">
        <f>'C17'!C7</f>
        <v>Evolución de la generación eléctrica peninsular renovable</v>
      </c>
    </row>
    <row r="25" spans="4:5" ht="12.6" customHeight="1">
      <c r="D25" s="114" t="s">
        <v>132</v>
      </c>
      <c r="E25" s="115" t="str">
        <f>'C18'!C7</f>
        <v>Evolución de la generación eléctrica peninsular no renovable</v>
      </c>
    </row>
    <row r="26" spans="4:5" ht="12.6" customHeight="1">
      <c r="D26" s="114" t="s">
        <v>132</v>
      </c>
      <c r="E26" s="117" t="str">
        <f>'C19'!C7</f>
        <v>Energía producible hidráulica peninsular</v>
      </c>
    </row>
    <row r="27" spans="4:5" ht="12.6" customHeight="1">
      <c r="D27" s="114" t="s">
        <v>132</v>
      </c>
      <c r="E27" s="465" t="str">
        <f>'C20'!C7</f>
        <v>Energía producible hidráulica diaria peninsular 2018 comparada con el producible medio histórico año 2018</v>
      </c>
    </row>
    <row r="28" spans="4:5" ht="12.6" customHeight="1">
      <c r="D28" s="114" t="s">
        <v>132</v>
      </c>
      <c r="E28" s="115" t="str">
        <f>'C21'!C7</f>
        <v>Reservas hidroeléctricas peninsulares 
a 31 de diciembre de 2018</v>
      </c>
    </row>
    <row r="29" spans="4:5" ht="12.6" customHeight="1">
      <c r="D29" s="114" t="s">
        <v>132</v>
      </c>
      <c r="E29" s="115" t="str">
        <f>'C22'!C7</f>
        <v xml:space="preserve">Evolución de las reservas hidroeléctricas peninsulares
</v>
      </c>
    </row>
    <row r="30" spans="4:5" ht="12.6" customHeight="1">
      <c r="D30" s="114" t="s">
        <v>132</v>
      </c>
      <c r="E30" s="115" t="str">
        <f>'C23'!C7</f>
        <v>Evolución de la red de transporte peninsular</v>
      </c>
    </row>
    <row r="31" spans="4:5" ht="12.6" customHeight="1">
      <c r="D31" s="114" t="s">
        <v>132</v>
      </c>
      <c r="E31" s="115" t="str">
        <f>'C24'!C7</f>
        <v>Evolución de la red de transporte de energía eléctrica peninsular</v>
      </c>
    </row>
    <row r="32" spans="4:5" ht="12.6" customHeight="1">
      <c r="D32" s="114" t="s">
        <v>132</v>
      </c>
      <c r="E32" s="115" t="str">
        <f>'C25'!C7</f>
        <v>Saldos de los intercambios internacionales físicos de energía eléctrica</v>
      </c>
    </row>
    <row r="33" spans="3:5" ht="12.6" customHeight="1">
      <c r="D33" s="114" t="s">
        <v>132</v>
      </c>
      <c r="E33" s="115" t="str">
        <f>MID('C26'!C7,1,58)</f>
        <v xml:space="preserve">Intercambios internacionales físicos de energía eléctrica
</v>
      </c>
    </row>
    <row r="34" spans="3:5" ht="12.6" customHeight="1">
      <c r="D34" s="114" t="s">
        <v>132</v>
      </c>
      <c r="E34" s="115" t="str">
        <f>'C27'!C7</f>
        <v>Evolución de la demanda eléctrica no peninsular</v>
      </c>
    </row>
    <row r="35" spans="3:5" ht="12.6" customHeight="1">
      <c r="D35" s="114" t="s">
        <v>132</v>
      </c>
      <c r="E35" s="115" t="str">
        <f>'C28'!C7</f>
        <v>Variación anual de la demanda eléctrica 
Islas Baleares (Año móvil)</v>
      </c>
    </row>
    <row r="36" spans="3:5" ht="12.6" customHeight="1">
      <c r="D36" s="114" t="s">
        <v>132</v>
      </c>
      <c r="E36" s="115" t="str">
        <f>'C29'!C7</f>
        <v>Variación anual de la demanda eléctrica 
Islas Canarias (Año móvil)</v>
      </c>
    </row>
    <row r="37" spans="3:5" ht="12.6" customHeight="1">
      <c r="D37" s="114" t="s">
        <v>132</v>
      </c>
      <c r="E37" s="115" t="str">
        <f>MID('C30'!C7,1,75)</f>
        <v>Componentes de la variación de la demanda eléctrica mensual 
Islas Baleares</v>
      </c>
    </row>
    <row r="38" spans="3:5" ht="12.6" customHeight="1">
      <c r="D38" s="114" t="s">
        <v>132</v>
      </c>
      <c r="E38" s="115" t="str">
        <f>MID('C31'!C7,1,75)</f>
        <v>Componentes de la variación de la demanda eléctrica mensual 
Islas Canarias</v>
      </c>
    </row>
    <row r="39" spans="3:5" ht="12.6" customHeight="1">
      <c r="D39" s="114" t="s">
        <v>132</v>
      </c>
      <c r="E39" s="115" t="str">
        <f>MID('C32'!C7,1,55)</f>
        <v>Variación mensual de la demanda eléctrica no peninsular</v>
      </c>
    </row>
    <row r="40" spans="3:5" ht="12.6" customHeight="1">
      <c r="D40" s="114" t="s">
        <v>132</v>
      </c>
      <c r="E40" s="115" t="str">
        <f>MID('C33'!C7,1,40)</f>
        <v>Máximos anuales de demanda no peninsular</v>
      </c>
    </row>
    <row r="41" spans="3:5" ht="12.6" customHeight="1">
      <c r="D41" s="114" t="s">
        <v>132</v>
      </c>
      <c r="E41" s="115" t="str">
        <f>'C34'!C7</f>
        <v>Potencia eléctrica instalada
a 31 de diciembre de 2018 
Islas Baleares</v>
      </c>
    </row>
    <row r="42" spans="3:5" ht="12.6" customHeight="1">
      <c r="D42" s="114" t="s">
        <v>132</v>
      </c>
      <c r="E42" s="115" t="str">
        <f>MID('C35'!C7,1,50)</f>
        <v>Cobertura de la demanda  eléctrica 
Islas Baleares</v>
      </c>
    </row>
    <row r="43" spans="3:5" ht="12.6" customHeight="1">
      <c r="D43" s="114" t="s">
        <v>132</v>
      </c>
      <c r="E43" s="115" t="str">
        <f>'C36'!C7</f>
        <v xml:space="preserve">Potencia eléctrica instalada
a 31 de diciembre de 2018 
Islas Canarias
</v>
      </c>
    </row>
    <row r="44" spans="3:5" ht="12.6" customHeight="1">
      <c r="D44" s="114" t="s">
        <v>132</v>
      </c>
      <c r="E44" s="115" t="str">
        <f>MID('C37'!C7,1,50)</f>
        <v>Cobertura de la demanda  eléctrica 
Islas Canarias</v>
      </c>
    </row>
    <row r="45" spans="3:5" ht="12.6" customHeight="1">
      <c r="D45" s="114" t="s">
        <v>132</v>
      </c>
      <c r="E45" s="115" t="str">
        <f>'C38'!C7</f>
        <v>Evolución de la red de transporte de energía eléctrica no peninsular</v>
      </c>
    </row>
    <row r="46" spans="3:5" ht="10.15" customHeight="1">
      <c r="D46" s="112"/>
      <c r="E46" s="112"/>
    </row>
    <row r="48" spans="3:5">
      <c r="C48" s="118"/>
    </row>
  </sheetData>
  <hyperlinks>
    <hyperlink ref="E8" location="'C1'!A1" display="'C1'!A1"/>
    <hyperlink ref="E9" location="'C2'!A1" display="Balance de energía eléctrica nacional"/>
    <hyperlink ref="E10" location="'C3'!A1" display="Balance de potencia eléctrica nacional a 31.12.2015"/>
    <hyperlink ref="E11" location="'C4'!A1" display="Evolución de la potencia instalada peninsular"/>
    <hyperlink ref="E12" location="'C5'!A1" display="Evolución del índice de cobertura mínimo peninsular"/>
    <hyperlink ref="E13" location="'C6'!A1" display="Evolución de la producción de energía renovable y no renovable peninsular "/>
    <hyperlink ref="E14" location="'C7'!A1" display="Estructura de la generación anual de energía renovable peninsular 2015"/>
    <hyperlink ref="E15" location="'C8'!A1" display="Cobertura máxima, media y mínima con hidráulica, eólica y solar peninsular en 2015"/>
    <hyperlink ref="E16" location="'C9'!A1" display="Generación hidráulica mensual comparada con la generación media histórica"/>
    <hyperlink ref="E17" location="'C10'!A1" display="Energía producible hidráulica diaria durante 2015 comparada con el "/>
    <hyperlink ref="E18" location="'C11'!A1" display="Estructura de generación anual de energía eléctrica peninsular"/>
    <hyperlink ref="E19" location="'C12'!A1" display="Coeficiente de utilización de las centrales térmicas"/>
    <hyperlink ref="E20" location="'C13'!A1" display="Evolución de la cobertura de la demanda de las Islas Baleares"/>
    <hyperlink ref="E21" location="'C14'!A1" display="Evolución de la estructura de generación de las Islas Canarias"/>
    <hyperlink ref="E22" location="'C15'!A1" display="Emisiones y factor de emisión de CO2 asociado a la generación "/>
    <hyperlink ref="E23" location="'C16'!A1" display="Ratio generación/demanda (%) y generación neta (GWh) en 2015 por CC.AA."/>
    <hyperlink ref="E24" location="'C17'!A1" display="'C17'!A1"/>
    <hyperlink ref="E25" location="'C18'!A1" display="'C18'!A1"/>
    <hyperlink ref="E26" location="'C19'!A1" display="'C19'!A1"/>
    <hyperlink ref="E27" location="'C20'!A1" display="'C20'!A1"/>
    <hyperlink ref="E28" location="'C21'!A1" display="'C21'!A1"/>
    <hyperlink ref="E29" location="'C22'!A1" display="'C22'!A1"/>
    <hyperlink ref="E30" location="'C23'!A1" display="'C23'!A1"/>
    <hyperlink ref="E31" location="'C24'!A1" display="'C24'!A1"/>
    <hyperlink ref="E32" location="'C25'!A1" display="'C25'!A1"/>
    <hyperlink ref="E33" location="'C26'!A1" display="'C26'!A1"/>
    <hyperlink ref="E34" location="'C27'!A1" display="'C27'!A1"/>
    <hyperlink ref="E35" location="'C28'!A1" display="'C28'!A1"/>
    <hyperlink ref="E36" location="'C29'!A1" display="'C29'!A1"/>
    <hyperlink ref="E37" location="'C30'!A1" display="'C30'!A1"/>
    <hyperlink ref="E38" location="'C31'!A1" display="'C31'!A1"/>
    <hyperlink ref="E39" location="'C32'!A1" display="'C32'!A1"/>
    <hyperlink ref="E40" location="'C33'!A1" display="'C33'!A1"/>
    <hyperlink ref="E41" location="'C34'!A1" display="'C34'!A1"/>
    <hyperlink ref="E42" location="'C35'!A1" display="'C35'!A1"/>
    <hyperlink ref="E43" location="'C36'!A1" display="'C36'!A1"/>
    <hyperlink ref="E44" location="'C37'!A1" display="'C37'!A1"/>
    <hyperlink ref="E45" location="'C38'!A1" display="'C38'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K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11.42578125" style="167" customWidth="1"/>
    <col min="6" max="16384" width="11.42578125" style="167"/>
  </cols>
  <sheetData>
    <row r="1" spans="3:11" ht="0.6" customHeight="1"/>
    <row r="2" spans="3:11" ht="21" customHeight="1">
      <c r="J2" s="7" t="s">
        <v>87</v>
      </c>
    </row>
    <row r="3" spans="3:11" ht="15" customHeight="1">
      <c r="J3" s="7" t="s">
        <v>119</v>
      </c>
    </row>
    <row r="4" spans="3:11" ht="19.899999999999999" customHeight="1">
      <c r="C4" s="9" t="s">
        <v>47</v>
      </c>
    </row>
    <row r="5" spans="3:11" ht="12.6" customHeight="1"/>
    <row r="7" spans="3:11" ht="12.75" customHeight="1">
      <c r="C7" s="624" t="s">
        <v>85</v>
      </c>
      <c r="E7" s="169"/>
      <c r="F7" s="625" t="s">
        <v>137</v>
      </c>
      <c r="G7" s="625"/>
      <c r="H7" s="625" t="s">
        <v>139</v>
      </c>
      <c r="I7" s="625"/>
      <c r="J7" s="625"/>
    </row>
    <row r="8" spans="3:11">
      <c r="C8" s="624"/>
      <c r="E8" s="170"/>
      <c r="F8" s="171" t="s">
        <v>1</v>
      </c>
      <c r="G8" s="171" t="s">
        <v>138</v>
      </c>
      <c r="H8" s="171" t="s">
        <v>15</v>
      </c>
      <c r="I8" s="171" t="s">
        <v>16</v>
      </c>
      <c r="J8" s="172" t="s">
        <v>78</v>
      </c>
    </row>
    <row r="9" spans="3:11">
      <c r="E9" s="28">
        <v>2014</v>
      </c>
      <c r="F9" s="386">
        <v>243174.452093442</v>
      </c>
      <c r="G9" s="173">
        <v>-1.1165703303855801</v>
      </c>
      <c r="H9" s="173">
        <v>-3.0730600920070295E-3</v>
      </c>
      <c r="I9" s="173">
        <v>-0.98836652267776381</v>
      </c>
      <c r="J9" s="173">
        <v>-0.1257412732204144</v>
      </c>
      <c r="K9" s="434"/>
    </row>
    <row r="10" spans="3:11">
      <c r="E10" s="28">
        <v>2015</v>
      </c>
      <c r="F10" s="386">
        <v>247970.02741339401</v>
      </c>
      <c r="G10" s="173">
        <v>1.9720720160641081</v>
      </c>
      <c r="H10" s="173">
        <v>-6.0843878812311125E-2</v>
      </c>
      <c r="I10" s="173">
        <v>0.35936597688595029</v>
      </c>
      <c r="J10" s="173">
        <v>1.6870463613417597</v>
      </c>
      <c r="K10" s="434"/>
    </row>
    <row r="11" spans="3:11">
      <c r="E11" s="28">
        <v>2016</v>
      </c>
      <c r="F11" s="386">
        <v>249679.889981332</v>
      </c>
      <c r="G11" s="173">
        <v>0.68954404924408408</v>
      </c>
      <c r="H11" s="173">
        <v>0.58438696235036947</v>
      </c>
      <c r="I11" s="173">
        <v>9.2093590159092464E-2</v>
      </c>
      <c r="J11" s="173">
        <v>1.3063496734622149E-2</v>
      </c>
      <c r="K11" s="434"/>
    </row>
    <row r="12" spans="3:11">
      <c r="E12" s="28">
        <v>2017</v>
      </c>
      <c r="F12" s="386">
        <v>252506.40568934201</v>
      </c>
      <c r="G12" s="173">
        <v>1.1320558128334435</v>
      </c>
      <c r="H12" s="173">
        <v>-0.34214636765030892</v>
      </c>
      <c r="I12" s="173">
        <v>-0.16648553520739462</v>
      </c>
      <c r="J12" s="173">
        <v>1.640687715691147</v>
      </c>
      <c r="K12" s="434"/>
    </row>
    <row r="13" spans="3:11">
      <c r="E13" s="345">
        <v>2018</v>
      </c>
      <c r="F13" s="603">
        <v>253495.237192081</v>
      </c>
      <c r="G13" s="347">
        <v>0.39160650203691194</v>
      </c>
      <c r="H13" s="347">
        <v>-0.108364597758559</v>
      </c>
      <c r="I13" s="347">
        <v>0.18781387262134519</v>
      </c>
      <c r="J13" s="347">
        <v>0.31215722717412575</v>
      </c>
      <c r="K13" s="434"/>
    </row>
    <row r="14" spans="3:11">
      <c r="E14" s="176"/>
      <c r="F14" s="177"/>
      <c r="G14" s="177"/>
      <c r="H14" s="177"/>
      <c r="I14" s="177"/>
      <c r="J14" s="177"/>
    </row>
  </sheetData>
  <mergeCells count="3">
    <mergeCell ref="C7:C8"/>
    <mergeCell ref="F7:G7"/>
    <mergeCell ref="H7:J7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C1:I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7" width="11.42578125" style="167" customWidth="1"/>
    <col min="8" max="16384" width="11.42578125" style="167"/>
  </cols>
  <sheetData>
    <row r="1" spans="3:9" ht="0.6" customHeight="1"/>
    <row r="2" spans="3:9" ht="21" customHeight="1">
      <c r="G2" s="8" t="s">
        <v>87</v>
      </c>
    </row>
    <row r="3" spans="3:9" ht="15" customHeight="1">
      <c r="G3" s="8" t="s">
        <v>119</v>
      </c>
    </row>
    <row r="4" spans="3:9" ht="19.899999999999999" customHeight="1">
      <c r="C4" s="9" t="s">
        <v>47</v>
      </c>
    </row>
    <row r="5" spans="3:9" ht="12.6" customHeight="1"/>
    <row r="7" spans="3:9" ht="12.75" customHeight="1">
      <c r="C7" s="624" t="s">
        <v>387</v>
      </c>
      <c r="E7" s="169"/>
      <c r="F7" s="438"/>
      <c r="G7" s="438"/>
    </row>
    <row r="8" spans="3:9">
      <c r="C8" s="624"/>
      <c r="E8" s="170"/>
      <c r="F8" s="171" t="s">
        <v>145</v>
      </c>
      <c r="G8" s="171" t="s">
        <v>146</v>
      </c>
    </row>
    <row r="9" spans="3:9">
      <c r="C9" s="624"/>
      <c r="E9" s="28" t="s">
        <v>2</v>
      </c>
      <c r="F9" s="432">
        <f>'Data 1'!G131</f>
        <v>-2.0911449281721395</v>
      </c>
      <c r="G9" s="432">
        <f>'Data 1'!I131</f>
        <v>-2.0911449281721395</v>
      </c>
      <c r="H9" s="434"/>
      <c r="I9" s="474"/>
    </row>
    <row r="10" spans="3:9">
      <c r="C10" s="624"/>
      <c r="E10" s="28" t="s">
        <v>3</v>
      </c>
      <c r="F10" s="432">
        <f>'Data 1'!G132</f>
        <v>6.5906991743856835</v>
      </c>
      <c r="G10" s="432">
        <f>'Data 1'!I132</f>
        <v>1.9351832612328979</v>
      </c>
      <c r="H10" s="434"/>
      <c r="I10" s="474"/>
    </row>
    <row r="11" spans="3:9">
      <c r="C11" s="16" t="s">
        <v>140</v>
      </c>
      <c r="E11" s="28" t="s">
        <v>4</v>
      </c>
      <c r="F11" s="432">
        <f>'Data 1'!G133</f>
        <v>4.5689033634230825</v>
      </c>
      <c r="G11" s="432">
        <f>'Data 1'!I133</f>
        <v>2.801258810069851</v>
      </c>
      <c r="H11" s="434"/>
      <c r="I11" s="474"/>
    </row>
    <row r="12" spans="3:9">
      <c r="C12" s="16"/>
      <c r="E12" s="28" t="s">
        <v>5</v>
      </c>
      <c r="F12" s="432">
        <f>'Data 1'!G134</f>
        <v>5.0542710394891666</v>
      </c>
      <c r="G12" s="432">
        <f>'Data 1'!I134</f>
        <v>3.3154646049802894</v>
      </c>
      <c r="H12" s="434"/>
      <c r="I12" s="474"/>
    </row>
    <row r="13" spans="3:9">
      <c r="C13" s="16"/>
      <c r="E13" s="28" t="s">
        <v>6</v>
      </c>
      <c r="F13" s="432">
        <f>'Data 1'!G135</f>
        <v>-0.6173300029319595</v>
      </c>
      <c r="G13" s="432">
        <f>'Data 1'!I135</f>
        <v>2.546174876868057</v>
      </c>
      <c r="H13" s="434"/>
      <c r="I13" s="474"/>
    </row>
    <row r="14" spans="3:9">
      <c r="C14" s="16"/>
      <c r="E14" s="28" t="s">
        <v>7</v>
      </c>
      <c r="F14" s="432">
        <f>'Data 1'!G136</f>
        <v>-6.2595963851842633</v>
      </c>
      <c r="G14" s="432">
        <f>'Data 1'!I136</f>
        <v>1.0185466963209988</v>
      </c>
      <c r="H14" s="434"/>
      <c r="I14" s="474"/>
    </row>
    <row r="15" spans="3:9">
      <c r="C15" s="16"/>
      <c r="E15" s="28" t="s">
        <v>8</v>
      </c>
      <c r="F15" s="432">
        <f>'Data 1'!G137</f>
        <v>-1.05909782214334</v>
      </c>
      <c r="G15" s="432">
        <f>'Data 1'!I137</f>
        <v>0.70259610939265027</v>
      </c>
      <c r="H15" s="434"/>
      <c r="I15" s="474"/>
    </row>
    <row r="16" spans="3:9">
      <c r="C16" s="16"/>
      <c r="E16" s="28" t="s">
        <v>9</v>
      </c>
      <c r="F16" s="432">
        <f>'Data 1'!G138</f>
        <v>0.96445154051871818</v>
      </c>
      <c r="G16" s="432">
        <f>'Data 1'!I138</f>
        <v>0.73629511107218271</v>
      </c>
      <c r="H16" s="434"/>
      <c r="I16" s="474"/>
    </row>
    <row r="17" spans="3:9">
      <c r="C17" s="16"/>
      <c r="E17" s="28" t="s">
        <v>10</v>
      </c>
      <c r="F17" s="432">
        <f>'Data 1'!G139</f>
        <v>2.9432591646497253</v>
      </c>
      <c r="G17" s="432">
        <f>'Data 1'!I139</f>
        <v>0.97115977459460989</v>
      </c>
      <c r="H17" s="434"/>
      <c r="I17" s="474"/>
    </row>
    <row r="18" spans="3:9">
      <c r="C18" s="16"/>
      <c r="E18" s="28" t="s">
        <v>11</v>
      </c>
      <c r="F18" s="432">
        <f>'Data 1'!G140</f>
        <v>0.61933420014836926</v>
      </c>
      <c r="G18" s="432">
        <f>'Data 1'!I140</f>
        <v>0.93729661730586056</v>
      </c>
      <c r="H18" s="434"/>
      <c r="I18" s="474"/>
    </row>
    <row r="19" spans="3:9">
      <c r="C19" s="16"/>
      <c r="E19" s="28" t="s">
        <v>12</v>
      </c>
      <c r="F19" s="432">
        <f>'Data 1'!G141</f>
        <v>5.0940456681414226E-2</v>
      </c>
      <c r="G19" s="432">
        <f>'Data 1'!I141</f>
        <v>0.85690271742984159</v>
      </c>
      <c r="H19" s="434"/>
      <c r="I19" s="474"/>
    </row>
    <row r="20" spans="3:9">
      <c r="E20" s="174" t="s">
        <v>13</v>
      </c>
      <c r="F20" s="433">
        <f>'Data 1'!G142</f>
        <v>-4.4468982320331367</v>
      </c>
      <c r="G20" s="433">
        <f>'Data 1'!I142</f>
        <v>0.39160650203684533</v>
      </c>
      <c r="H20" s="434"/>
      <c r="I20" s="474"/>
    </row>
    <row r="21" spans="3:9">
      <c r="E21" s="176" t="s">
        <v>334</v>
      </c>
      <c r="F21" s="177"/>
      <c r="G21" s="177"/>
    </row>
  </sheetData>
  <mergeCells count="1">
    <mergeCell ref="C7:C10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8" t="s">
        <v>87</v>
      </c>
    </row>
    <row r="3" spans="3:5" ht="15" customHeight="1">
      <c r="E3" s="8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325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140</v>
      </c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7" t="s">
        <v>87</v>
      </c>
    </row>
    <row r="3" spans="3:5" ht="15" customHeight="1">
      <c r="E3" s="7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176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140</v>
      </c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C1:K1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16384" width="11.42578125" style="167"/>
  </cols>
  <sheetData>
    <row r="1" spans="3:11" ht="0.6" customHeight="1"/>
    <row r="2" spans="3:11" ht="21" customHeight="1">
      <c r="I2" s="225" t="s">
        <v>87</v>
      </c>
    </row>
    <row r="3" spans="3:11" ht="15" customHeight="1">
      <c r="I3" s="225" t="s">
        <v>119</v>
      </c>
    </row>
    <row r="4" spans="3:11" ht="19.899999999999999" customHeight="1">
      <c r="C4" s="9" t="s">
        <v>47</v>
      </c>
    </row>
    <row r="5" spans="3:11" ht="12.6" customHeight="1"/>
    <row r="7" spans="3:11" ht="12.75" customHeight="1">
      <c r="C7" s="624" t="s">
        <v>175</v>
      </c>
      <c r="E7" s="239"/>
      <c r="F7" s="239"/>
      <c r="G7" s="239"/>
      <c r="H7" s="239"/>
      <c r="I7" s="239"/>
    </row>
    <row r="8" spans="3:11">
      <c r="C8" s="624"/>
      <c r="E8" s="171"/>
      <c r="F8" s="450" t="s">
        <v>156</v>
      </c>
      <c r="G8" s="450" t="s">
        <v>15</v>
      </c>
      <c r="H8" s="450" t="s">
        <v>16</v>
      </c>
      <c r="I8" s="450" t="s">
        <v>157</v>
      </c>
    </row>
    <row r="9" spans="3:11">
      <c r="C9" s="624"/>
      <c r="E9" s="242" t="s">
        <v>158</v>
      </c>
      <c r="F9" s="243">
        <f>'Data 2'!E74</f>
        <v>-1.8309536622232891</v>
      </c>
      <c r="G9" s="243">
        <f>ROUND('Data 2'!E74,1)-ROUND('Data 2'!I74,1)</f>
        <v>9.9999999999999867E-2</v>
      </c>
      <c r="H9" s="243">
        <f>ROUND('Data 2'!I74,1)-ROUND('Data 2'!M74,1)</f>
        <v>-0.59999999999999987</v>
      </c>
      <c r="I9" s="243">
        <f>'Data 2'!M74</f>
        <v>-1.3410290310573281</v>
      </c>
      <c r="K9" s="482">
        <f>F9-SUM(G9:I9)</f>
        <v>1.0075368834038922E-2</v>
      </c>
    </row>
    <row r="10" spans="3:11">
      <c r="C10" s="179" t="s">
        <v>140</v>
      </c>
      <c r="E10" s="240"/>
      <c r="F10" s="173"/>
      <c r="G10" s="173"/>
      <c r="H10" s="173"/>
      <c r="I10" s="173"/>
      <c r="K10" s="483"/>
    </row>
    <row r="11" spans="3:11">
      <c r="E11" s="240" t="s">
        <v>159</v>
      </c>
      <c r="F11" s="173">
        <f>'Data 2'!F74</f>
        <v>-2.5847159911657536</v>
      </c>
      <c r="G11" s="173">
        <f>ROUND('Data 2'!F74,1)-ROUND('Data 2'!J74,1)</f>
        <v>0</v>
      </c>
      <c r="H11" s="173">
        <f>ROUND('Data 2'!J74,1)-ROUND('Data 2'!N74,1)</f>
        <v>-0.10000000000000009</v>
      </c>
      <c r="I11" s="173">
        <f>'Data 2'!N74</f>
        <v>-2.521186186165647</v>
      </c>
      <c r="K11" s="482">
        <f t="shared" ref="K11:K12" si="0">F11-SUM(G11:I11)</f>
        <v>3.6470194999893568E-2</v>
      </c>
    </row>
    <row r="12" spans="3:11">
      <c r="E12" s="240" t="s">
        <v>162</v>
      </c>
      <c r="F12" s="173">
        <f>'Data 2'!G74</f>
        <v>-0.8087523433368049</v>
      </c>
      <c r="G12" s="173">
        <f>ROUND('Data 2'!G74,1)-ROUND('Data 2'!K74,1)</f>
        <v>0</v>
      </c>
      <c r="H12" s="173">
        <f>ROUND('Data 2'!K74,1)-ROUND('Data 2'!O74,1)</f>
        <v>-1.4</v>
      </c>
      <c r="I12" s="173">
        <f>'Data 2'!O74</f>
        <v>0.56640060022656868</v>
      </c>
      <c r="K12" s="482">
        <f t="shared" si="0"/>
        <v>2.4847056436626325E-2</v>
      </c>
    </row>
    <row r="13" spans="3:11">
      <c r="E13" s="241" t="s">
        <v>160</v>
      </c>
      <c r="F13" s="175">
        <f>'Data 2'!H74</f>
        <v>0.89413997965859249</v>
      </c>
      <c r="G13" s="175">
        <f>ROUND('Data 2'!H74,1)-ROUND('Data 2'!L74,1)+0.1</f>
        <v>0.1</v>
      </c>
      <c r="H13" s="175">
        <f>ROUND('Data 2'!L74,1)-ROUND('Data 2'!P74,1)-0.1</f>
        <v>-2.3000000000000003</v>
      </c>
      <c r="I13" s="175">
        <f>'Data 2'!P74</f>
        <v>3.0849018521952321</v>
      </c>
      <c r="K13" s="482">
        <f>F13-SUM(G13:I13)</f>
        <v>9.2381274633606125E-3</v>
      </c>
    </row>
    <row r="14" spans="3:11">
      <c r="E14" s="177"/>
      <c r="F14" s="177"/>
      <c r="G14" s="177"/>
      <c r="H14" s="177"/>
      <c r="I14" s="177"/>
    </row>
    <row r="15" spans="3:11">
      <c r="F15" s="440"/>
      <c r="G15" s="440"/>
      <c r="H15" s="440"/>
      <c r="I15" s="440"/>
    </row>
    <row r="16" spans="3:11">
      <c r="F16" s="441"/>
      <c r="G16" s="441"/>
      <c r="H16" s="441"/>
      <c r="I16" s="441"/>
    </row>
    <row r="17" spans="6:9">
      <c r="F17" s="440"/>
      <c r="G17" s="440"/>
      <c r="H17" s="440"/>
      <c r="I17" s="440"/>
    </row>
    <row r="18" spans="6:9">
      <c r="F18" s="440"/>
      <c r="G18" s="440"/>
      <c r="H18" s="440"/>
      <c r="I18" s="440"/>
    </row>
    <row r="19" spans="6:9">
      <c r="F19" s="440"/>
      <c r="G19" s="440"/>
      <c r="H19" s="440"/>
      <c r="I19" s="440"/>
    </row>
  </sheetData>
  <mergeCells count="1">
    <mergeCell ref="C7:C9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174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140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S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92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7" width="11.42578125" style="192"/>
    <col min="8" max="8" width="22.42578125" style="192" bestFit="1" customWidth="1"/>
    <col min="9" max="16384" width="11.42578125" style="192"/>
  </cols>
  <sheetData>
    <row r="1" spans="3:19" s="180" customFormat="1" ht="0.6" customHeight="1"/>
    <row r="2" spans="3:19" s="180" customFormat="1" ht="21" customHeight="1">
      <c r="E2" s="7" t="s">
        <v>87</v>
      </c>
    </row>
    <row r="3" spans="3:19" s="180" customFormat="1" ht="15" customHeight="1">
      <c r="E3" s="7" t="s">
        <v>119</v>
      </c>
    </row>
    <row r="4" spans="3:19" s="181" customFormat="1" ht="20.100000000000001" customHeight="1">
      <c r="C4" s="168" t="s">
        <v>47</v>
      </c>
      <c r="D4" s="168"/>
    </row>
    <row r="5" spans="3:19" s="181" customFormat="1" ht="12.6" customHeight="1">
      <c r="C5" s="182"/>
      <c r="D5" s="183"/>
    </row>
    <row r="6" spans="3:19" s="181" customFormat="1" ht="13.5" customHeight="1">
      <c r="C6" s="182"/>
      <c r="D6" s="184"/>
      <c r="E6" s="185"/>
    </row>
    <row r="7" spans="3:19" s="181" customFormat="1" ht="12.75" customHeight="1">
      <c r="C7" s="624" t="s">
        <v>152</v>
      </c>
      <c r="E7" s="186"/>
      <c r="G7" s="246"/>
      <c r="H7" s="246"/>
      <c r="I7" s="246"/>
      <c r="J7" s="246"/>
      <c r="K7" s="246"/>
    </row>
    <row r="8" spans="3:19" s="181" customFormat="1" ht="12.75" customHeight="1">
      <c r="C8" s="624"/>
      <c r="E8" s="186"/>
      <c r="G8" s="246"/>
      <c r="H8" s="246"/>
      <c r="I8" s="246"/>
      <c r="J8" s="246"/>
      <c r="K8" s="246"/>
    </row>
    <row r="9" spans="3:19" s="181" customFormat="1" ht="12.75" customHeight="1">
      <c r="C9" s="179"/>
      <c r="E9" s="186"/>
      <c r="G9" s="246"/>
      <c r="H9" s="246"/>
      <c r="I9" s="246"/>
      <c r="J9" s="246"/>
      <c r="K9" s="246"/>
    </row>
    <row r="10" spans="3:19" s="181" customFormat="1" ht="12.75" customHeight="1">
      <c r="C10" s="182"/>
      <c r="E10" s="186"/>
      <c r="F10" s="188"/>
      <c r="G10" s="246"/>
      <c r="H10" s="246"/>
      <c r="I10" s="246"/>
      <c r="J10" s="246"/>
      <c r="K10" s="246"/>
      <c r="L10" s="188"/>
      <c r="O10" s="188"/>
      <c r="P10" s="188"/>
      <c r="Q10" s="188"/>
      <c r="R10" s="188"/>
      <c r="S10" s="188"/>
    </row>
    <row r="11" spans="3:19" s="181" customFormat="1" ht="12.75" customHeight="1">
      <c r="C11" s="182"/>
      <c r="D11" s="187"/>
      <c r="E11" s="186"/>
      <c r="F11" s="188"/>
      <c r="G11" s="246"/>
      <c r="H11" s="246"/>
      <c r="I11" s="246"/>
      <c r="J11" s="246"/>
      <c r="K11" s="246"/>
      <c r="L11" s="188"/>
      <c r="O11" s="188"/>
      <c r="P11" s="188"/>
      <c r="Q11" s="188"/>
      <c r="R11" s="188"/>
      <c r="S11" s="188"/>
    </row>
    <row r="12" spans="3:19" s="181" customFormat="1" ht="12.75" customHeight="1">
      <c r="C12" s="182"/>
      <c r="D12" s="189"/>
      <c r="E12" s="186"/>
      <c r="F12" s="188"/>
      <c r="G12" s="246"/>
      <c r="H12" s="246"/>
      <c r="I12" s="246"/>
      <c r="J12" s="246"/>
      <c r="K12" s="246"/>
      <c r="L12" s="188"/>
      <c r="O12" s="188"/>
      <c r="P12" s="188"/>
      <c r="Q12" s="188"/>
      <c r="R12" s="188"/>
      <c r="S12" s="188"/>
    </row>
    <row r="13" spans="3:19" s="181" customFormat="1" ht="12.75" customHeight="1">
      <c r="C13" s="182"/>
      <c r="D13" s="190"/>
      <c r="E13" s="186"/>
      <c r="F13" s="188"/>
      <c r="G13" s="246"/>
      <c r="H13" s="246"/>
      <c r="I13" s="246"/>
      <c r="J13" s="246"/>
      <c r="K13" s="246"/>
      <c r="L13" s="188"/>
      <c r="O13" s="188"/>
      <c r="P13" s="188"/>
      <c r="Q13" s="188"/>
      <c r="R13" s="188"/>
      <c r="S13" s="188"/>
    </row>
    <row r="14" spans="3:19" s="181" customFormat="1" ht="12.75" customHeight="1">
      <c r="C14" s="182"/>
      <c r="D14" s="184"/>
      <c r="E14" s="186"/>
      <c r="F14" s="188"/>
      <c r="G14" s="246"/>
      <c r="H14" s="246"/>
      <c r="I14" s="246"/>
      <c r="J14" s="246"/>
      <c r="K14" s="246"/>
      <c r="L14" s="188"/>
      <c r="O14" s="188"/>
      <c r="P14" s="188"/>
      <c r="Q14" s="188"/>
      <c r="R14" s="188"/>
      <c r="S14" s="188"/>
    </row>
    <row r="15" spans="3:19" s="181" customFormat="1" ht="12.75" customHeight="1">
      <c r="C15" s="182"/>
      <c r="D15" s="184"/>
      <c r="E15" s="186"/>
      <c r="F15" s="188"/>
      <c r="G15" s="246"/>
      <c r="H15" s="246"/>
      <c r="I15" s="246"/>
      <c r="J15" s="246"/>
      <c r="K15" s="246"/>
      <c r="L15" s="188"/>
      <c r="O15" s="188"/>
      <c r="P15" s="188"/>
      <c r="Q15" s="188"/>
      <c r="R15" s="188"/>
      <c r="S15" s="188"/>
    </row>
    <row r="16" spans="3:19" s="181" customFormat="1" ht="12.75" customHeight="1">
      <c r="C16" s="182"/>
      <c r="D16" s="184"/>
      <c r="E16" s="186"/>
      <c r="G16" s="246"/>
      <c r="H16" s="246"/>
      <c r="I16" s="246"/>
      <c r="J16" s="246"/>
      <c r="K16" s="246"/>
    </row>
    <row r="17" spans="2:19" s="181" customFormat="1" ht="12.75" customHeight="1">
      <c r="C17" s="182"/>
      <c r="D17" s="184"/>
      <c r="E17" s="186"/>
      <c r="G17" s="246"/>
      <c r="H17" s="246"/>
      <c r="I17" s="246"/>
      <c r="J17" s="246"/>
      <c r="K17" s="246"/>
    </row>
    <row r="18" spans="2:19" s="181" customFormat="1" ht="12.75" customHeight="1">
      <c r="C18" s="182"/>
      <c r="D18" s="184"/>
      <c r="E18" s="186"/>
      <c r="G18" s="246"/>
      <c r="H18" s="246"/>
      <c r="I18" s="246"/>
      <c r="J18" s="246"/>
      <c r="K18" s="246"/>
    </row>
    <row r="19" spans="2:19" s="181" customFormat="1" ht="12.75" customHeight="1">
      <c r="C19" s="182"/>
      <c r="D19" s="184"/>
      <c r="E19" s="186"/>
      <c r="G19" s="246"/>
      <c r="H19" s="246"/>
      <c r="I19" s="246"/>
      <c r="J19" s="246"/>
      <c r="K19" s="246"/>
    </row>
    <row r="20" spans="2:19" s="181" customFormat="1" ht="12.75" customHeight="1">
      <c r="C20" s="182"/>
      <c r="D20" s="184"/>
      <c r="E20" s="186"/>
      <c r="G20" s="246"/>
      <c r="H20" s="246"/>
      <c r="I20" s="246"/>
      <c r="J20" s="246"/>
      <c r="K20" s="246"/>
    </row>
    <row r="21" spans="2:19" s="181" customFormat="1" ht="12.75" customHeight="1">
      <c r="C21" s="182"/>
      <c r="D21" s="184"/>
      <c r="E21" s="186"/>
      <c r="G21" s="246"/>
      <c r="H21" s="246"/>
      <c r="I21" s="246"/>
      <c r="J21" s="246"/>
      <c r="K21" s="246"/>
    </row>
    <row r="22" spans="2:19" ht="12.75" customHeight="1">
      <c r="B22" s="181"/>
      <c r="C22" s="182"/>
      <c r="D22" s="187"/>
      <c r="E22" s="191"/>
    </row>
    <row r="23" spans="2:19" ht="12.75" customHeight="1">
      <c r="B23" s="181"/>
      <c r="C23" s="182"/>
      <c r="D23" s="187"/>
      <c r="E23" s="191"/>
    </row>
    <row r="24" spans="2:19" ht="12.75" customHeight="1">
      <c r="B24" s="167"/>
      <c r="C24" s="167"/>
      <c r="D24" s="167"/>
      <c r="E24" s="298"/>
    </row>
    <row r="25" spans="2:19" ht="12.75" customHeight="1">
      <c r="B25" s="167"/>
      <c r="C25" s="167"/>
      <c r="D25" s="167"/>
      <c r="E25" s="167"/>
      <c r="J25" s="167"/>
      <c r="O25" s="167"/>
      <c r="P25" s="167"/>
      <c r="Q25" s="167"/>
      <c r="R25" s="167"/>
      <c r="S25" s="167"/>
    </row>
    <row r="26" spans="2:19" ht="12.75" customHeight="1">
      <c r="B26" s="167"/>
      <c r="C26" s="167"/>
      <c r="D26" s="167"/>
      <c r="E26" s="167"/>
      <c r="J26" s="193"/>
      <c r="O26" s="193"/>
      <c r="P26" s="193"/>
      <c r="Q26" s="193"/>
      <c r="R26" s="193"/>
      <c r="S26" s="193"/>
    </row>
    <row r="27" spans="2:19">
      <c r="B27" s="167"/>
      <c r="C27" s="167"/>
      <c r="D27" s="167"/>
      <c r="E27" s="167"/>
      <c r="J27" s="193"/>
      <c r="O27" s="193"/>
      <c r="P27" s="193"/>
      <c r="Q27" s="193"/>
      <c r="R27" s="193"/>
      <c r="S27" s="193"/>
    </row>
    <row r="28" spans="2:19">
      <c r="B28" s="167"/>
      <c r="C28" s="167"/>
      <c r="D28" s="167"/>
      <c r="E28" s="167"/>
      <c r="J28" s="193"/>
      <c r="O28" s="193"/>
      <c r="P28" s="193"/>
      <c r="Q28" s="193"/>
      <c r="R28" s="193"/>
      <c r="S28" s="193"/>
    </row>
    <row r="29" spans="2:19">
      <c r="B29" s="167"/>
      <c r="C29" s="167"/>
      <c r="D29" s="167"/>
      <c r="E29" s="167"/>
      <c r="J29" s="193"/>
      <c r="O29" s="193"/>
      <c r="P29" s="193"/>
      <c r="Q29" s="193"/>
      <c r="R29" s="193"/>
      <c r="S29" s="193"/>
    </row>
    <row r="30" spans="2:19">
      <c r="B30" s="167"/>
      <c r="C30" s="167"/>
      <c r="D30" s="167"/>
      <c r="E30" s="167"/>
      <c r="J30" s="193"/>
      <c r="O30" s="193"/>
      <c r="P30" s="193"/>
      <c r="Q30" s="193"/>
      <c r="R30" s="193"/>
      <c r="S30" s="193"/>
    </row>
    <row r="31" spans="2:19">
      <c r="B31" s="167"/>
      <c r="C31" s="167"/>
      <c r="D31" s="167"/>
      <c r="E31" s="167"/>
    </row>
    <row r="32" spans="2:19">
      <c r="B32" s="167"/>
      <c r="C32" s="167"/>
      <c r="D32" s="167"/>
      <c r="E32" s="167"/>
    </row>
    <row r="33" spans="2:5">
      <c r="B33" s="167"/>
      <c r="C33" s="167"/>
      <c r="D33" s="167"/>
      <c r="E33" s="167"/>
    </row>
    <row r="34" spans="2:5">
      <c r="B34" s="167"/>
      <c r="C34" s="167"/>
      <c r="D34" s="167"/>
      <c r="E34" s="167"/>
    </row>
    <row r="35" spans="2:5">
      <c r="B35" s="167"/>
      <c r="C35" s="167"/>
      <c r="D35" s="167"/>
      <c r="E35" s="167"/>
    </row>
    <row r="36" spans="2:5">
      <c r="B36" s="167"/>
      <c r="C36" s="167"/>
      <c r="D36" s="167"/>
      <c r="E36" s="167"/>
    </row>
    <row r="37" spans="2:5">
      <c r="B37" s="167"/>
      <c r="C37" s="167"/>
      <c r="D37" s="167"/>
      <c r="E37" s="167"/>
    </row>
    <row r="38" spans="2:5">
      <c r="B38" s="167"/>
      <c r="C38" s="167"/>
      <c r="D38" s="167"/>
      <c r="E38" s="167"/>
    </row>
    <row r="39" spans="2:5">
      <c r="B39" s="167"/>
      <c r="C39" s="167"/>
      <c r="D39" s="167"/>
      <c r="E39" s="167"/>
    </row>
    <row r="40" spans="2:5">
      <c r="B40" s="167"/>
      <c r="C40" s="167"/>
      <c r="D40" s="167"/>
      <c r="E40" s="167"/>
    </row>
    <row r="41" spans="2:5">
      <c r="B41" s="167"/>
      <c r="C41" s="167"/>
      <c r="D41" s="167"/>
      <c r="E41" s="167"/>
    </row>
    <row r="42" spans="2:5">
      <c r="B42" s="167"/>
      <c r="C42" s="167"/>
      <c r="D42" s="167"/>
      <c r="E42" s="167"/>
    </row>
    <row r="43" spans="2:5">
      <c r="B43" s="167"/>
      <c r="C43" s="167"/>
      <c r="D43" s="167"/>
      <c r="E43" s="167"/>
    </row>
    <row r="44" spans="2:5">
      <c r="B44" s="167"/>
      <c r="C44" s="167"/>
      <c r="D44" s="167"/>
      <c r="E44" s="167"/>
    </row>
    <row r="45" spans="2:5">
      <c r="B45" s="167"/>
      <c r="C45" s="167"/>
      <c r="D45" s="167"/>
      <c r="E45" s="167"/>
    </row>
    <row r="46" spans="2:5">
      <c r="B46" s="167"/>
      <c r="C46" s="167"/>
      <c r="D46" s="167"/>
      <c r="E46" s="167"/>
    </row>
    <row r="47" spans="2:5">
      <c r="B47" s="167"/>
      <c r="C47" s="167"/>
      <c r="D47" s="167"/>
      <c r="E47" s="167"/>
    </row>
    <row r="48" spans="2:5">
      <c r="B48" s="167"/>
      <c r="C48" s="167"/>
      <c r="D48" s="167"/>
      <c r="E48" s="167"/>
    </row>
    <row r="49" spans="2:5">
      <c r="B49" s="167"/>
      <c r="C49" s="167"/>
      <c r="D49" s="167"/>
      <c r="E49" s="167"/>
    </row>
    <row r="50" spans="2:5">
      <c r="B50" s="167"/>
      <c r="C50" s="167"/>
      <c r="D50" s="167"/>
      <c r="E50" s="167"/>
    </row>
    <row r="51" spans="2:5">
      <c r="B51" s="167"/>
      <c r="C51" s="167"/>
      <c r="D51" s="167"/>
      <c r="E51" s="167"/>
    </row>
    <row r="52" spans="2:5">
      <c r="B52" s="167"/>
      <c r="C52" s="167"/>
      <c r="D52" s="167"/>
      <c r="E52" s="167"/>
    </row>
    <row r="53" spans="2:5">
      <c r="B53" s="167"/>
      <c r="C53" s="167"/>
      <c r="D53" s="167"/>
      <c r="E53" s="167"/>
    </row>
    <row r="54" spans="2:5">
      <c r="B54" s="167"/>
      <c r="C54" s="167"/>
      <c r="D54" s="167"/>
      <c r="E54" s="167"/>
    </row>
    <row r="55" spans="2:5">
      <c r="B55" s="167"/>
      <c r="C55" s="167"/>
      <c r="D55" s="167"/>
      <c r="E55" s="167"/>
    </row>
    <row r="56" spans="2:5">
      <c r="B56" s="167"/>
      <c r="C56" s="167"/>
      <c r="D56" s="167"/>
      <c r="E56" s="167"/>
    </row>
    <row r="57" spans="2:5">
      <c r="B57" s="167"/>
      <c r="C57" s="167"/>
      <c r="D57" s="167"/>
      <c r="E57" s="167"/>
    </row>
    <row r="58" spans="2:5">
      <c r="B58" s="167"/>
      <c r="C58" s="167"/>
      <c r="D58" s="167"/>
      <c r="E58" s="167"/>
    </row>
    <row r="59" spans="2:5">
      <c r="B59" s="167"/>
      <c r="C59" s="167"/>
      <c r="D59" s="167"/>
      <c r="E59" s="167"/>
    </row>
    <row r="60" spans="2:5">
      <c r="B60" s="167"/>
      <c r="C60" s="167"/>
      <c r="D60" s="167"/>
      <c r="E60" s="167"/>
    </row>
    <row r="61" spans="2:5">
      <c r="B61" s="167"/>
      <c r="C61" s="167"/>
      <c r="D61" s="167"/>
      <c r="E61" s="167"/>
    </row>
    <row r="62" spans="2:5">
      <c r="B62" s="167"/>
      <c r="C62" s="167"/>
      <c r="D62" s="167"/>
      <c r="E62" s="167"/>
    </row>
    <row r="63" spans="2:5">
      <c r="B63" s="167"/>
      <c r="C63" s="167"/>
      <c r="D63" s="167"/>
      <c r="E63" s="167"/>
    </row>
    <row r="64" spans="2:5">
      <c r="B64" s="167"/>
      <c r="C64" s="167"/>
      <c r="D64" s="167"/>
      <c r="E64" s="167"/>
    </row>
    <row r="65" spans="2:5">
      <c r="B65" s="167"/>
      <c r="C65" s="167"/>
      <c r="D65" s="167"/>
      <c r="E65" s="167"/>
    </row>
    <row r="66" spans="2:5">
      <c r="B66" s="167"/>
      <c r="C66" s="167"/>
      <c r="D66" s="167"/>
      <c r="E66" s="167"/>
    </row>
    <row r="67" spans="2:5">
      <c r="B67" s="167"/>
      <c r="C67" s="167"/>
      <c r="D67" s="167"/>
      <c r="E67" s="167"/>
    </row>
    <row r="68" spans="2:5">
      <c r="B68" s="167"/>
      <c r="C68" s="167"/>
      <c r="D68" s="167"/>
      <c r="E68" s="167"/>
    </row>
    <row r="69" spans="2:5">
      <c r="B69" s="167"/>
      <c r="C69" s="167"/>
      <c r="D69" s="167"/>
      <c r="E69" s="167"/>
    </row>
    <row r="70" spans="2:5">
      <c r="B70" s="167"/>
      <c r="C70" s="167"/>
      <c r="D70" s="167"/>
      <c r="E70" s="167"/>
    </row>
    <row r="71" spans="2:5">
      <c r="B71" s="167"/>
      <c r="C71" s="167"/>
      <c r="D71" s="167"/>
      <c r="E71" s="167"/>
    </row>
    <row r="72" spans="2:5">
      <c r="B72" s="167"/>
      <c r="C72" s="167"/>
      <c r="D72" s="167"/>
      <c r="E72" s="167"/>
    </row>
    <row r="73" spans="2:5">
      <c r="B73" s="167"/>
      <c r="C73" s="167"/>
      <c r="D73" s="167"/>
      <c r="E73" s="167"/>
    </row>
    <row r="74" spans="2:5">
      <c r="B74" s="167"/>
      <c r="C74" s="167"/>
      <c r="D74" s="167"/>
      <c r="E74" s="167"/>
    </row>
    <row r="75" spans="2:5">
      <c r="B75" s="167"/>
      <c r="C75" s="167"/>
      <c r="D75" s="167"/>
      <c r="E75" s="167"/>
    </row>
    <row r="76" spans="2:5">
      <c r="B76" s="167"/>
      <c r="C76" s="167"/>
      <c r="D76" s="167"/>
      <c r="E76" s="167"/>
    </row>
    <row r="77" spans="2:5">
      <c r="B77" s="167"/>
      <c r="C77" s="167"/>
      <c r="D77" s="167"/>
      <c r="E77" s="167"/>
    </row>
    <row r="78" spans="2:5">
      <c r="B78" s="167"/>
      <c r="C78" s="167"/>
      <c r="D78" s="167"/>
      <c r="E78" s="167"/>
    </row>
    <row r="79" spans="2:5">
      <c r="B79" s="167"/>
      <c r="C79" s="167"/>
      <c r="D79" s="167"/>
      <c r="E79" s="167"/>
    </row>
    <row r="80" spans="2:5">
      <c r="B80" s="167"/>
      <c r="C80" s="167"/>
      <c r="D80" s="167"/>
      <c r="E80" s="167"/>
    </row>
    <row r="81" spans="2:5">
      <c r="B81" s="167"/>
      <c r="C81" s="167"/>
      <c r="D81" s="167"/>
      <c r="E81" s="167"/>
    </row>
    <row r="82" spans="2:5">
      <c r="B82" s="167"/>
      <c r="C82" s="167"/>
      <c r="D82" s="167"/>
      <c r="E82" s="167"/>
    </row>
    <row r="83" spans="2:5">
      <c r="B83" s="167"/>
      <c r="C83" s="167"/>
      <c r="D83" s="167"/>
      <c r="E83" s="167"/>
    </row>
    <row r="84" spans="2:5">
      <c r="B84" s="167"/>
      <c r="C84" s="167"/>
      <c r="D84" s="167"/>
      <c r="E84" s="167"/>
    </row>
    <row r="85" spans="2:5">
      <c r="B85" s="167"/>
      <c r="C85" s="167"/>
      <c r="D85" s="167"/>
      <c r="E85" s="167"/>
    </row>
    <row r="86" spans="2:5">
      <c r="B86" s="167"/>
      <c r="C86" s="167"/>
      <c r="D86" s="167"/>
      <c r="E86" s="167"/>
    </row>
    <row r="87" spans="2:5">
      <c r="B87" s="167"/>
      <c r="C87" s="167"/>
      <c r="D87" s="167"/>
      <c r="E87" s="167"/>
    </row>
    <row r="88" spans="2:5">
      <c r="B88" s="167"/>
      <c r="C88" s="167"/>
      <c r="D88" s="167"/>
      <c r="E88" s="167"/>
    </row>
    <row r="89" spans="2:5">
      <c r="B89" s="167"/>
      <c r="C89" s="167"/>
      <c r="D89" s="167"/>
      <c r="E89" s="167"/>
    </row>
    <row r="90" spans="2:5">
      <c r="B90" s="167"/>
      <c r="C90" s="167"/>
      <c r="D90" s="167"/>
      <c r="E90" s="167"/>
    </row>
    <row r="91" spans="2:5">
      <c r="B91" s="167"/>
      <c r="C91" s="167"/>
      <c r="D91" s="167"/>
      <c r="E91" s="167"/>
    </row>
    <row r="92" spans="2:5">
      <c r="B92" s="167"/>
      <c r="C92" s="167"/>
      <c r="D92" s="167"/>
      <c r="E92" s="167"/>
    </row>
    <row r="93" spans="2:5">
      <c r="B93" s="167"/>
      <c r="C93" s="167"/>
      <c r="D93" s="167"/>
      <c r="E93" s="167"/>
    </row>
    <row r="94" spans="2:5">
      <c r="B94" s="167"/>
      <c r="C94" s="167"/>
      <c r="D94" s="167"/>
      <c r="E94" s="167"/>
    </row>
    <row r="95" spans="2:5">
      <c r="B95" s="167"/>
      <c r="C95" s="167"/>
      <c r="D95" s="167"/>
      <c r="E95" s="167"/>
    </row>
    <row r="96" spans="2:5">
      <c r="B96" s="167"/>
      <c r="C96" s="167"/>
      <c r="D96" s="167"/>
      <c r="E96" s="167"/>
    </row>
    <row r="97" spans="2:5">
      <c r="B97" s="167"/>
      <c r="C97" s="167"/>
      <c r="D97" s="167"/>
      <c r="E97" s="167"/>
    </row>
    <row r="98" spans="2:5">
      <c r="B98" s="167"/>
      <c r="C98" s="167"/>
      <c r="D98" s="167"/>
      <c r="E98" s="167"/>
    </row>
    <row r="99" spans="2:5">
      <c r="B99" s="167"/>
      <c r="C99" s="167"/>
      <c r="D99" s="167"/>
      <c r="E99" s="167"/>
    </row>
    <row r="100" spans="2:5">
      <c r="B100" s="167"/>
      <c r="C100" s="167"/>
      <c r="D100" s="167"/>
      <c r="E100" s="167"/>
    </row>
    <row r="101" spans="2:5">
      <c r="B101" s="167"/>
      <c r="C101" s="167"/>
      <c r="D101" s="167"/>
      <c r="E101" s="167"/>
    </row>
    <row r="102" spans="2:5">
      <c r="B102" s="167"/>
      <c r="C102" s="167"/>
      <c r="D102" s="167"/>
      <c r="E102" s="167"/>
    </row>
    <row r="103" spans="2:5">
      <c r="B103" s="167"/>
      <c r="C103" s="167"/>
      <c r="D103" s="167"/>
      <c r="E103" s="167"/>
    </row>
    <row r="104" spans="2:5">
      <c r="B104" s="167"/>
      <c r="C104" s="167"/>
      <c r="D104" s="167"/>
      <c r="E104" s="167"/>
    </row>
    <row r="105" spans="2:5">
      <c r="B105" s="167"/>
      <c r="C105" s="167"/>
      <c r="D105" s="167"/>
      <c r="E105" s="167"/>
    </row>
    <row r="106" spans="2:5">
      <c r="B106" s="167"/>
      <c r="C106" s="167"/>
      <c r="D106" s="167"/>
      <c r="E106" s="167"/>
    </row>
    <row r="107" spans="2:5">
      <c r="B107" s="167"/>
      <c r="C107" s="167"/>
      <c r="D107" s="167"/>
      <c r="E107" s="167"/>
    </row>
    <row r="108" spans="2:5">
      <c r="B108" s="167"/>
      <c r="C108" s="167"/>
      <c r="D108" s="167"/>
      <c r="E108" s="167"/>
    </row>
    <row r="109" spans="2:5">
      <c r="B109" s="167"/>
      <c r="C109" s="167"/>
      <c r="D109" s="167"/>
      <c r="E109" s="167"/>
    </row>
    <row r="110" spans="2:5">
      <c r="B110" s="167"/>
      <c r="C110" s="167"/>
      <c r="D110" s="167"/>
      <c r="E110" s="167"/>
    </row>
    <row r="111" spans="2:5">
      <c r="B111" s="167"/>
      <c r="C111" s="167"/>
      <c r="D111" s="167"/>
      <c r="E111" s="167"/>
    </row>
    <row r="112" spans="2:5">
      <c r="B112" s="167"/>
      <c r="C112" s="167"/>
      <c r="D112" s="167"/>
      <c r="E112" s="167"/>
    </row>
    <row r="113" spans="2:5">
      <c r="B113" s="167"/>
      <c r="C113" s="167"/>
      <c r="D113" s="167"/>
      <c r="E113" s="167"/>
    </row>
    <row r="114" spans="2:5">
      <c r="B114" s="167"/>
      <c r="C114" s="167"/>
      <c r="D114" s="167"/>
      <c r="E114" s="167"/>
    </row>
    <row r="115" spans="2:5">
      <c r="B115" s="167"/>
      <c r="C115" s="167"/>
      <c r="D115" s="167"/>
      <c r="E115" s="167"/>
    </row>
    <row r="116" spans="2:5">
      <c r="B116" s="167"/>
      <c r="C116" s="167"/>
      <c r="D116" s="167"/>
      <c r="E116" s="167"/>
    </row>
    <row r="117" spans="2:5">
      <c r="B117" s="167"/>
      <c r="C117" s="167"/>
      <c r="D117" s="167"/>
      <c r="E117" s="167"/>
    </row>
    <row r="118" spans="2:5">
      <c r="B118" s="167"/>
      <c r="C118" s="167"/>
      <c r="D118" s="167"/>
      <c r="E118" s="167"/>
    </row>
    <row r="119" spans="2:5">
      <c r="B119" s="167"/>
      <c r="C119" s="167"/>
      <c r="D119" s="167"/>
      <c r="E119" s="167"/>
    </row>
    <row r="120" spans="2:5">
      <c r="B120" s="167"/>
      <c r="C120" s="167"/>
      <c r="D120" s="167"/>
      <c r="E120" s="167"/>
    </row>
    <row r="121" spans="2:5">
      <c r="B121" s="167"/>
      <c r="C121" s="167"/>
      <c r="D121" s="167"/>
      <c r="E121" s="167"/>
    </row>
    <row r="122" spans="2:5">
      <c r="B122" s="167"/>
      <c r="C122" s="167"/>
      <c r="D122" s="167"/>
      <c r="E122" s="167"/>
    </row>
    <row r="123" spans="2:5">
      <c r="B123" s="167"/>
      <c r="C123" s="167"/>
      <c r="D123" s="167"/>
      <c r="E123" s="167"/>
    </row>
    <row r="124" spans="2:5">
      <c r="B124" s="167"/>
      <c r="C124" s="167"/>
      <c r="D124" s="167"/>
      <c r="E124" s="167"/>
    </row>
    <row r="125" spans="2:5">
      <c r="B125" s="167"/>
      <c r="C125" s="167"/>
      <c r="D125" s="167"/>
      <c r="E125" s="167"/>
    </row>
    <row r="126" spans="2:5">
      <c r="B126" s="167"/>
      <c r="C126" s="167"/>
      <c r="D126" s="167"/>
      <c r="E126" s="167"/>
    </row>
    <row r="127" spans="2:5">
      <c r="B127" s="167"/>
      <c r="C127" s="167"/>
      <c r="D127" s="167"/>
      <c r="E127" s="167"/>
    </row>
    <row r="128" spans="2:5">
      <c r="B128" s="167"/>
      <c r="C128" s="167"/>
      <c r="D128" s="167"/>
      <c r="E128" s="167"/>
    </row>
    <row r="129" spans="2:5">
      <c r="B129" s="167"/>
      <c r="C129" s="167"/>
      <c r="D129" s="167"/>
      <c r="E129" s="167"/>
    </row>
    <row r="130" spans="2:5">
      <c r="B130" s="167"/>
      <c r="C130" s="167"/>
      <c r="D130" s="167"/>
      <c r="E130" s="167"/>
    </row>
    <row r="131" spans="2:5">
      <c r="B131" s="167"/>
      <c r="C131" s="167"/>
      <c r="D131" s="167"/>
      <c r="E131" s="167"/>
    </row>
    <row r="132" spans="2:5">
      <c r="B132" s="167"/>
      <c r="C132" s="167"/>
      <c r="D132" s="167"/>
      <c r="E132" s="167"/>
    </row>
    <row r="133" spans="2:5">
      <c r="B133" s="167"/>
      <c r="C133" s="167"/>
      <c r="D133" s="167"/>
      <c r="E133" s="167"/>
    </row>
    <row r="134" spans="2:5">
      <c r="B134" s="167"/>
      <c r="C134" s="167"/>
      <c r="D134" s="167"/>
      <c r="E134" s="167"/>
    </row>
    <row r="135" spans="2:5">
      <c r="B135" s="167"/>
      <c r="C135" s="167"/>
      <c r="D135" s="167"/>
      <c r="E135" s="167"/>
    </row>
    <row r="136" spans="2:5">
      <c r="B136" s="167"/>
      <c r="C136" s="167"/>
      <c r="D136" s="167"/>
      <c r="E136" s="167"/>
    </row>
    <row r="137" spans="2:5">
      <c r="B137" s="167"/>
      <c r="C137" s="167"/>
      <c r="D137" s="167"/>
      <c r="E137" s="167"/>
    </row>
    <row r="138" spans="2:5">
      <c r="B138" s="167"/>
      <c r="C138" s="167"/>
      <c r="D138" s="167"/>
      <c r="E138" s="167"/>
    </row>
    <row r="139" spans="2:5">
      <c r="B139" s="167"/>
      <c r="C139" s="167"/>
      <c r="D139" s="167"/>
      <c r="E139" s="167"/>
    </row>
    <row r="140" spans="2:5">
      <c r="B140" s="167"/>
      <c r="C140" s="167"/>
      <c r="D140" s="167"/>
      <c r="E140" s="167"/>
    </row>
    <row r="141" spans="2:5">
      <c r="B141" s="167"/>
      <c r="C141" s="167"/>
      <c r="D141" s="167"/>
      <c r="E141" s="167"/>
    </row>
    <row r="142" spans="2:5">
      <c r="B142" s="167"/>
      <c r="C142" s="167"/>
      <c r="D142" s="167"/>
      <c r="E142" s="167"/>
    </row>
    <row r="143" spans="2:5">
      <c r="B143" s="167"/>
      <c r="C143" s="167"/>
      <c r="D143" s="167"/>
      <c r="E143" s="167"/>
    </row>
    <row r="144" spans="2:5">
      <c r="B144" s="167"/>
      <c r="C144" s="167"/>
      <c r="D144" s="167"/>
      <c r="E144" s="167"/>
    </row>
    <row r="145" spans="2:5">
      <c r="B145" s="167"/>
      <c r="C145" s="167"/>
      <c r="D145" s="167"/>
      <c r="E145" s="167"/>
    </row>
    <row r="146" spans="2:5">
      <c r="B146" s="167"/>
      <c r="C146" s="167"/>
      <c r="D146" s="167"/>
      <c r="E146" s="167"/>
    </row>
    <row r="147" spans="2:5">
      <c r="B147" s="167"/>
      <c r="C147" s="167"/>
      <c r="D147" s="167"/>
      <c r="E147" s="167"/>
    </row>
    <row r="148" spans="2:5">
      <c r="B148" s="167"/>
      <c r="C148" s="167"/>
      <c r="D148" s="167"/>
      <c r="E148" s="167"/>
    </row>
    <row r="149" spans="2:5">
      <c r="B149" s="167"/>
      <c r="C149" s="167"/>
      <c r="D149" s="167"/>
      <c r="E149" s="167"/>
    </row>
    <row r="150" spans="2:5">
      <c r="B150" s="167"/>
      <c r="C150" s="167"/>
      <c r="D150" s="167"/>
      <c r="E150" s="167"/>
    </row>
    <row r="151" spans="2:5">
      <c r="B151" s="167"/>
      <c r="C151" s="167"/>
      <c r="D151" s="167"/>
      <c r="E151" s="167"/>
    </row>
    <row r="152" spans="2:5">
      <c r="B152" s="167"/>
      <c r="C152" s="167"/>
      <c r="D152" s="167"/>
      <c r="E152" s="167"/>
    </row>
    <row r="153" spans="2:5">
      <c r="B153" s="167"/>
      <c r="C153" s="167"/>
      <c r="D153" s="167"/>
      <c r="E153" s="167"/>
    </row>
    <row r="154" spans="2:5">
      <c r="B154" s="167"/>
      <c r="C154" s="167"/>
      <c r="D154" s="167"/>
      <c r="E154" s="167"/>
    </row>
    <row r="155" spans="2:5">
      <c r="B155" s="167"/>
      <c r="C155" s="167"/>
      <c r="D155" s="167"/>
      <c r="E155" s="167"/>
    </row>
    <row r="156" spans="2:5">
      <c r="B156" s="167"/>
      <c r="C156" s="167"/>
      <c r="D156" s="167"/>
      <c r="E156" s="167"/>
    </row>
    <row r="157" spans="2:5">
      <c r="B157" s="167"/>
      <c r="C157" s="167"/>
      <c r="D157" s="167"/>
      <c r="E157" s="167"/>
    </row>
    <row r="158" spans="2:5">
      <c r="B158" s="167"/>
      <c r="C158" s="167"/>
      <c r="D158" s="167"/>
      <c r="E158" s="167"/>
    </row>
    <row r="159" spans="2:5">
      <c r="B159" s="167"/>
      <c r="C159" s="167"/>
      <c r="D159" s="167"/>
      <c r="E159" s="167"/>
    </row>
    <row r="160" spans="2:5">
      <c r="B160" s="167"/>
      <c r="C160" s="167"/>
      <c r="D160" s="167"/>
      <c r="E160" s="167"/>
    </row>
    <row r="161" spans="2:5">
      <c r="B161" s="167"/>
      <c r="C161" s="167"/>
      <c r="D161" s="167"/>
      <c r="E161" s="167"/>
    </row>
    <row r="162" spans="2:5">
      <c r="B162" s="167"/>
      <c r="C162" s="167"/>
      <c r="D162" s="167"/>
      <c r="E162" s="167"/>
    </row>
    <row r="163" spans="2:5">
      <c r="B163" s="167"/>
      <c r="C163" s="167"/>
      <c r="D163" s="167"/>
      <c r="E163" s="167"/>
    </row>
    <row r="164" spans="2:5">
      <c r="B164" s="167"/>
      <c r="C164" s="167"/>
      <c r="D164" s="167"/>
      <c r="E164" s="167"/>
    </row>
    <row r="165" spans="2:5">
      <c r="B165" s="167"/>
      <c r="C165" s="167"/>
      <c r="D165" s="167"/>
      <c r="E165" s="167"/>
    </row>
    <row r="166" spans="2:5">
      <c r="B166" s="167"/>
      <c r="C166" s="167"/>
      <c r="D166" s="167"/>
      <c r="E166" s="167"/>
    </row>
    <row r="167" spans="2:5">
      <c r="B167" s="167"/>
      <c r="C167" s="167"/>
      <c r="D167" s="167"/>
      <c r="E167" s="167"/>
    </row>
    <row r="168" spans="2:5">
      <c r="B168" s="167"/>
      <c r="C168" s="167"/>
      <c r="D168" s="167"/>
      <c r="E168" s="167"/>
    </row>
    <row r="169" spans="2:5">
      <c r="B169" s="167"/>
      <c r="C169" s="167"/>
      <c r="D169" s="167"/>
      <c r="E169" s="167"/>
    </row>
    <row r="170" spans="2:5">
      <c r="B170" s="167"/>
      <c r="C170" s="167"/>
      <c r="D170" s="167"/>
      <c r="E170" s="167"/>
    </row>
    <row r="171" spans="2:5">
      <c r="B171" s="167"/>
      <c r="C171" s="167"/>
      <c r="D171" s="167"/>
      <c r="E171" s="167"/>
    </row>
    <row r="172" spans="2:5">
      <c r="B172" s="167"/>
      <c r="C172" s="167"/>
      <c r="D172" s="167"/>
      <c r="E172" s="167"/>
    </row>
    <row r="173" spans="2:5">
      <c r="B173" s="167"/>
      <c r="C173" s="167"/>
      <c r="D173" s="167"/>
      <c r="E173" s="167"/>
    </row>
    <row r="174" spans="2:5">
      <c r="B174" s="167"/>
      <c r="C174" s="167"/>
      <c r="D174" s="167"/>
      <c r="E174" s="167"/>
    </row>
    <row r="175" spans="2:5">
      <c r="B175" s="167"/>
      <c r="C175" s="167"/>
      <c r="D175" s="167"/>
      <c r="E175" s="167"/>
    </row>
    <row r="176" spans="2:5">
      <c r="B176" s="167"/>
      <c r="C176" s="167"/>
      <c r="D176" s="167"/>
      <c r="E176" s="167"/>
    </row>
    <row r="177" spans="2:5">
      <c r="B177" s="167"/>
      <c r="C177" s="167"/>
      <c r="D177" s="167"/>
      <c r="E177" s="167"/>
    </row>
    <row r="178" spans="2:5">
      <c r="B178" s="167"/>
      <c r="C178" s="167"/>
      <c r="D178" s="167"/>
      <c r="E178" s="167"/>
    </row>
    <row r="179" spans="2:5">
      <c r="B179" s="167"/>
      <c r="C179" s="167"/>
      <c r="D179" s="167"/>
      <c r="E179" s="167"/>
    </row>
    <row r="180" spans="2:5">
      <c r="B180" s="167"/>
      <c r="C180" s="167"/>
      <c r="D180" s="167"/>
      <c r="E180" s="167"/>
    </row>
    <row r="181" spans="2:5">
      <c r="B181" s="167"/>
      <c r="C181" s="167"/>
      <c r="D181" s="167"/>
      <c r="E181" s="167"/>
    </row>
    <row r="182" spans="2:5">
      <c r="B182" s="167"/>
      <c r="C182" s="167"/>
      <c r="D182" s="167"/>
      <c r="E182" s="167"/>
    </row>
    <row r="183" spans="2:5">
      <c r="B183" s="167"/>
      <c r="C183" s="167"/>
      <c r="D183" s="167"/>
      <c r="E183" s="167"/>
    </row>
    <row r="184" spans="2:5">
      <c r="B184" s="167"/>
      <c r="C184" s="167"/>
      <c r="D184" s="167"/>
      <c r="E184" s="167"/>
    </row>
    <row r="185" spans="2:5">
      <c r="B185" s="167"/>
      <c r="C185" s="167"/>
      <c r="D185" s="167"/>
      <c r="E185" s="167"/>
    </row>
    <row r="186" spans="2:5">
      <c r="B186" s="167"/>
      <c r="C186" s="167"/>
      <c r="D186" s="167"/>
      <c r="E186" s="167"/>
    </row>
    <row r="187" spans="2:5">
      <c r="B187" s="167"/>
      <c r="C187" s="167"/>
      <c r="D187" s="167"/>
      <c r="E187" s="167"/>
    </row>
    <row r="188" spans="2:5">
      <c r="B188" s="167"/>
      <c r="C188" s="167"/>
      <c r="D188" s="167"/>
      <c r="E188" s="167"/>
    </row>
    <row r="189" spans="2:5">
      <c r="B189" s="167"/>
      <c r="C189" s="167"/>
      <c r="D189" s="167"/>
      <c r="E189" s="167"/>
    </row>
    <row r="190" spans="2:5">
      <c r="B190" s="167"/>
      <c r="C190" s="167"/>
      <c r="D190" s="167"/>
      <c r="E190" s="167"/>
    </row>
    <row r="191" spans="2:5">
      <c r="B191" s="167"/>
      <c r="C191" s="167"/>
      <c r="D191" s="167"/>
      <c r="E191" s="167"/>
    </row>
    <row r="192" spans="2:5">
      <c r="B192" s="167"/>
      <c r="C192" s="167"/>
      <c r="D192" s="167"/>
      <c r="E192" s="167"/>
    </row>
    <row r="193" spans="2:5">
      <c r="B193" s="167"/>
      <c r="C193" s="167"/>
      <c r="D193" s="167"/>
      <c r="E193" s="167"/>
    </row>
    <row r="194" spans="2:5">
      <c r="B194" s="167"/>
      <c r="C194" s="167"/>
      <c r="D194" s="167"/>
      <c r="E194" s="167"/>
    </row>
    <row r="195" spans="2:5">
      <c r="B195" s="167"/>
      <c r="C195" s="167"/>
      <c r="D195" s="167"/>
      <c r="E195" s="167"/>
    </row>
    <row r="196" spans="2:5">
      <c r="B196" s="167"/>
      <c r="C196" s="167"/>
      <c r="D196" s="167"/>
      <c r="E196" s="167"/>
    </row>
    <row r="197" spans="2:5">
      <c r="B197" s="167"/>
      <c r="C197" s="167"/>
      <c r="D197" s="167"/>
      <c r="E197" s="167"/>
    </row>
    <row r="198" spans="2:5">
      <c r="B198" s="167"/>
      <c r="C198" s="167"/>
      <c r="D198" s="167"/>
      <c r="E198" s="167"/>
    </row>
    <row r="199" spans="2:5">
      <c r="B199" s="167"/>
      <c r="C199" s="167"/>
      <c r="D199" s="167"/>
      <c r="E199" s="167"/>
    </row>
    <row r="200" spans="2:5">
      <c r="B200" s="167"/>
      <c r="C200" s="167"/>
      <c r="D200" s="167"/>
      <c r="E200" s="167"/>
    </row>
    <row r="201" spans="2:5">
      <c r="B201" s="167"/>
      <c r="C201" s="167"/>
      <c r="D201" s="167"/>
      <c r="E201" s="167"/>
    </row>
    <row r="202" spans="2:5">
      <c r="B202" s="167"/>
      <c r="C202" s="167"/>
      <c r="D202" s="167"/>
      <c r="E202" s="167"/>
    </row>
    <row r="203" spans="2:5">
      <c r="B203" s="167"/>
      <c r="C203" s="167"/>
      <c r="D203" s="167"/>
      <c r="E203" s="167"/>
    </row>
    <row r="204" spans="2:5">
      <c r="B204" s="167"/>
      <c r="C204" s="167"/>
      <c r="D204" s="167"/>
      <c r="E204" s="167"/>
    </row>
    <row r="205" spans="2:5">
      <c r="B205" s="167"/>
      <c r="C205" s="167"/>
      <c r="D205" s="167"/>
      <c r="E205" s="167"/>
    </row>
    <row r="206" spans="2:5">
      <c r="B206" s="167"/>
      <c r="C206" s="167"/>
      <c r="D206" s="167"/>
      <c r="E206" s="167"/>
    </row>
    <row r="207" spans="2:5">
      <c r="B207" s="167"/>
      <c r="C207" s="167"/>
      <c r="D207" s="167"/>
      <c r="E207" s="167"/>
    </row>
    <row r="208" spans="2:5">
      <c r="B208" s="167"/>
      <c r="C208" s="167"/>
      <c r="D208" s="167"/>
      <c r="E208" s="167"/>
    </row>
    <row r="209" spans="2:5">
      <c r="B209" s="167"/>
      <c r="C209" s="167"/>
      <c r="D209" s="167"/>
      <c r="E209" s="167"/>
    </row>
    <row r="210" spans="2:5">
      <c r="B210" s="167"/>
      <c r="C210" s="167"/>
      <c r="D210" s="167"/>
      <c r="E210" s="167"/>
    </row>
    <row r="211" spans="2:5">
      <c r="B211" s="167"/>
      <c r="C211" s="167"/>
      <c r="D211" s="167"/>
      <c r="E211" s="167"/>
    </row>
    <row r="212" spans="2:5">
      <c r="B212" s="167"/>
      <c r="C212" s="167"/>
      <c r="D212" s="167"/>
      <c r="E212" s="167"/>
    </row>
    <row r="213" spans="2:5">
      <c r="B213" s="167"/>
      <c r="C213" s="167"/>
      <c r="D213" s="167"/>
      <c r="E213" s="167"/>
    </row>
    <row r="214" spans="2:5">
      <c r="B214" s="167"/>
      <c r="C214" s="167"/>
      <c r="D214" s="167"/>
      <c r="E214" s="167"/>
    </row>
    <row r="215" spans="2:5">
      <c r="B215" s="167"/>
      <c r="C215" s="167"/>
      <c r="D215" s="167"/>
      <c r="E215" s="167"/>
    </row>
    <row r="216" spans="2:5">
      <c r="B216" s="167"/>
      <c r="C216" s="167"/>
      <c r="D216" s="167"/>
      <c r="E216" s="167"/>
    </row>
    <row r="217" spans="2:5">
      <c r="B217" s="167"/>
      <c r="C217" s="167"/>
      <c r="D217" s="167"/>
      <c r="E217" s="167"/>
    </row>
    <row r="218" spans="2:5">
      <c r="B218" s="167"/>
      <c r="C218" s="167"/>
      <c r="D218" s="167"/>
      <c r="E218" s="167"/>
    </row>
    <row r="219" spans="2:5">
      <c r="B219" s="167"/>
      <c r="C219" s="167"/>
      <c r="D219" s="167"/>
      <c r="E219" s="167"/>
    </row>
    <row r="220" spans="2:5">
      <c r="B220" s="167"/>
      <c r="C220" s="167"/>
      <c r="D220" s="167"/>
      <c r="E220" s="167"/>
    </row>
    <row r="221" spans="2:5">
      <c r="B221" s="167"/>
      <c r="C221" s="167"/>
      <c r="D221" s="167"/>
      <c r="E221" s="167"/>
    </row>
    <row r="222" spans="2:5">
      <c r="B222" s="167"/>
      <c r="C222" s="167"/>
      <c r="D222" s="167"/>
      <c r="E222" s="167"/>
    </row>
    <row r="223" spans="2:5">
      <c r="B223" s="167"/>
      <c r="C223" s="167"/>
      <c r="D223" s="167"/>
      <c r="E223" s="167"/>
    </row>
    <row r="224" spans="2:5">
      <c r="B224" s="167"/>
      <c r="C224" s="167"/>
      <c r="D224" s="167"/>
      <c r="E224" s="167"/>
    </row>
    <row r="225" spans="2:5">
      <c r="B225" s="167"/>
      <c r="C225" s="167"/>
      <c r="D225" s="167"/>
      <c r="E225" s="167"/>
    </row>
    <row r="226" spans="2:5">
      <c r="B226" s="167"/>
      <c r="C226" s="167"/>
      <c r="D226" s="167"/>
      <c r="E226" s="167"/>
    </row>
    <row r="227" spans="2:5">
      <c r="B227" s="167"/>
      <c r="C227" s="167"/>
      <c r="D227" s="167"/>
      <c r="E227" s="167"/>
    </row>
    <row r="228" spans="2:5">
      <c r="B228" s="167"/>
      <c r="C228" s="167"/>
      <c r="D228" s="167"/>
      <c r="E228" s="167"/>
    </row>
    <row r="229" spans="2:5">
      <c r="B229" s="167"/>
      <c r="C229" s="167"/>
      <c r="D229" s="167"/>
      <c r="E229" s="167"/>
    </row>
    <row r="230" spans="2:5">
      <c r="B230" s="167"/>
      <c r="C230" s="167"/>
      <c r="D230" s="167"/>
      <c r="E230" s="167"/>
    </row>
    <row r="231" spans="2:5">
      <c r="B231" s="167"/>
      <c r="C231" s="167"/>
      <c r="D231" s="167"/>
      <c r="E231" s="167"/>
    </row>
    <row r="232" spans="2:5">
      <c r="B232" s="167"/>
      <c r="C232" s="167"/>
      <c r="D232" s="167"/>
      <c r="E232" s="167"/>
    </row>
    <row r="233" spans="2:5">
      <c r="B233" s="167"/>
      <c r="C233" s="167"/>
      <c r="D233" s="167"/>
      <c r="E233" s="167"/>
    </row>
    <row r="234" spans="2:5">
      <c r="B234" s="167"/>
      <c r="C234" s="167"/>
      <c r="D234" s="167"/>
      <c r="E234" s="167"/>
    </row>
    <row r="235" spans="2:5">
      <c r="B235" s="167"/>
      <c r="C235" s="167"/>
      <c r="D235" s="167"/>
      <c r="E235" s="167"/>
    </row>
    <row r="236" spans="2:5">
      <c r="B236" s="167"/>
      <c r="C236" s="167"/>
      <c r="D236" s="167"/>
      <c r="E236" s="167"/>
    </row>
    <row r="237" spans="2:5">
      <c r="B237" s="167"/>
      <c r="C237" s="167"/>
      <c r="D237" s="167"/>
      <c r="E237" s="167"/>
    </row>
    <row r="238" spans="2:5">
      <c r="B238" s="167"/>
      <c r="C238" s="167"/>
      <c r="D238" s="167"/>
      <c r="E238" s="167"/>
    </row>
    <row r="239" spans="2:5">
      <c r="B239" s="167"/>
      <c r="C239" s="167"/>
      <c r="D239" s="167"/>
      <c r="E239" s="167"/>
    </row>
    <row r="240" spans="2:5">
      <c r="B240" s="167"/>
      <c r="C240" s="167"/>
      <c r="D240" s="167"/>
      <c r="E240" s="167"/>
    </row>
    <row r="241" spans="2:5">
      <c r="B241" s="167"/>
      <c r="C241" s="167"/>
      <c r="D241" s="167"/>
      <c r="E241" s="167"/>
    </row>
    <row r="242" spans="2:5">
      <c r="B242" s="167"/>
      <c r="C242" s="167"/>
      <c r="D242" s="167"/>
      <c r="E242" s="167"/>
    </row>
    <row r="243" spans="2:5">
      <c r="B243" s="167"/>
      <c r="C243" s="167"/>
      <c r="D243" s="167"/>
      <c r="E243" s="167"/>
    </row>
    <row r="244" spans="2:5">
      <c r="B244" s="167"/>
      <c r="C244" s="167"/>
      <c r="D244" s="167"/>
      <c r="E244" s="167"/>
    </row>
    <row r="245" spans="2:5">
      <c r="B245" s="167"/>
      <c r="C245" s="167"/>
      <c r="D245" s="167"/>
      <c r="E245" s="167"/>
    </row>
    <row r="246" spans="2:5">
      <c r="B246" s="167"/>
      <c r="C246" s="167"/>
      <c r="D246" s="167"/>
      <c r="E246" s="167"/>
    </row>
    <row r="247" spans="2:5">
      <c r="B247" s="167"/>
      <c r="C247" s="167"/>
      <c r="D247" s="167"/>
      <c r="E247" s="167"/>
    </row>
    <row r="248" spans="2:5">
      <c r="B248" s="167"/>
      <c r="C248" s="167"/>
      <c r="D248" s="167"/>
      <c r="E248" s="167"/>
    </row>
    <row r="249" spans="2:5">
      <c r="B249" s="167"/>
      <c r="C249" s="167"/>
      <c r="D249" s="167"/>
      <c r="E249" s="167"/>
    </row>
    <row r="250" spans="2:5">
      <c r="B250" s="167"/>
      <c r="C250" s="167"/>
      <c r="D250" s="167"/>
      <c r="E250" s="167"/>
    </row>
    <row r="251" spans="2:5">
      <c r="B251" s="167"/>
      <c r="C251" s="167"/>
      <c r="D251" s="167"/>
      <c r="E251" s="167"/>
    </row>
    <row r="252" spans="2:5">
      <c r="B252" s="167"/>
      <c r="C252" s="167"/>
      <c r="D252" s="167"/>
      <c r="E252" s="167"/>
    </row>
    <row r="253" spans="2:5">
      <c r="B253" s="167"/>
      <c r="C253" s="167"/>
      <c r="D253" s="167"/>
      <c r="E253" s="167"/>
    </row>
    <row r="254" spans="2:5">
      <c r="B254" s="167"/>
      <c r="C254" s="167"/>
      <c r="D254" s="167"/>
      <c r="E254" s="167"/>
    </row>
    <row r="255" spans="2:5">
      <c r="B255" s="167"/>
      <c r="C255" s="167"/>
      <c r="D255" s="167"/>
      <c r="E255" s="167"/>
    </row>
    <row r="256" spans="2:5">
      <c r="B256" s="167"/>
      <c r="C256" s="167"/>
      <c r="D256" s="167"/>
      <c r="E256" s="167"/>
    </row>
    <row r="257" spans="2:5">
      <c r="B257" s="167"/>
      <c r="C257" s="167"/>
      <c r="D257" s="167"/>
      <c r="E257" s="167"/>
    </row>
    <row r="258" spans="2:5">
      <c r="B258" s="167"/>
      <c r="C258" s="167"/>
      <c r="D258" s="167"/>
      <c r="E258" s="167"/>
    </row>
    <row r="259" spans="2:5">
      <c r="B259" s="167"/>
      <c r="C259" s="167"/>
      <c r="D259" s="167"/>
      <c r="E259" s="167"/>
    </row>
    <row r="260" spans="2:5">
      <c r="B260" s="167"/>
      <c r="C260" s="167"/>
      <c r="D260" s="167"/>
      <c r="E260" s="167"/>
    </row>
    <row r="261" spans="2:5">
      <c r="B261" s="167"/>
      <c r="C261" s="167"/>
      <c r="D261" s="167"/>
      <c r="E261" s="167"/>
    </row>
    <row r="262" spans="2:5">
      <c r="B262" s="167"/>
      <c r="C262" s="167"/>
      <c r="D262" s="167"/>
      <c r="E262" s="167"/>
    </row>
    <row r="263" spans="2:5">
      <c r="B263" s="167"/>
      <c r="C263" s="167"/>
      <c r="D263" s="167"/>
      <c r="E263" s="167"/>
    </row>
    <row r="264" spans="2:5">
      <c r="B264" s="167"/>
      <c r="C264" s="167"/>
      <c r="D264" s="167"/>
      <c r="E264" s="167"/>
    </row>
    <row r="265" spans="2:5">
      <c r="B265" s="167"/>
      <c r="C265" s="167"/>
      <c r="D265" s="167"/>
      <c r="E265" s="167"/>
    </row>
    <row r="266" spans="2:5">
      <c r="B266" s="167"/>
      <c r="C266" s="167"/>
      <c r="D266" s="167"/>
      <c r="E266" s="167"/>
    </row>
    <row r="267" spans="2:5">
      <c r="B267" s="167"/>
      <c r="C267" s="167"/>
      <c r="D267" s="167"/>
      <c r="E267" s="167"/>
    </row>
    <row r="268" spans="2:5">
      <c r="B268" s="167"/>
      <c r="C268" s="167"/>
      <c r="D268" s="167"/>
      <c r="E268" s="167"/>
    </row>
    <row r="269" spans="2:5">
      <c r="B269" s="167"/>
      <c r="C269" s="167"/>
      <c r="D269" s="167"/>
      <c r="E269" s="167"/>
    </row>
    <row r="270" spans="2:5">
      <c r="B270" s="167"/>
      <c r="C270" s="167"/>
      <c r="D270" s="167"/>
      <c r="E270" s="167"/>
    </row>
    <row r="271" spans="2:5">
      <c r="B271" s="167"/>
      <c r="C271" s="167"/>
      <c r="D271" s="167"/>
      <c r="E271" s="167"/>
    </row>
    <row r="272" spans="2:5">
      <c r="B272" s="167"/>
      <c r="C272" s="167"/>
      <c r="D272" s="167"/>
      <c r="E272" s="167"/>
    </row>
    <row r="273" spans="2:5">
      <c r="B273" s="167"/>
      <c r="C273" s="167"/>
      <c r="D273" s="167"/>
      <c r="E273" s="167"/>
    </row>
    <row r="274" spans="2:5">
      <c r="B274" s="167"/>
      <c r="C274" s="167"/>
      <c r="D274" s="167"/>
      <c r="E274" s="167"/>
    </row>
    <row r="275" spans="2:5">
      <c r="B275" s="167"/>
      <c r="C275" s="167"/>
      <c r="D275" s="167"/>
      <c r="E275" s="167"/>
    </row>
    <row r="276" spans="2:5">
      <c r="B276" s="167"/>
      <c r="C276" s="167"/>
      <c r="D276" s="167"/>
      <c r="E276" s="167"/>
    </row>
    <row r="277" spans="2:5">
      <c r="B277" s="167"/>
      <c r="C277" s="167"/>
      <c r="D277" s="167"/>
      <c r="E277" s="167"/>
    </row>
    <row r="278" spans="2:5">
      <c r="B278" s="167"/>
      <c r="C278" s="167"/>
      <c r="D278" s="167"/>
      <c r="E278" s="167"/>
    </row>
    <row r="279" spans="2:5">
      <c r="B279" s="167"/>
      <c r="C279" s="167"/>
      <c r="D279" s="167"/>
      <c r="E279" s="167"/>
    </row>
    <row r="280" spans="2:5">
      <c r="B280" s="167"/>
      <c r="C280" s="167"/>
      <c r="D280" s="167"/>
      <c r="E280" s="167"/>
    </row>
    <row r="281" spans="2:5">
      <c r="B281" s="167"/>
      <c r="C281" s="167"/>
      <c r="D281" s="167"/>
      <c r="E281" s="167"/>
    </row>
    <row r="282" spans="2:5">
      <c r="B282" s="167"/>
      <c r="C282" s="167"/>
      <c r="D282" s="167"/>
      <c r="E282" s="167"/>
    </row>
    <row r="283" spans="2:5">
      <c r="B283" s="167"/>
      <c r="C283" s="167"/>
      <c r="D283" s="167"/>
      <c r="E283" s="167"/>
    </row>
    <row r="284" spans="2:5">
      <c r="B284" s="167"/>
      <c r="C284" s="167"/>
      <c r="D284" s="167"/>
      <c r="E284" s="167"/>
    </row>
    <row r="285" spans="2:5">
      <c r="B285" s="167"/>
      <c r="C285" s="167"/>
      <c r="D285" s="167"/>
      <c r="E285" s="167"/>
    </row>
    <row r="286" spans="2:5">
      <c r="B286" s="167"/>
      <c r="C286" s="167"/>
      <c r="D286" s="167"/>
      <c r="E286" s="167"/>
    </row>
    <row r="287" spans="2:5">
      <c r="B287" s="167"/>
      <c r="C287" s="167"/>
      <c r="D287" s="167"/>
      <c r="E287" s="167"/>
    </row>
    <row r="288" spans="2:5">
      <c r="B288" s="167"/>
      <c r="C288" s="167"/>
      <c r="D288" s="167"/>
      <c r="E288" s="167"/>
    </row>
    <row r="289" spans="2:5">
      <c r="B289" s="167"/>
      <c r="C289" s="167"/>
      <c r="D289" s="167"/>
      <c r="E289" s="167"/>
    </row>
    <row r="290" spans="2:5">
      <c r="B290" s="167"/>
      <c r="C290" s="167"/>
      <c r="D290" s="167"/>
      <c r="E290" s="167"/>
    </row>
    <row r="291" spans="2:5">
      <c r="B291" s="167"/>
      <c r="C291" s="167"/>
      <c r="D291" s="167"/>
      <c r="E291" s="167"/>
    </row>
    <row r="292" spans="2:5">
      <c r="B292" s="167"/>
      <c r="C292" s="167"/>
      <c r="D292" s="167"/>
      <c r="E292" s="167"/>
    </row>
    <row r="293" spans="2:5">
      <c r="B293" s="167"/>
      <c r="C293" s="167"/>
      <c r="D293" s="167"/>
      <c r="E293" s="167"/>
    </row>
    <row r="294" spans="2:5">
      <c r="B294" s="167"/>
      <c r="C294" s="167"/>
      <c r="D294" s="167"/>
      <c r="E294" s="167"/>
    </row>
    <row r="295" spans="2:5">
      <c r="B295" s="167"/>
      <c r="C295" s="167"/>
      <c r="D295" s="167"/>
      <c r="E295" s="167"/>
    </row>
    <row r="296" spans="2:5">
      <c r="B296" s="167"/>
      <c r="C296" s="167"/>
      <c r="D296" s="167"/>
      <c r="E296" s="167"/>
    </row>
    <row r="297" spans="2:5">
      <c r="B297" s="167"/>
      <c r="C297" s="167"/>
      <c r="D297" s="167"/>
      <c r="E297" s="167"/>
    </row>
    <row r="298" spans="2:5">
      <c r="B298" s="167"/>
      <c r="C298" s="167"/>
      <c r="D298" s="167"/>
      <c r="E298" s="167"/>
    </row>
    <row r="299" spans="2:5">
      <c r="B299" s="167"/>
      <c r="C299" s="167"/>
      <c r="D299" s="167"/>
      <c r="E299" s="167"/>
    </row>
    <row r="300" spans="2:5">
      <c r="B300" s="167"/>
      <c r="C300" s="167"/>
      <c r="D300" s="167"/>
      <c r="E300" s="167"/>
    </row>
    <row r="301" spans="2:5">
      <c r="B301" s="167"/>
      <c r="C301" s="167"/>
      <c r="D301" s="167"/>
      <c r="E301" s="167"/>
    </row>
    <row r="302" spans="2:5">
      <c r="B302" s="167"/>
      <c r="C302" s="167"/>
      <c r="D302" s="167"/>
      <c r="E302" s="167"/>
    </row>
    <row r="303" spans="2:5">
      <c r="B303" s="167"/>
      <c r="C303" s="167"/>
      <c r="D303" s="167"/>
      <c r="E303" s="167"/>
    </row>
    <row r="304" spans="2:5">
      <c r="B304" s="167"/>
      <c r="C304" s="167"/>
      <c r="D304" s="167"/>
      <c r="E304" s="167"/>
    </row>
    <row r="305" spans="2:5">
      <c r="B305" s="167"/>
      <c r="C305" s="167"/>
      <c r="D305" s="167"/>
      <c r="E305" s="167"/>
    </row>
    <row r="306" spans="2:5">
      <c r="B306" s="167"/>
      <c r="C306" s="167"/>
      <c r="D306" s="167"/>
      <c r="E306" s="167"/>
    </row>
    <row r="307" spans="2:5">
      <c r="B307" s="167"/>
      <c r="C307" s="167"/>
      <c r="D307" s="167"/>
      <c r="E307" s="167"/>
    </row>
    <row r="308" spans="2:5">
      <c r="B308" s="167"/>
      <c r="C308" s="167"/>
      <c r="D308" s="167"/>
      <c r="E308" s="167"/>
    </row>
    <row r="309" spans="2:5">
      <c r="B309" s="167"/>
      <c r="C309" s="167"/>
      <c r="D309" s="167"/>
      <c r="E309" s="167"/>
    </row>
    <row r="310" spans="2:5">
      <c r="B310" s="167"/>
      <c r="C310" s="167"/>
      <c r="D310" s="167"/>
      <c r="E310" s="167"/>
    </row>
    <row r="311" spans="2:5">
      <c r="B311" s="167"/>
      <c r="C311" s="167"/>
      <c r="D311" s="167"/>
      <c r="E311" s="167"/>
    </row>
    <row r="312" spans="2:5">
      <c r="B312" s="167"/>
      <c r="C312" s="167"/>
      <c r="D312" s="167"/>
      <c r="E312" s="167"/>
    </row>
    <row r="313" spans="2:5">
      <c r="B313" s="167"/>
      <c r="C313" s="167"/>
      <c r="D313" s="167"/>
      <c r="E313" s="167"/>
    </row>
    <row r="314" spans="2:5">
      <c r="B314" s="167"/>
      <c r="C314" s="167"/>
      <c r="D314" s="167"/>
      <c r="E314" s="167"/>
    </row>
    <row r="315" spans="2:5">
      <c r="B315" s="167"/>
      <c r="C315" s="167"/>
      <c r="D315" s="167"/>
      <c r="E315" s="167"/>
    </row>
    <row r="316" spans="2:5">
      <c r="B316" s="167"/>
      <c r="C316" s="167"/>
      <c r="D316" s="167"/>
      <c r="E316" s="167"/>
    </row>
    <row r="317" spans="2:5">
      <c r="B317" s="167"/>
      <c r="C317" s="167"/>
      <c r="D317" s="167"/>
      <c r="E317" s="167"/>
    </row>
    <row r="318" spans="2:5">
      <c r="B318" s="167"/>
      <c r="C318" s="167"/>
      <c r="D318" s="167"/>
      <c r="E318" s="167"/>
    </row>
    <row r="319" spans="2:5">
      <c r="B319" s="167"/>
      <c r="C319" s="167"/>
      <c r="D319" s="167"/>
      <c r="E319" s="167"/>
    </row>
    <row r="320" spans="2:5">
      <c r="B320" s="167"/>
      <c r="C320" s="167"/>
      <c r="D320" s="167"/>
      <c r="E320" s="167"/>
    </row>
    <row r="321" spans="2:5">
      <c r="B321" s="167"/>
      <c r="C321" s="167"/>
      <c r="D321" s="167"/>
      <c r="E321" s="167"/>
    </row>
    <row r="322" spans="2:5">
      <c r="B322" s="167"/>
      <c r="C322" s="167"/>
      <c r="D322" s="167"/>
      <c r="E322" s="167"/>
    </row>
    <row r="323" spans="2:5">
      <c r="B323" s="167"/>
      <c r="C323" s="167"/>
      <c r="D323" s="167"/>
      <c r="E323" s="167"/>
    </row>
    <row r="324" spans="2:5">
      <c r="B324" s="167"/>
      <c r="C324" s="167"/>
      <c r="D324" s="167"/>
      <c r="E324" s="167"/>
    </row>
    <row r="325" spans="2:5">
      <c r="B325" s="167"/>
      <c r="C325" s="167"/>
      <c r="D325" s="167"/>
      <c r="E325" s="167"/>
    </row>
    <row r="326" spans="2:5">
      <c r="B326" s="167"/>
      <c r="C326" s="167"/>
      <c r="D326" s="167"/>
      <c r="E326" s="167"/>
    </row>
    <row r="327" spans="2:5">
      <c r="B327" s="167"/>
      <c r="C327" s="167"/>
      <c r="D327" s="167"/>
      <c r="E327" s="167"/>
    </row>
    <row r="328" spans="2:5">
      <c r="B328" s="167"/>
      <c r="C328" s="167"/>
      <c r="D328" s="167"/>
      <c r="E328" s="167"/>
    </row>
    <row r="329" spans="2:5">
      <c r="B329" s="167"/>
      <c r="C329" s="167"/>
      <c r="D329" s="167"/>
      <c r="E329" s="167"/>
    </row>
    <row r="330" spans="2:5">
      <c r="B330" s="167"/>
      <c r="C330" s="167"/>
      <c r="D330" s="167"/>
      <c r="E330" s="167"/>
    </row>
    <row r="331" spans="2:5">
      <c r="B331" s="167"/>
      <c r="C331" s="167"/>
      <c r="D331" s="167"/>
      <c r="E331" s="167"/>
    </row>
    <row r="332" spans="2:5">
      <c r="B332" s="167"/>
      <c r="C332" s="167"/>
      <c r="D332" s="167"/>
      <c r="E332" s="167"/>
    </row>
    <row r="333" spans="2:5">
      <c r="B333" s="167"/>
      <c r="C333" s="167"/>
      <c r="D333" s="167"/>
      <c r="E333" s="167"/>
    </row>
    <row r="334" spans="2:5">
      <c r="B334" s="167"/>
      <c r="C334" s="167"/>
      <c r="D334" s="167"/>
      <c r="E334" s="167"/>
    </row>
    <row r="335" spans="2:5">
      <c r="B335" s="167"/>
      <c r="C335" s="167"/>
      <c r="D335" s="167"/>
      <c r="E335" s="167"/>
    </row>
    <row r="336" spans="2:5">
      <c r="B336" s="167"/>
      <c r="C336" s="167"/>
      <c r="D336" s="167"/>
      <c r="E336" s="167"/>
    </row>
    <row r="337" spans="2:5">
      <c r="B337" s="167"/>
      <c r="C337" s="167"/>
      <c r="D337" s="167"/>
      <c r="E337" s="167"/>
    </row>
    <row r="338" spans="2:5">
      <c r="B338" s="167"/>
      <c r="C338" s="167"/>
      <c r="D338" s="167"/>
      <c r="E338" s="167"/>
    </row>
    <row r="339" spans="2:5">
      <c r="B339" s="167"/>
      <c r="C339" s="167"/>
      <c r="D339" s="167"/>
      <c r="E339" s="167"/>
    </row>
    <row r="340" spans="2:5">
      <c r="B340" s="167"/>
      <c r="C340" s="167"/>
      <c r="D340" s="167"/>
      <c r="E340" s="167"/>
    </row>
    <row r="341" spans="2:5">
      <c r="B341" s="167"/>
      <c r="C341" s="167"/>
      <c r="D341" s="167"/>
      <c r="E341" s="167"/>
    </row>
    <row r="342" spans="2:5">
      <c r="B342" s="167"/>
      <c r="C342" s="167"/>
      <c r="D342" s="167"/>
      <c r="E342" s="167"/>
    </row>
    <row r="343" spans="2:5">
      <c r="B343" s="167"/>
      <c r="C343" s="167"/>
      <c r="D343" s="167"/>
      <c r="E343" s="167"/>
    </row>
    <row r="344" spans="2:5">
      <c r="B344" s="167"/>
      <c r="C344" s="167"/>
      <c r="D344" s="167"/>
      <c r="E344" s="167"/>
    </row>
    <row r="345" spans="2:5">
      <c r="B345" s="167"/>
      <c r="C345" s="167"/>
      <c r="D345" s="167"/>
      <c r="E345" s="167"/>
    </row>
    <row r="346" spans="2:5">
      <c r="B346" s="167"/>
      <c r="C346" s="167"/>
      <c r="D346" s="167"/>
      <c r="E346" s="167"/>
    </row>
    <row r="347" spans="2:5">
      <c r="B347" s="167"/>
      <c r="C347" s="167"/>
      <c r="D347" s="167"/>
      <c r="E347" s="167"/>
    </row>
    <row r="348" spans="2:5">
      <c r="B348" s="167"/>
      <c r="C348" s="167"/>
      <c r="D348" s="167"/>
      <c r="E348" s="167"/>
    </row>
    <row r="349" spans="2:5">
      <c r="B349" s="167"/>
      <c r="C349" s="167"/>
      <c r="D349" s="167"/>
      <c r="E349" s="167"/>
    </row>
    <row r="350" spans="2:5">
      <c r="B350" s="167"/>
      <c r="C350" s="167"/>
      <c r="D350" s="167"/>
      <c r="E350" s="167"/>
    </row>
    <row r="351" spans="2:5">
      <c r="B351" s="167"/>
      <c r="C351" s="167"/>
      <c r="D351" s="167"/>
      <c r="E351" s="167"/>
    </row>
    <row r="352" spans="2:5">
      <c r="B352" s="167"/>
      <c r="C352" s="167"/>
      <c r="D352" s="167"/>
      <c r="E352" s="167"/>
    </row>
    <row r="353" spans="2:5">
      <c r="B353" s="167"/>
      <c r="C353" s="167"/>
      <c r="D353" s="167"/>
      <c r="E353" s="167"/>
    </row>
    <row r="354" spans="2:5">
      <c r="B354" s="167"/>
      <c r="C354" s="167"/>
      <c r="D354" s="167"/>
      <c r="E354" s="167"/>
    </row>
    <row r="355" spans="2:5">
      <c r="B355" s="167"/>
      <c r="C355" s="167"/>
      <c r="D355" s="167"/>
      <c r="E355" s="167"/>
    </row>
    <row r="356" spans="2:5">
      <c r="B356" s="167"/>
      <c r="C356" s="167"/>
      <c r="D356" s="167"/>
      <c r="E356" s="167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E2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18.570312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5" hidden="1"/>
    <row r="2" spans="2:5" s="247" customFormat="1" ht="21" customHeight="1">
      <c r="E2" s="225" t="s">
        <v>87</v>
      </c>
    </row>
    <row r="3" spans="2:5" s="247" customFormat="1" ht="15" customHeight="1">
      <c r="E3" s="225" t="s">
        <v>119</v>
      </c>
    </row>
    <row r="4" spans="2:5" s="247" customFormat="1" ht="20.100000000000001" customHeight="1">
      <c r="C4" s="9" t="s">
        <v>47</v>
      </c>
    </row>
    <row r="5" spans="2:5" s="249" customFormat="1">
      <c r="B5" s="248"/>
    </row>
    <row r="6" spans="2:5" s="249" customFormat="1" ht="12.75" customHeight="1">
      <c r="B6" s="248"/>
      <c r="C6" s="250"/>
    </row>
    <row r="7" spans="2:5" s="249" customFormat="1" ht="12.75" customHeight="1">
      <c r="B7" s="248"/>
      <c r="C7" s="626" t="s">
        <v>384</v>
      </c>
      <c r="D7" s="252"/>
      <c r="E7" s="252"/>
    </row>
    <row r="8" spans="2:5" s="249" customFormat="1" ht="12.75" customHeight="1">
      <c r="B8" s="248"/>
      <c r="C8" s="626"/>
      <c r="D8" s="252"/>
      <c r="E8" s="253"/>
    </row>
    <row r="9" spans="2:5" s="249" customFormat="1" ht="12.75" customHeight="1">
      <c r="B9" s="248"/>
      <c r="C9" s="626"/>
      <c r="D9" s="252"/>
      <c r="E9" s="253"/>
    </row>
    <row r="10" spans="2:5" s="249" customFormat="1" ht="12.75" customHeight="1">
      <c r="B10" s="248"/>
      <c r="C10" s="626"/>
      <c r="D10" s="252"/>
      <c r="E10" s="253"/>
    </row>
    <row r="11" spans="2:5" s="249" customFormat="1" ht="12.75" customHeight="1">
      <c r="B11" s="248"/>
      <c r="C11" s="277" t="str">
        <f>TEXT('Data 1'!E252,"#.##0")&amp;" MW"</f>
        <v>98.593 MW</v>
      </c>
      <c r="D11" s="252"/>
      <c r="E11" s="253"/>
    </row>
    <row r="12" spans="2:5" s="249" customFormat="1" ht="12.75" customHeight="1">
      <c r="B12" s="248"/>
      <c r="C12" s="254" t="s">
        <v>140</v>
      </c>
      <c r="D12" s="252"/>
      <c r="E12" s="252"/>
    </row>
    <row r="13" spans="2:5" s="249" customFormat="1" ht="12.75" customHeight="1">
      <c r="B13" s="248"/>
      <c r="D13" s="252"/>
      <c r="E13" s="252"/>
    </row>
    <row r="14" spans="2:5" s="249" customFormat="1" ht="12.75" customHeight="1">
      <c r="B14" s="248"/>
      <c r="C14" s="255"/>
      <c r="D14" s="252"/>
      <c r="E14" s="252"/>
    </row>
    <row r="15" spans="2:5" s="249" customFormat="1" ht="12.75" customHeight="1">
      <c r="B15" s="248"/>
      <c r="D15" s="252"/>
      <c r="E15" s="252"/>
    </row>
    <row r="16" spans="2:5" s="249" customFormat="1" ht="12.75" customHeight="1">
      <c r="B16" s="248"/>
      <c r="C16" s="251"/>
      <c r="D16" s="252"/>
      <c r="E16" s="252"/>
    </row>
    <row r="17" spans="2:5" s="249" customFormat="1" ht="12.75" customHeight="1">
      <c r="B17" s="248"/>
      <c r="C17" s="251"/>
      <c r="D17" s="252"/>
      <c r="E17" s="252"/>
    </row>
    <row r="18" spans="2:5" s="249" customFormat="1" ht="12.75" customHeight="1">
      <c r="B18" s="248"/>
      <c r="C18" s="251"/>
      <c r="D18" s="252"/>
      <c r="E18" s="252"/>
    </row>
    <row r="19" spans="2:5" s="249" customFormat="1" ht="12.75" customHeight="1">
      <c r="B19" s="248"/>
      <c r="C19" s="251"/>
      <c r="D19" s="252"/>
      <c r="E19" s="252"/>
    </row>
    <row r="20" spans="2:5" s="249" customFormat="1" ht="12.75" customHeight="1">
      <c r="B20" s="248"/>
      <c r="C20" s="251"/>
      <c r="D20" s="252"/>
      <c r="E20" s="252"/>
    </row>
    <row r="21" spans="2:5" s="249" customFormat="1" ht="12.75" customHeight="1">
      <c r="B21" s="248"/>
      <c r="C21" s="251"/>
      <c r="D21" s="252"/>
      <c r="E21" s="252"/>
    </row>
    <row r="22" spans="2:5" s="249" customFormat="1" ht="12.75" customHeight="1">
      <c r="B22" s="248"/>
      <c r="C22" s="251"/>
      <c r="D22" s="252"/>
      <c r="E22" s="252"/>
    </row>
    <row r="23" spans="2:5">
      <c r="E23" s="258"/>
    </row>
    <row r="24" spans="2:5">
      <c r="C24" s="257"/>
      <c r="E24" s="258"/>
    </row>
    <row r="25" spans="2:5">
      <c r="C25" s="257"/>
    </row>
    <row r="26" spans="2:5">
      <c r="C26" s="257"/>
    </row>
    <row r="29" spans="2:5" ht="12.75" customHeight="1"/>
  </sheetData>
  <mergeCells count="1">
    <mergeCell ref="C7:C10"/>
  </mergeCells>
  <hyperlinks>
    <hyperlink ref="C4" location="Indice!A1" display="Sistema peninsular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E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18.570312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5" hidden="1"/>
    <row r="2" spans="2:5" s="247" customFormat="1" ht="21" customHeight="1">
      <c r="B2" s="247" t="s">
        <v>35</v>
      </c>
      <c r="E2" s="225" t="s">
        <v>87</v>
      </c>
    </row>
    <row r="3" spans="2:5" s="247" customFormat="1" ht="15" customHeight="1">
      <c r="E3" s="225" t="s">
        <v>119</v>
      </c>
    </row>
    <row r="4" spans="2:5" s="247" customFormat="1" ht="20.100000000000001" customHeight="1">
      <c r="C4" s="168" t="s">
        <v>47</v>
      </c>
    </row>
    <row r="5" spans="2:5" s="249" customFormat="1">
      <c r="B5" s="248"/>
    </row>
    <row r="6" spans="2:5" s="249" customFormat="1" ht="12.75" customHeight="1">
      <c r="B6" s="248"/>
      <c r="C6" s="250"/>
    </row>
    <row r="7" spans="2:5" s="249" customFormat="1" ht="12.75" customHeight="1">
      <c r="B7" s="248"/>
      <c r="C7" s="626" t="s">
        <v>385</v>
      </c>
      <c r="D7" s="252"/>
      <c r="E7" s="252"/>
    </row>
    <row r="8" spans="2:5" s="249" customFormat="1" ht="12.75" customHeight="1">
      <c r="B8" s="248"/>
      <c r="C8" s="626"/>
      <c r="D8" s="252"/>
      <c r="E8" s="253"/>
    </row>
    <row r="9" spans="2:5" s="249" customFormat="1" ht="12.75" customHeight="1">
      <c r="B9" s="248"/>
      <c r="C9" s="626"/>
      <c r="D9" s="252"/>
      <c r="E9" s="253"/>
    </row>
    <row r="10" spans="2:5" s="249" customFormat="1" ht="12.75" customHeight="1">
      <c r="B10" s="248"/>
      <c r="C10" s="626"/>
      <c r="D10" s="252"/>
      <c r="E10" s="253"/>
    </row>
    <row r="11" spans="2:5" s="249" customFormat="1" ht="12.75" customHeight="1">
      <c r="B11" s="248"/>
      <c r="C11" s="254" t="s">
        <v>140</v>
      </c>
      <c r="D11" s="252"/>
      <c r="E11" s="253"/>
    </row>
    <row r="12" spans="2:5" s="249" customFormat="1" ht="12.75" customHeight="1">
      <c r="B12" s="248"/>
      <c r="D12" s="252"/>
      <c r="E12" s="252"/>
    </row>
    <row r="13" spans="2:5" s="249" customFormat="1" ht="12.75" customHeight="1">
      <c r="B13" s="248"/>
      <c r="D13" s="252"/>
      <c r="E13" s="252"/>
    </row>
    <row r="14" spans="2:5" s="249" customFormat="1" ht="12.75" customHeight="1">
      <c r="B14" s="248"/>
      <c r="C14" s="255"/>
      <c r="D14" s="252"/>
      <c r="E14" s="252"/>
    </row>
    <row r="15" spans="2:5" s="249" customFormat="1" ht="12.75" customHeight="1">
      <c r="B15" s="248"/>
      <c r="D15" s="252"/>
      <c r="E15" s="252"/>
    </row>
    <row r="16" spans="2:5" s="249" customFormat="1" ht="12.75" customHeight="1">
      <c r="B16" s="248"/>
      <c r="C16" s="251"/>
      <c r="D16" s="252"/>
      <c r="E16" s="252"/>
    </row>
    <row r="17" spans="2:5" s="249" customFormat="1" ht="12.75" customHeight="1">
      <c r="B17" s="248"/>
      <c r="C17" s="251"/>
      <c r="D17" s="252"/>
      <c r="E17" s="252"/>
    </row>
    <row r="18" spans="2:5" s="249" customFormat="1" ht="12.75" customHeight="1">
      <c r="B18" s="248"/>
      <c r="C18" s="251"/>
      <c r="D18" s="252"/>
      <c r="E18" s="252"/>
    </row>
    <row r="19" spans="2:5" s="249" customFormat="1" ht="12.75" customHeight="1">
      <c r="B19" s="248"/>
      <c r="C19" s="251"/>
      <c r="D19" s="252"/>
      <c r="E19" s="252"/>
    </row>
    <row r="20" spans="2:5" s="249" customFormat="1" ht="12.75" customHeight="1">
      <c r="B20" s="248"/>
      <c r="C20" s="251"/>
      <c r="D20" s="252"/>
      <c r="E20" s="252"/>
    </row>
    <row r="21" spans="2:5" s="249" customFormat="1" ht="12.75" customHeight="1">
      <c r="B21" s="248"/>
      <c r="C21" s="251"/>
      <c r="D21" s="252"/>
      <c r="E21" s="252"/>
    </row>
    <row r="22" spans="2:5" s="249" customFormat="1" ht="12.75" customHeight="1">
      <c r="B22" s="248"/>
      <c r="C22" s="251"/>
      <c r="D22" s="252"/>
      <c r="E22" s="273" t="s">
        <v>177</v>
      </c>
    </row>
    <row r="23" spans="2:5">
      <c r="E23" s="258"/>
    </row>
    <row r="24" spans="2:5">
      <c r="C24" s="626" t="s">
        <v>404</v>
      </c>
      <c r="E24" s="258"/>
    </row>
    <row r="25" spans="2:5">
      <c r="C25" s="626"/>
    </row>
    <row r="26" spans="2:5">
      <c r="C26" s="626"/>
    </row>
    <row r="27" spans="2:5">
      <c r="C27" s="626"/>
    </row>
    <row r="28" spans="2:5">
      <c r="C28" s="254" t="s">
        <v>140</v>
      </c>
    </row>
    <row r="29" spans="2:5" ht="12.75" customHeight="1"/>
    <row r="39" spans="5:5">
      <c r="E39" s="273" t="s">
        <v>177</v>
      </c>
    </row>
  </sheetData>
  <mergeCells count="2">
    <mergeCell ref="C7:C10"/>
    <mergeCell ref="C24:C27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E2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18.570312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5" hidden="1"/>
    <row r="2" spans="2:5" s="247" customFormat="1" ht="21" customHeight="1">
      <c r="E2" s="225" t="s">
        <v>87</v>
      </c>
    </row>
    <row r="3" spans="2:5" s="247" customFormat="1" ht="15" customHeight="1">
      <c r="E3" s="225" t="s">
        <v>119</v>
      </c>
    </row>
    <row r="4" spans="2:5" s="247" customFormat="1" ht="20.100000000000001" customHeight="1">
      <c r="C4" s="168" t="s">
        <v>47</v>
      </c>
    </row>
    <row r="5" spans="2:5" s="249" customFormat="1">
      <c r="B5" s="248"/>
    </row>
    <row r="6" spans="2:5" s="249" customFormat="1" ht="12.75" customHeight="1">
      <c r="B6" s="248"/>
      <c r="C6" s="250"/>
    </row>
    <row r="7" spans="2:5" s="249" customFormat="1" ht="12.75" customHeight="1">
      <c r="B7" s="248"/>
      <c r="C7" s="626" t="s">
        <v>386</v>
      </c>
      <c r="D7" s="252"/>
      <c r="E7" s="252"/>
    </row>
    <row r="8" spans="2:5" s="249" customFormat="1" ht="12.75" customHeight="1">
      <c r="B8" s="248"/>
      <c r="C8" s="626"/>
      <c r="D8" s="252"/>
      <c r="E8" s="253"/>
    </row>
    <row r="9" spans="2:5" s="249" customFormat="1" ht="12.75" customHeight="1">
      <c r="B9" s="248"/>
      <c r="C9" s="626"/>
      <c r="D9" s="252"/>
      <c r="E9" s="253"/>
    </row>
    <row r="10" spans="2:5" s="249" customFormat="1" ht="12.75" customHeight="1">
      <c r="B10" s="248"/>
      <c r="C10" s="626"/>
      <c r="D10" s="252"/>
      <c r="E10" s="253"/>
    </row>
    <row r="11" spans="2:5" s="249" customFormat="1" ht="12.75" customHeight="1">
      <c r="B11" s="248"/>
      <c r="C11" s="254" t="s">
        <v>181</v>
      </c>
      <c r="D11" s="252"/>
      <c r="E11" s="253"/>
    </row>
    <row r="12" spans="2:5" s="249" customFormat="1" ht="12.75" customHeight="1">
      <c r="B12" s="248"/>
      <c r="C12" s="278" t="s">
        <v>363</v>
      </c>
      <c r="D12" s="252"/>
      <c r="E12" s="252"/>
    </row>
    <row r="13" spans="2:5" s="249" customFormat="1" ht="12.75" customHeight="1">
      <c r="B13" s="248"/>
      <c r="C13" s="278" t="s">
        <v>364</v>
      </c>
      <c r="D13" s="252"/>
      <c r="E13" s="252"/>
    </row>
    <row r="14" spans="2:5" s="249" customFormat="1" ht="12.75" customHeight="1">
      <c r="B14" s="248"/>
      <c r="C14" s="254" t="s">
        <v>140</v>
      </c>
      <c r="D14" s="252"/>
      <c r="E14" s="252"/>
    </row>
    <row r="15" spans="2:5" s="249" customFormat="1" ht="12.75" customHeight="1">
      <c r="B15" s="248"/>
      <c r="D15" s="252"/>
      <c r="E15" s="252"/>
    </row>
    <row r="16" spans="2:5" s="249" customFormat="1" ht="12.75" customHeight="1">
      <c r="B16" s="248"/>
      <c r="C16" s="251"/>
      <c r="D16" s="252"/>
      <c r="E16" s="252"/>
    </row>
    <row r="17" spans="2:5" s="249" customFormat="1" ht="12.75" customHeight="1">
      <c r="B17" s="248"/>
      <c r="C17" s="251"/>
      <c r="D17" s="252"/>
      <c r="E17" s="252"/>
    </row>
    <row r="18" spans="2:5" s="249" customFormat="1" ht="12.75" customHeight="1">
      <c r="B18" s="248"/>
      <c r="C18" s="251"/>
      <c r="D18" s="252"/>
      <c r="E18" s="252"/>
    </row>
    <row r="19" spans="2:5" s="249" customFormat="1" ht="12.75" customHeight="1">
      <c r="B19" s="248"/>
      <c r="C19" s="251"/>
      <c r="D19" s="252"/>
      <c r="E19" s="252"/>
    </row>
    <row r="20" spans="2:5" s="249" customFormat="1" ht="12.75" customHeight="1">
      <c r="B20" s="248"/>
      <c r="C20" s="251"/>
      <c r="D20" s="252"/>
      <c r="E20" s="252"/>
    </row>
    <row r="21" spans="2:5" s="249" customFormat="1" ht="12.75" customHeight="1">
      <c r="B21" s="248"/>
      <c r="C21" s="251"/>
      <c r="D21" s="252"/>
      <c r="E21" s="252"/>
    </row>
    <row r="22" spans="2:5" s="249" customFormat="1" ht="12.75" customHeight="1">
      <c r="B22" s="248"/>
      <c r="C22" s="251"/>
      <c r="D22" s="252"/>
      <c r="E22" s="273" t="s">
        <v>177</v>
      </c>
    </row>
    <row r="23" spans="2:5">
      <c r="E23" s="258"/>
    </row>
    <row r="24" spans="2:5">
      <c r="C24" s="257"/>
      <c r="E24" s="258"/>
    </row>
    <row r="25" spans="2:5">
      <c r="C25" s="257"/>
    </row>
    <row r="26" spans="2:5">
      <c r="C26" s="257"/>
    </row>
    <row r="29" spans="2:5" ht="12.75" customHeight="1"/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showGridLines="0" showRowColHeaders="0" zoomScaleNormal="100" zoomScaleSheetLayoutView="100" workbookViewId="0"/>
  </sheetViews>
  <sheetFormatPr baseColWidth="10" defaultColWidth="11.42578125" defaultRowHeight="15"/>
  <cols>
    <col min="1" max="1" width="2.7109375" style="577" customWidth="1"/>
    <col min="2" max="2" width="23.7109375" style="577" customWidth="1"/>
    <col min="3" max="3" width="8.7109375" style="577" bestFit="1" customWidth="1"/>
    <col min="4" max="4" width="8.140625" style="577" bestFit="1" customWidth="1"/>
    <col min="5" max="5" width="9.5703125" style="577" bestFit="1" customWidth="1"/>
    <col min="6" max="6" width="8.42578125" style="577" customWidth="1"/>
    <col min="7" max="7" width="8.5703125" style="577" customWidth="1"/>
    <col min="8" max="8" width="8.140625" style="577" bestFit="1" customWidth="1"/>
    <col min="9" max="10" width="9.5703125" style="577" bestFit="1" customWidth="1"/>
    <col min="11" max="16384" width="11.42578125" style="577"/>
  </cols>
  <sheetData>
    <row r="1" spans="2:12" ht="21" customHeight="1">
      <c r="L1" s="437" t="s">
        <v>87</v>
      </c>
    </row>
    <row r="2" spans="2:12" ht="15" customHeight="1">
      <c r="L2" s="437" t="s">
        <v>119</v>
      </c>
    </row>
    <row r="3" spans="2:12" ht="20.25" customHeight="1">
      <c r="B3" s="168" t="s">
        <v>136</v>
      </c>
    </row>
    <row r="4" spans="2:12" ht="22.5" customHeight="1"/>
    <row r="5" spans="2:12" ht="47.25" customHeight="1">
      <c r="B5" s="576" t="s">
        <v>435</v>
      </c>
    </row>
    <row r="6" spans="2:12">
      <c r="B6" s="584"/>
    </row>
    <row r="7" spans="2:12">
      <c r="B7" s="584"/>
    </row>
    <row r="8" spans="2:12">
      <c r="B8" s="584"/>
    </row>
    <row r="9" spans="2:12">
      <c r="B9" s="15"/>
    </row>
    <row r="16" spans="2:12" ht="14.25" customHeight="1"/>
    <row r="17" spans="5:13" ht="15" customHeight="1">
      <c r="H17" s="578"/>
    </row>
    <row r="25" spans="5:13">
      <c r="J25" s="579"/>
      <c r="K25" s="598" t="s">
        <v>443</v>
      </c>
      <c r="M25" s="598"/>
    </row>
    <row r="26" spans="5:13">
      <c r="J26" s="580"/>
      <c r="K26" s="598" t="s">
        <v>444</v>
      </c>
      <c r="M26" s="598"/>
    </row>
    <row r="27" spans="5:13">
      <c r="E27" s="581"/>
      <c r="J27" s="582"/>
      <c r="K27" s="598" t="s">
        <v>445</v>
      </c>
      <c r="M27" s="598"/>
    </row>
    <row r="28" spans="5:13">
      <c r="E28" s="581"/>
      <c r="J28" s="583"/>
      <c r="K28" s="598" t="s">
        <v>438</v>
      </c>
      <c r="M28" s="598"/>
    </row>
    <row r="29" spans="5:13">
      <c r="E29" s="581"/>
    </row>
    <row r="30" spans="5:13">
      <c r="E30" s="581"/>
    </row>
    <row r="31" spans="5:13">
      <c r="E31" s="581"/>
    </row>
    <row r="32" spans="5:13">
      <c r="E32" s="581"/>
    </row>
    <row r="33" spans="4:5">
      <c r="E33" s="581"/>
    </row>
    <row r="34" spans="4:5">
      <c r="E34" s="581"/>
    </row>
    <row r="35" spans="4:5">
      <c r="D35" s="581"/>
      <c r="E35" s="581"/>
    </row>
    <row r="36" spans="4:5">
      <c r="D36" s="581"/>
      <c r="E36" s="581"/>
    </row>
    <row r="37" spans="4:5">
      <c r="E37" s="581"/>
    </row>
    <row r="38" spans="4:5">
      <c r="E38" s="581"/>
    </row>
    <row r="39" spans="4:5">
      <c r="E39" s="581"/>
    </row>
    <row r="40" spans="4:5">
      <c r="E40" s="581"/>
    </row>
    <row r="41" spans="4:5">
      <c r="E41" s="581"/>
    </row>
    <row r="42" spans="4:5">
      <c r="E42" s="581"/>
    </row>
    <row r="43" spans="4:5">
      <c r="E43" s="581"/>
    </row>
  </sheetData>
  <hyperlinks>
    <hyperlink ref="B3" location="Indice!A1" display="Balance eléctrico, potencia instalada y red de transporte"/>
  </hyperlink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183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140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202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203</v>
      </c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193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91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7" s="181" customFormat="1" ht="12.75" customHeight="1">
      <c r="C17" s="182"/>
      <c r="D17" s="184"/>
      <c r="E17" s="186"/>
    </row>
    <row r="18" spans="3:7" s="181" customFormat="1" ht="12.75" customHeight="1">
      <c r="C18" s="182"/>
      <c r="D18" s="184"/>
      <c r="E18" s="186"/>
    </row>
    <row r="19" spans="3:7" s="181" customFormat="1" ht="12.75" customHeight="1">
      <c r="C19" s="182"/>
      <c r="D19" s="184"/>
      <c r="E19" s="186"/>
    </row>
    <row r="20" spans="3:7" s="181" customFormat="1" ht="12.75" customHeight="1">
      <c r="C20" s="182"/>
      <c r="D20" s="184"/>
      <c r="E20" s="186"/>
    </row>
    <row r="21" spans="3:7" s="181" customFormat="1" ht="12.75" customHeight="1">
      <c r="C21" s="182"/>
      <c r="D21" s="184"/>
      <c r="E21" s="186"/>
    </row>
    <row r="22" spans="3:7">
      <c r="E22" s="297"/>
    </row>
    <row r="23" spans="3:7">
      <c r="E23" s="297"/>
    </row>
    <row r="24" spans="3:7">
      <c r="E24" s="297"/>
    </row>
    <row r="25" spans="3:7">
      <c r="E25" s="303"/>
      <c r="F25" s="304"/>
      <c r="G25" s="304"/>
    </row>
    <row r="26" spans="3:7">
      <c r="F26" s="303"/>
      <c r="G26" s="303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195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91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7" s="181" customFormat="1" ht="12.75" customHeight="1">
      <c r="C17" s="182"/>
      <c r="D17" s="184"/>
      <c r="E17" s="186"/>
    </row>
    <row r="18" spans="3:7" s="181" customFormat="1" ht="12.75" customHeight="1">
      <c r="C18" s="182"/>
      <c r="D18" s="184"/>
      <c r="E18" s="186"/>
    </row>
    <row r="19" spans="3:7" s="181" customFormat="1" ht="12.75" customHeight="1">
      <c r="C19" s="182"/>
      <c r="D19" s="184"/>
      <c r="E19" s="186"/>
    </row>
    <row r="20" spans="3:7" s="181" customFormat="1" ht="12.75" customHeight="1">
      <c r="C20" s="182"/>
      <c r="D20" s="184"/>
      <c r="E20" s="186"/>
    </row>
    <row r="21" spans="3:7" s="181" customFormat="1" ht="12.75" customHeight="1">
      <c r="C21" s="182"/>
      <c r="D21" s="184"/>
      <c r="E21" s="186"/>
    </row>
    <row r="22" spans="3:7">
      <c r="E22" s="297"/>
    </row>
    <row r="23" spans="3:7">
      <c r="E23" s="297"/>
    </row>
    <row r="24" spans="3:7">
      <c r="E24" s="297"/>
    </row>
    <row r="25" spans="3:7">
      <c r="E25" s="304" t="s">
        <v>192</v>
      </c>
      <c r="F25" s="304"/>
      <c r="G25" s="304"/>
    </row>
    <row r="26" spans="3:7">
      <c r="E26" s="303"/>
      <c r="F26" s="303"/>
      <c r="G26" s="303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H14"/>
  <sheetViews>
    <sheetView showGridLines="0" showRowColHeaders="0" topLeftCell="A2" workbookViewId="0">
      <selection activeCell="A2" sqref="A2: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11.42578125" style="167" customWidth="1"/>
    <col min="6" max="7" width="11.42578125" style="167"/>
    <col min="8" max="8" width="14.5703125" style="167" customWidth="1"/>
    <col min="9" max="16384" width="11.42578125" style="167"/>
  </cols>
  <sheetData>
    <row r="1" spans="3:8" ht="0.6" customHeight="1"/>
    <row r="2" spans="3:8" ht="21" customHeight="1">
      <c r="H2" s="225" t="s">
        <v>87</v>
      </c>
    </row>
    <row r="3" spans="3:8" ht="15" customHeight="1">
      <c r="H3" s="225" t="s">
        <v>119</v>
      </c>
    </row>
    <row r="4" spans="3:8" ht="19.899999999999999" customHeight="1">
      <c r="C4" s="9" t="s">
        <v>47</v>
      </c>
    </row>
    <row r="5" spans="3:8" ht="12.6" customHeight="1"/>
    <row r="7" spans="3:8" ht="12.75" customHeight="1">
      <c r="C7" s="624" t="s">
        <v>86</v>
      </c>
      <c r="E7" s="169"/>
      <c r="F7" s="226"/>
      <c r="G7" s="239"/>
      <c r="H7" s="627" t="s">
        <v>196</v>
      </c>
    </row>
    <row r="8" spans="3:8">
      <c r="C8" s="624"/>
      <c r="E8" s="170"/>
      <c r="F8" s="171" t="s">
        <v>1</v>
      </c>
      <c r="G8" s="171" t="s">
        <v>70</v>
      </c>
      <c r="H8" s="628"/>
    </row>
    <row r="9" spans="3:8">
      <c r="E9" s="28">
        <v>2014</v>
      </c>
      <c r="F9" s="342">
        <v>40271.072641503997</v>
      </c>
      <c r="G9" s="344">
        <v>1.3450738172652816</v>
      </c>
      <c r="H9" s="344">
        <v>14.563853199694643</v>
      </c>
    </row>
    <row r="10" spans="3:8">
      <c r="E10" s="28">
        <v>2015</v>
      </c>
      <c r="F10" s="342">
        <v>25140.895262850001</v>
      </c>
      <c r="G10" s="344">
        <v>0.82064663448889963</v>
      </c>
      <c r="H10" s="344">
        <v>78.995941813692511</v>
      </c>
    </row>
    <row r="11" spans="3:8">
      <c r="E11" s="28">
        <v>2016</v>
      </c>
      <c r="F11" s="342">
        <v>34666.883405772001</v>
      </c>
      <c r="G11" s="344">
        <v>1.1243663743130567</v>
      </c>
      <c r="H11" s="344">
        <v>37.337980074161706</v>
      </c>
    </row>
    <row r="12" spans="3:8">
      <c r="E12" s="28">
        <v>2017</v>
      </c>
      <c r="F12" s="342">
        <v>15972.007925036</v>
      </c>
      <c r="G12" s="344">
        <v>0.52691726423567176</v>
      </c>
      <c r="H12" s="344">
        <v>99.282426066621127</v>
      </c>
    </row>
    <row r="13" spans="3:8">
      <c r="E13" s="345">
        <v>2018</v>
      </c>
      <c r="F13" s="346">
        <v>37385.604628769499</v>
      </c>
      <c r="G13" s="604">
        <v>1.2815946230491146</v>
      </c>
      <c r="H13" s="604">
        <v>17.211562259660884</v>
      </c>
    </row>
    <row r="14" spans="3:8">
      <c r="E14" s="176"/>
      <c r="F14" s="177"/>
      <c r="G14" s="177"/>
      <c r="H14" s="177"/>
    </row>
  </sheetData>
  <mergeCells count="2">
    <mergeCell ref="C7:C8"/>
    <mergeCell ref="H7:H8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25" t="s">
        <v>87</v>
      </c>
    </row>
    <row r="3" spans="3:5" ht="15" customHeight="1">
      <c r="E3" s="225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374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91</v>
      </c>
      <c r="E11" s="186"/>
    </row>
    <row r="12" spans="3:5" s="181" customFormat="1" ht="12.75" customHeight="1"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7" s="181" customFormat="1" ht="12.75" customHeight="1">
      <c r="C17" s="182"/>
      <c r="D17" s="184"/>
      <c r="E17" s="186"/>
    </row>
    <row r="18" spans="3:7" s="181" customFormat="1" ht="12.75" customHeight="1">
      <c r="C18" s="182"/>
      <c r="D18" s="184"/>
      <c r="E18" s="186"/>
    </row>
    <row r="19" spans="3:7" s="181" customFormat="1" ht="12.75" customHeight="1">
      <c r="C19" s="182"/>
      <c r="D19" s="184"/>
      <c r="E19" s="186"/>
    </row>
    <row r="20" spans="3:7" s="181" customFormat="1" ht="12.75" customHeight="1">
      <c r="C20" s="182"/>
      <c r="D20" s="184"/>
      <c r="E20" s="186"/>
    </row>
    <row r="21" spans="3:7" s="181" customFormat="1" ht="12.75" customHeight="1">
      <c r="C21" s="182"/>
      <c r="D21" s="184"/>
      <c r="E21" s="186"/>
    </row>
    <row r="22" spans="3:7">
      <c r="E22" s="297"/>
    </row>
    <row r="23" spans="3:7">
      <c r="E23" s="297"/>
    </row>
    <row r="24" spans="3:7">
      <c r="E24" s="297"/>
    </row>
    <row r="25" spans="3:7">
      <c r="E25" s="304"/>
      <c r="F25" s="304"/>
      <c r="G25" s="304"/>
    </row>
    <row r="26" spans="3:7">
      <c r="E26" s="303"/>
      <c r="F26" s="303"/>
      <c r="G26" s="303"/>
    </row>
    <row r="31" spans="3:7" ht="15" customHeight="1"/>
    <row r="32" spans="3:7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J12"/>
  <sheetViews>
    <sheetView showGridLines="0" showRowColHeaders="0" topLeftCell="A2" workbookViewId="0">
      <selection activeCell="B2" sqref="B1: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14.42578125" style="167" bestFit="1" customWidth="1"/>
    <col min="6" max="16384" width="11.42578125" style="167"/>
  </cols>
  <sheetData>
    <row r="1" spans="3:10" ht="0.6" customHeight="1"/>
    <row r="2" spans="3:10" ht="21" customHeight="1">
      <c r="J2" s="225" t="s">
        <v>87</v>
      </c>
    </row>
    <row r="3" spans="3:10" ht="15" customHeight="1">
      <c r="J3" s="225" t="s">
        <v>119</v>
      </c>
    </row>
    <row r="4" spans="3:10" ht="19.899999999999999" customHeight="1">
      <c r="C4" s="9" t="s">
        <v>47</v>
      </c>
    </row>
    <row r="5" spans="3:10" ht="12.6" customHeight="1"/>
    <row r="7" spans="3:10" ht="12.75" customHeight="1">
      <c r="C7" s="624" t="s">
        <v>375</v>
      </c>
      <c r="E7" s="169"/>
      <c r="F7" s="239"/>
      <c r="G7" s="629">
        <v>2017</v>
      </c>
      <c r="H7" s="629"/>
      <c r="I7" s="629">
        <v>2018</v>
      </c>
      <c r="J7" s="629"/>
    </row>
    <row r="8" spans="3:10">
      <c r="C8" s="624"/>
      <c r="E8" s="170"/>
      <c r="F8" s="171" t="s">
        <v>30</v>
      </c>
      <c r="G8" s="171" t="s">
        <v>1</v>
      </c>
      <c r="H8" s="171" t="s">
        <v>201</v>
      </c>
      <c r="I8" s="171" t="s">
        <v>1</v>
      </c>
      <c r="J8" s="171" t="s">
        <v>201</v>
      </c>
    </row>
    <row r="9" spans="3:10">
      <c r="C9" s="624"/>
      <c r="E9" s="28" t="s">
        <v>274</v>
      </c>
      <c r="F9" s="342">
        <v>8966.8790000000008</v>
      </c>
      <c r="G9" s="342">
        <v>2616.62727</v>
      </c>
      <c r="H9" s="173">
        <v>29.181025750431111</v>
      </c>
      <c r="I9" s="342">
        <v>4716.5233230898984</v>
      </c>
      <c r="J9" s="344">
        <f>(I9/F9)*100</f>
        <v>52.599386286910956</v>
      </c>
    </row>
    <row r="10" spans="3:10">
      <c r="E10" s="28" t="s">
        <v>275</v>
      </c>
      <c r="F10" s="342">
        <v>9571.1920000000009</v>
      </c>
      <c r="G10" s="342">
        <v>2266.7847160000001</v>
      </c>
      <c r="H10" s="173">
        <v>23.683410760122673</v>
      </c>
      <c r="I10" s="342">
        <v>3455.6965058076044</v>
      </c>
      <c r="J10" s="344">
        <f t="shared" ref="J10:J11" si="0">(I10/F10)*100</f>
        <v>36.105184242543707</v>
      </c>
    </row>
    <row r="11" spans="3:10">
      <c r="E11" s="345" t="s">
        <v>276</v>
      </c>
      <c r="F11" s="346">
        <f>SUM(F9:F10)</f>
        <v>18538.071000000004</v>
      </c>
      <c r="G11" s="346">
        <f>SUM(G9:G10)</f>
        <v>4883.4119860000001</v>
      </c>
      <c r="H11" s="347">
        <v>26.342611299740948</v>
      </c>
      <c r="I11" s="346">
        <f>SUM(I9:I10)</f>
        <v>8172.2198288975032</v>
      </c>
      <c r="J11" s="348">
        <f t="shared" si="0"/>
        <v>44.083442278851457</v>
      </c>
    </row>
    <row r="12" spans="3:10">
      <c r="E12" s="176"/>
      <c r="F12" s="177"/>
      <c r="G12" s="177"/>
      <c r="H12" s="177"/>
      <c r="I12" s="177"/>
      <c r="J12" s="177"/>
    </row>
  </sheetData>
  <mergeCells count="3">
    <mergeCell ref="G7:H7"/>
    <mergeCell ref="I7:J7"/>
    <mergeCell ref="C7:C9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238" t="s">
        <v>87</v>
      </c>
    </row>
    <row r="3" spans="3:5" ht="15" customHeight="1">
      <c r="E3" s="238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277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179" t="s">
        <v>91</v>
      </c>
      <c r="E9" s="186"/>
    </row>
    <row r="10" spans="3:5" s="181" customFormat="1" ht="12.75" customHeight="1"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25" spans="3:5">
      <c r="E25" s="350" t="s">
        <v>278</v>
      </c>
    </row>
    <row r="31" spans="3:5" ht="15" customHeight="1"/>
    <row r="32" spans="3:5" ht="9.75" customHeight="1"/>
  </sheetData>
  <mergeCells count="1"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337" t="s">
        <v>87</v>
      </c>
    </row>
    <row r="3" spans="3:5" ht="15" customHeight="1">
      <c r="E3" s="337" t="s">
        <v>119</v>
      </c>
    </row>
    <row r="4" spans="3:5" s="181" customFormat="1" ht="19.899999999999999" customHeight="1">
      <c r="C4" s="168" t="s">
        <v>47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279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179" t="s">
        <v>135</v>
      </c>
      <c r="E9" s="186"/>
    </row>
    <row r="10" spans="3:5" s="181" customFormat="1" ht="12.75" customHeight="1"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7" s="181" customFormat="1" ht="12.75" customHeight="1">
      <c r="C17" s="182"/>
      <c r="D17" s="184"/>
      <c r="E17" s="186"/>
    </row>
    <row r="18" spans="3:7" s="181" customFormat="1" ht="12.75" customHeight="1">
      <c r="C18" s="182"/>
      <c r="D18" s="184"/>
      <c r="E18" s="186"/>
    </row>
    <row r="19" spans="3:7" s="181" customFormat="1" ht="12.75" customHeight="1">
      <c r="C19" s="182"/>
      <c r="D19" s="184"/>
      <c r="E19" s="186"/>
    </row>
    <row r="20" spans="3:7" s="181" customFormat="1" ht="12.75" customHeight="1">
      <c r="C20" s="182"/>
      <c r="D20" s="184"/>
      <c r="E20" s="186"/>
    </row>
    <row r="21" spans="3:7" s="181" customFormat="1" ht="12.75" customHeight="1">
      <c r="C21" s="182"/>
      <c r="D21" s="184"/>
      <c r="E21" s="186"/>
    </row>
    <row r="22" spans="3:7">
      <c r="E22" s="297"/>
    </row>
    <row r="23" spans="3:7">
      <c r="E23" s="297"/>
    </row>
    <row r="24" spans="3:7">
      <c r="E24" s="297"/>
    </row>
    <row r="25" spans="3:7">
      <c r="E25" s="338" t="s">
        <v>280</v>
      </c>
      <c r="F25" s="304"/>
      <c r="G25" s="304"/>
    </row>
    <row r="26" spans="3:7">
      <c r="E26" s="352" t="s">
        <v>464</v>
      </c>
      <c r="F26" s="303"/>
      <c r="G26" s="303"/>
    </row>
    <row r="31" spans="3:7" ht="15" customHeight="1"/>
    <row r="32" spans="3:7" ht="9.75" customHeight="1"/>
  </sheetData>
  <mergeCells count="1"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3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26.7109375" style="167" bestFit="1" customWidth="1"/>
    <col min="6" max="8" width="11.42578125" style="167" customWidth="1"/>
    <col min="9" max="16384" width="11.42578125" style="167"/>
  </cols>
  <sheetData>
    <row r="1" spans="3:10" ht="0.6" customHeight="1"/>
    <row r="2" spans="3:10" ht="21" customHeight="1">
      <c r="J2" s="337" t="s">
        <v>87</v>
      </c>
    </row>
    <row r="3" spans="3:10" ht="15" customHeight="1">
      <c r="J3" s="337" t="s">
        <v>119</v>
      </c>
    </row>
    <row r="4" spans="3:10" ht="19.899999999999999" customHeight="1">
      <c r="C4" s="9" t="s">
        <v>47</v>
      </c>
    </row>
    <row r="5" spans="3:10" ht="12.6" customHeight="1"/>
    <row r="7" spans="3:10" ht="12.75" customHeight="1">
      <c r="C7" s="624" t="s">
        <v>281</v>
      </c>
      <c r="E7" s="169"/>
      <c r="F7" s="340"/>
      <c r="G7" s="239"/>
      <c r="H7" s="356"/>
      <c r="I7" s="356"/>
      <c r="J7" s="356"/>
    </row>
    <row r="8" spans="3:10">
      <c r="C8" s="624"/>
      <c r="E8" s="170"/>
      <c r="F8" s="357">
        <v>2014</v>
      </c>
      <c r="G8" s="357">
        <v>2015</v>
      </c>
      <c r="H8" s="358">
        <v>2016</v>
      </c>
      <c r="I8" s="358">
        <v>2017</v>
      </c>
      <c r="J8" s="359" t="s">
        <v>284</v>
      </c>
    </row>
    <row r="9" spans="3:10">
      <c r="C9" s="624"/>
      <c r="E9" s="28" t="s">
        <v>33</v>
      </c>
      <c r="F9" s="342">
        <f>'Data 3'!F29</f>
        <v>21093.512000000002</v>
      </c>
      <c r="G9" s="342">
        <f>'Data 3'!G29</f>
        <v>21183.826000000001</v>
      </c>
      <c r="H9" s="342">
        <f>'Data 3'!H29</f>
        <v>21618.968000000001</v>
      </c>
      <c r="I9" s="342">
        <f>'Data 3'!I29</f>
        <v>21727.929</v>
      </c>
      <c r="J9" s="405">
        <f>'Data 3'!J29</f>
        <v>21729.688999999998</v>
      </c>
    </row>
    <row r="10" spans="3:10">
      <c r="E10" s="28" t="s">
        <v>283</v>
      </c>
      <c r="F10" s="342">
        <f>'Data 3'!F32</f>
        <v>18784.958560000006</v>
      </c>
      <c r="G10" s="342">
        <f>'Data 3'!G32</f>
        <v>18925.261560000006</v>
      </c>
      <c r="H10" s="342">
        <f>'Data 3'!H32</f>
        <v>19013.238560000009</v>
      </c>
      <c r="I10" s="342">
        <f>'Data 3'!I32</f>
        <v>19038.601270000006</v>
      </c>
      <c r="J10" s="405">
        <f>'Data 3'!J32</f>
        <v>19132.893270000008</v>
      </c>
    </row>
    <row r="11" spans="3:10">
      <c r="E11" s="174" t="s">
        <v>282</v>
      </c>
      <c r="F11" s="343">
        <f>'Data 3'!F34</f>
        <v>79271.48</v>
      </c>
      <c r="G11" s="343">
        <f>'Data 3'!G34</f>
        <v>79271.48</v>
      </c>
      <c r="H11" s="343">
        <f>'Data 3'!H34</f>
        <v>79871.48</v>
      </c>
      <c r="I11" s="343">
        <f>'Data 3'!I34</f>
        <v>80421.48</v>
      </c>
      <c r="J11" s="346">
        <f>'Data 3'!J34</f>
        <v>82103.48</v>
      </c>
    </row>
    <row r="12" spans="3:10">
      <c r="E12" s="630" t="s">
        <v>280</v>
      </c>
      <c r="F12" s="630"/>
      <c r="G12" s="630"/>
      <c r="H12" s="630"/>
      <c r="I12" s="630"/>
      <c r="J12" s="630"/>
    </row>
    <row r="13" spans="3:10" ht="24" customHeight="1">
      <c r="E13" s="622" t="s">
        <v>466</v>
      </c>
      <c r="F13" s="622"/>
      <c r="G13" s="622"/>
      <c r="H13" s="622"/>
      <c r="I13" s="622"/>
      <c r="J13" s="622"/>
    </row>
  </sheetData>
  <mergeCells count="3">
    <mergeCell ref="C7:C9"/>
    <mergeCell ref="E12:J12"/>
    <mergeCell ref="E13:J13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  <pageSetUpPr autoPageBreaks="0" fitToPage="1"/>
  </sheetPr>
  <dimension ref="C1:S74"/>
  <sheetViews>
    <sheetView showOutlineSymbols="0" zoomScaleNormal="100" workbookViewId="0">
      <selection activeCell="B2" sqref="B2"/>
    </sheetView>
  </sheetViews>
  <sheetFormatPr baseColWidth="10" defaultRowHeight="11.25"/>
  <cols>
    <col min="1" max="1" width="0.140625" style="5" customWidth="1"/>
    <col min="2" max="2" width="2.7109375" style="5" customWidth="1"/>
    <col min="3" max="3" width="23.7109375" style="4" customWidth="1"/>
    <col min="4" max="4" width="1.28515625" style="4" customWidth="1"/>
    <col min="5" max="5" width="22.5703125" style="4" customWidth="1"/>
    <col min="6" max="7" width="6.7109375" style="4" customWidth="1"/>
    <col min="8" max="14" width="6.7109375" style="5" customWidth="1"/>
    <col min="15" max="15" width="7.5703125" style="5" customWidth="1"/>
    <col min="16" max="255" width="11.42578125" style="5"/>
    <col min="256" max="256" width="0.140625" style="5" customWidth="1"/>
    <col min="257" max="257" width="2.7109375" style="5" customWidth="1"/>
    <col min="258" max="258" width="15.42578125" style="5" customWidth="1"/>
    <col min="259" max="259" width="1.28515625" style="5" customWidth="1"/>
    <col min="260" max="260" width="1.7109375" style="5" customWidth="1"/>
    <col min="261" max="261" width="22.5703125" style="5" customWidth="1"/>
    <col min="262" max="270" width="6.7109375" style="5" customWidth="1"/>
    <col min="271" max="271" width="7.5703125" style="5" customWidth="1"/>
    <col min="272" max="272" width="6.85546875" style="5" customWidth="1"/>
    <col min="273" max="273" width="6.28515625" style="5" customWidth="1"/>
    <col min="274" max="274" width="5.7109375" style="5" customWidth="1"/>
    <col min="275" max="275" width="16.5703125" style="5" bestFit="1" customWidth="1"/>
    <col min="276" max="276" width="5.7109375" style="5" customWidth="1"/>
    <col min="277" max="277" width="5" style="5" bestFit="1" customWidth="1"/>
    <col min="278" max="278" width="4.85546875" style="5" bestFit="1" customWidth="1"/>
    <col min="279" max="279" width="5.7109375" style="5" customWidth="1"/>
    <col min="280" max="280" width="6.5703125" style="5" bestFit="1" customWidth="1"/>
    <col min="281" max="511" width="11.42578125" style="5"/>
    <col min="512" max="512" width="0.140625" style="5" customWidth="1"/>
    <col min="513" max="513" width="2.7109375" style="5" customWidth="1"/>
    <col min="514" max="514" width="15.42578125" style="5" customWidth="1"/>
    <col min="515" max="515" width="1.28515625" style="5" customWidth="1"/>
    <col min="516" max="516" width="1.7109375" style="5" customWidth="1"/>
    <col min="517" max="517" width="22.5703125" style="5" customWidth="1"/>
    <col min="518" max="526" width="6.7109375" style="5" customWidth="1"/>
    <col min="527" max="527" width="7.5703125" style="5" customWidth="1"/>
    <col min="528" max="528" width="6.85546875" style="5" customWidth="1"/>
    <col min="529" max="529" width="6.28515625" style="5" customWidth="1"/>
    <col min="530" max="530" width="5.7109375" style="5" customWidth="1"/>
    <col min="531" max="531" width="16.5703125" style="5" bestFit="1" customWidth="1"/>
    <col min="532" max="532" width="5.7109375" style="5" customWidth="1"/>
    <col min="533" max="533" width="5" style="5" bestFit="1" customWidth="1"/>
    <col min="534" max="534" width="4.85546875" style="5" bestFit="1" customWidth="1"/>
    <col min="535" max="535" width="5.7109375" style="5" customWidth="1"/>
    <col min="536" max="536" width="6.5703125" style="5" bestFit="1" customWidth="1"/>
    <col min="537" max="767" width="11.42578125" style="5"/>
    <col min="768" max="768" width="0.140625" style="5" customWidth="1"/>
    <col min="769" max="769" width="2.7109375" style="5" customWidth="1"/>
    <col min="770" max="770" width="15.42578125" style="5" customWidth="1"/>
    <col min="771" max="771" width="1.28515625" style="5" customWidth="1"/>
    <col min="772" max="772" width="1.7109375" style="5" customWidth="1"/>
    <col min="773" max="773" width="22.5703125" style="5" customWidth="1"/>
    <col min="774" max="782" width="6.7109375" style="5" customWidth="1"/>
    <col min="783" max="783" width="7.5703125" style="5" customWidth="1"/>
    <col min="784" max="784" width="6.85546875" style="5" customWidth="1"/>
    <col min="785" max="785" width="6.28515625" style="5" customWidth="1"/>
    <col min="786" max="786" width="5.7109375" style="5" customWidth="1"/>
    <col min="787" max="787" width="16.5703125" style="5" bestFit="1" customWidth="1"/>
    <col min="788" max="788" width="5.7109375" style="5" customWidth="1"/>
    <col min="789" max="789" width="5" style="5" bestFit="1" customWidth="1"/>
    <col min="790" max="790" width="4.85546875" style="5" bestFit="1" customWidth="1"/>
    <col min="791" max="791" width="5.7109375" style="5" customWidth="1"/>
    <col min="792" max="792" width="6.5703125" style="5" bestFit="1" customWidth="1"/>
    <col min="793" max="1023" width="11.42578125" style="5"/>
    <col min="1024" max="1024" width="0.140625" style="5" customWidth="1"/>
    <col min="1025" max="1025" width="2.7109375" style="5" customWidth="1"/>
    <col min="1026" max="1026" width="15.42578125" style="5" customWidth="1"/>
    <col min="1027" max="1027" width="1.28515625" style="5" customWidth="1"/>
    <col min="1028" max="1028" width="1.7109375" style="5" customWidth="1"/>
    <col min="1029" max="1029" width="22.5703125" style="5" customWidth="1"/>
    <col min="1030" max="1038" width="6.7109375" style="5" customWidth="1"/>
    <col min="1039" max="1039" width="7.5703125" style="5" customWidth="1"/>
    <col min="1040" max="1040" width="6.85546875" style="5" customWidth="1"/>
    <col min="1041" max="1041" width="6.28515625" style="5" customWidth="1"/>
    <col min="1042" max="1042" width="5.7109375" style="5" customWidth="1"/>
    <col min="1043" max="1043" width="16.5703125" style="5" bestFit="1" customWidth="1"/>
    <col min="1044" max="1044" width="5.7109375" style="5" customWidth="1"/>
    <col min="1045" max="1045" width="5" style="5" bestFit="1" customWidth="1"/>
    <col min="1046" max="1046" width="4.85546875" style="5" bestFit="1" customWidth="1"/>
    <col min="1047" max="1047" width="5.7109375" style="5" customWidth="1"/>
    <col min="1048" max="1048" width="6.5703125" style="5" bestFit="1" customWidth="1"/>
    <col min="1049" max="1279" width="11.42578125" style="5"/>
    <col min="1280" max="1280" width="0.140625" style="5" customWidth="1"/>
    <col min="1281" max="1281" width="2.7109375" style="5" customWidth="1"/>
    <col min="1282" max="1282" width="15.42578125" style="5" customWidth="1"/>
    <col min="1283" max="1283" width="1.28515625" style="5" customWidth="1"/>
    <col min="1284" max="1284" width="1.7109375" style="5" customWidth="1"/>
    <col min="1285" max="1285" width="22.5703125" style="5" customWidth="1"/>
    <col min="1286" max="1294" width="6.7109375" style="5" customWidth="1"/>
    <col min="1295" max="1295" width="7.5703125" style="5" customWidth="1"/>
    <col min="1296" max="1296" width="6.85546875" style="5" customWidth="1"/>
    <col min="1297" max="1297" width="6.28515625" style="5" customWidth="1"/>
    <col min="1298" max="1298" width="5.7109375" style="5" customWidth="1"/>
    <col min="1299" max="1299" width="16.5703125" style="5" bestFit="1" customWidth="1"/>
    <col min="1300" max="1300" width="5.7109375" style="5" customWidth="1"/>
    <col min="1301" max="1301" width="5" style="5" bestFit="1" customWidth="1"/>
    <col min="1302" max="1302" width="4.85546875" style="5" bestFit="1" customWidth="1"/>
    <col min="1303" max="1303" width="5.7109375" style="5" customWidth="1"/>
    <col min="1304" max="1304" width="6.5703125" style="5" bestFit="1" customWidth="1"/>
    <col min="1305" max="1535" width="11.42578125" style="5"/>
    <col min="1536" max="1536" width="0.140625" style="5" customWidth="1"/>
    <col min="1537" max="1537" width="2.7109375" style="5" customWidth="1"/>
    <col min="1538" max="1538" width="15.42578125" style="5" customWidth="1"/>
    <col min="1539" max="1539" width="1.28515625" style="5" customWidth="1"/>
    <col min="1540" max="1540" width="1.7109375" style="5" customWidth="1"/>
    <col min="1541" max="1541" width="22.5703125" style="5" customWidth="1"/>
    <col min="1542" max="1550" width="6.7109375" style="5" customWidth="1"/>
    <col min="1551" max="1551" width="7.5703125" style="5" customWidth="1"/>
    <col min="1552" max="1552" width="6.85546875" style="5" customWidth="1"/>
    <col min="1553" max="1553" width="6.28515625" style="5" customWidth="1"/>
    <col min="1554" max="1554" width="5.7109375" style="5" customWidth="1"/>
    <col min="1555" max="1555" width="16.5703125" style="5" bestFit="1" customWidth="1"/>
    <col min="1556" max="1556" width="5.7109375" style="5" customWidth="1"/>
    <col min="1557" max="1557" width="5" style="5" bestFit="1" customWidth="1"/>
    <col min="1558" max="1558" width="4.85546875" style="5" bestFit="1" customWidth="1"/>
    <col min="1559" max="1559" width="5.7109375" style="5" customWidth="1"/>
    <col min="1560" max="1560" width="6.5703125" style="5" bestFit="1" customWidth="1"/>
    <col min="1561" max="1791" width="11.42578125" style="5"/>
    <col min="1792" max="1792" width="0.140625" style="5" customWidth="1"/>
    <col min="1793" max="1793" width="2.7109375" style="5" customWidth="1"/>
    <col min="1794" max="1794" width="15.42578125" style="5" customWidth="1"/>
    <col min="1795" max="1795" width="1.28515625" style="5" customWidth="1"/>
    <col min="1796" max="1796" width="1.7109375" style="5" customWidth="1"/>
    <col min="1797" max="1797" width="22.5703125" style="5" customWidth="1"/>
    <col min="1798" max="1806" width="6.7109375" style="5" customWidth="1"/>
    <col min="1807" max="1807" width="7.5703125" style="5" customWidth="1"/>
    <col min="1808" max="1808" width="6.85546875" style="5" customWidth="1"/>
    <col min="1809" max="1809" width="6.28515625" style="5" customWidth="1"/>
    <col min="1810" max="1810" width="5.7109375" style="5" customWidth="1"/>
    <col min="1811" max="1811" width="16.5703125" style="5" bestFit="1" customWidth="1"/>
    <col min="1812" max="1812" width="5.7109375" style="5" customWidth="1"/>
    <col min="1813" max="1813" width="5" style="5" bestFit="1" customWidth="1"/>
    <col min="1814" max="1814" width="4.85546875" style="5" bestFit="1" customWidth="1"/>
    <col min="1815" max="1815" width="5.7109375" style="5" customWidth="1"/>
    <col min="1816" max="1816" width="6.5703125" style="5" bestFit="1" customWidth="1"/>
    <col min="1817" max="2047" width="11.42578125" style="5"/>
    <col min="2048" max="2048" width="0.140625" style="5" customWidth="1"/>
    <col min="2049" max="2049" width="2.7109375" style="5" customWidth="1"/>
    <col min="2050" max="2050" width="15.42578125" style="5" customWidth="1"/>
    <col min="2051" max="2051" width="1.28515625" style="5" customWidth="1"/>
    <col min="2052" max="2052" width="1.7109375" style="5" customWidth="1"/>
    <col min="2053" max="2053" width="22.5703125" style="5" customWidth="1"/>
    <col min="2054" max="2062" width="6.7109375" style="5" customWidth="1"/>
    <col min="2063" max="2063" width="7.5703125" style="5" customWidth="1"/>
    <col min="2064" max="2064" width="6.85546875" style="5" customWidth="1"/>
    <col min="2065" max="2065" width="6.28515625" style="5" customWidth="1"/>
    <col min="2066" max="2066" width="5.7109375" style="5" customWidth="1"/>
    <col min="2067" max="2067" width="16.5703125" style="5" bestFit="1" customWidth="1"/>
    <col min="2068" max="2068" width="5.7109375" style="5" customWidth="1"/>
    <col min="2069" max="2069" width="5" style="5" bestFit="1" customWidth="1"/>
    <col min="2070" max="2070" width="4.85546875" style="5" bestFit="1" customWidth="1"/>
    <col min="2071" max="2071" width="5.7109375" style="5" customWidth="1"/>
    <col min="2072" max="2072" width="6.5703125" style="5" bestFit="1" customWidth="1"/>
    <col min="2073" max="2303" width="11.42578125" style="5"/>
    <col min="2304" max="2304" width="0.140625" style="5" customWidth="1"/>
    <col min="2305" max="2305" width="2.7109375" style="5" customWidth="1"/>
    <col min="2306" max="2306" width="15.42578125" style="5" customWidth="1"/>
    <col min="2307" max="2307" width="1.28515625" style="5" customWidth="1"/>
    <col min="2308" max="2308" width="1.7109375" style="5" customWidth="1"/>
    <col min="2309" max="2309" width="22.5703125" style="5" customWidth="1"/>
    <col min="2310" max="2318" width="6.7109375" style="5" customWidth="1"/>
    <col min="2319" max="2319" width="7.5703125" style="5" customWidth="1"/>
    <col min="2320" max="2320" width="6.85546875" style="5" customWidth="1"/>
    <col min="2321" max="2321" width="6.28515625" style="5" customWidth="1"/>
    <col min="2322" max="2322" width="5.7109375" style="5" customWidth="1"/>
    <col min="2323" max="2323" width="16.5703125" style="5" bestFit="1" customWidth="1"/>
    <col min="2324" max="2324" width="5.7109375" style="5" customWidth="1"/>
    <col min="2325" max="2325" width="5" style="5" bestFit="1" customWidth="1"/>
    <col min="2326" max="2326" width="4.85546875" style="5" bestFit="1" customWidth="1"/>
    <col min="2327" max="2327" width="5.7109375" style="5" customWidth="1"/>
    <col min="2328" max="2328" width="6.5703125" style="5" bestFit="1" customWidth="1"/>
    <col min="2329" max="2559" width="11.42578125" style="5"/>
    <col min="2560" max="2560" width="0.140625" style="5" customWidth="1"/>
    <col min="2561" max="2561" width="2.7109375" style="5" customWidth="1"/>
    <col min="2562" max="2562" width="15.42578125" style="5" customWidth="1"/>
    <col min="2563" max="2563" width="1.28515625" style="5" customWidth="1"/>
    <col min="2564" max="2564" width="1.7109375" style="5" customWidth="1"/>
    <col min="2565" max="2565" width="22.5703125" style="5" customWidth="1"/>
    <col min="2566" max="2574" width="6.7109375" style="5" customWidth="1"/>
    <col min="2575" max="2575" width="7.5703125" style="5" customWidth="1"/>
    <col min="2576" max="2576" width="6.85546875" style="5" customWidth="1"/>
    <col min="2577" max="2577" width="6.28515625" style="5" customWidth="1"/>
    <col min="2578" max="2578" width="5.7109375" style="5" customWidth="1"/>
    <col min="2579" max="2579" width="16.5703125" style="5" bestFit="1" customWidth="1"/>
    <col min="2580" max="2580" width="5.7109375" style="5" customWidth="1"/>
    <col min="2581" max="2581" width="5" style="5" bestFit="1" customWidth="1"/>
    <col min="2582" max="2582" width="4.85546875" style="5" bestFit="1" customWidth="1"/>
    <col min="2583" max="2583" width="5.7109375" style="5" customWidth="1"/>
    <col min="2584" max="2584" width="6.5703125" style="5" bestFit="1" customWidth="1"/>
    <col min="2585" max="2815" width="11.42578125" style="5"/>
    <col min="2816" max="2816" width="0.140625" style="5" customWidth="1"/>
    <col min="2817" max="2817" width="2.7109375" style="5" customWidth="1"/>
    <col min="2818" max="2818" width="15.42578125" style="5" customWidth="1"/>
    <col min="2819" max="2819" width="1.28515625" style="5" customWidth="1"/>
    <col min="2820" max="2820" width="1.7109375" style="5" customWidth="1"/>
    <col min="2821" max="2821" width="22.5703125" style="5" customWidth="1"/>
    <col min="2822" max="2830" width="6.7109375" style="5" customWidth="1"/>
    <col min="2831" max="2831" width="7.5703125" style="5" customWidth="1"/>
    <col min="2832" max="2832" width="6.85546875" style="5" customWidth="1"/>
    <col min="2833" max="2833" width="6.28515625" style="5" customWidth="1"/>
    <col min="2834" max="2834" width="5.7109375" style="5" customWidth="1"/>
    <col min="2835" max="2835" width="16.5703125" style="5" bestFit="1" customWidth="1"/>
    <col min="2836" max="2836" width="5.7109375" style="5" customWidth="1"/>
    <col min="2837" max="2837" width="5" style="5" bestFit="1" customWidth="1"/>
    <col min="2838" max="2838" width="4.85546875" style="5" bestFit="1" customWidth="1"/>
    <col min="2839" max="2839" width="5.7109375" style="5" customWidth="1"/>
    <col min="2840" max="2840" width="6.5703125" style="5" bestFit="1" customWidth="1"/>
    <col min="2841" max="3071" width="11.42578125" style="5"/>
    <col min="3072" max="3072" width="0.140625" style="5" customWidth="1"/>
    <col min="3073" max="3073" width="2.7109375" style="5" customWidth="1"/>
    <col min="3074" max="3074" width="15.42578125" style="5" customWidth="1"/>
    <col min="3075" max="3075" width="1.28515625" style="5" customWidth="1"/>
    <col min="3076" max="3076" width="1.7109375" style="5" customWidth="1"/>
    <col min="3077" max="3077" width="22.5703125" style="5" customWidth="1"/>
    <col min="3078" max="3086" width="6.7109375" style="5" customWidth="1"/>
    <col min="3087" max="3087" width="7.5703125" style="5" customWidth="1"/>
    <col min="3088" max="3088" width="6.85546875" style="5" customWidth="1"/>
    <col min="3089" max="3089" width="6.28515625" style="5" customWidth="1"/>
    <col min="3090" max="3090" width="5.7109375" style="5" customWidth="1"/>
    <col min="3091" max="3091" width="16.5703125" style="5" bestFit="1" customWidth="1"/>
    <col min="3092" max="3092" width="5.7109375" style="5" customWidth="1"/>
    <col min="3093" max="3093" width="5" style="5" bestFit="1" customWidth="1"/>
    <col min="3094" max="3094" width="4.85546875" style="5" bestFit="1" customWidth="1"/>
    <col min="3095" max="3095" width="5.7109375" style="5" customWidth="1"/>
    <col min="3096" max="3096" width="6.5703125" style="5" bestFit="1" customWidth="1"/>
    <col min="3097" max="3327" width="11.42578125" style="5"/>
    <col min="3328" max="3328" width="0.140625" style="5" customWidth="1"/>
    <col min="3329" max="3329" width="2.7109375" style="5" customWidth="1"/>
    <col min="3330" max="3330" width="15.42578125" style="5" customWidth="1"/>
    <col min="3331" max="3331" width="1.28515625" style="5" customWidth="1"/>
    <col min="3332" max="3332" width="1.7109375" style="5" customWidth="1"/>
    <col min="3333" max="3333" width="22.5703125" style="5" customWidth="1"/>
    <col min="3334" max="3342" width="6.7109375" style="5" customWidth="1"/>
    <col min="3343" max="3343" width="7.5703125" style="5" customWidth="1"/>
    <col min="3344" max="3344" width="6.85546875" style="5" customWidth="1"/>
    <col min="3345" max="3345" width="6.28515625" style="5" customWidth="1"/>
    <col min="3346" max="3346" width="5.7109375" style="5" customWidth="1"/>
    <col min="3347" max="3347" width="16.5703125" style="5" bestFit="1" customWidth="1"/>
    <col min="3348" max="3348" width="5.7109375" style="5" customWidth="1"/>
    <col min="3349" max="3349" width="5" style="5" bestFit="1" customWidth="1"/>
    <col min="3350" max="3350" width="4.85546875" style="5" bestFit="1" customWidth="1"/>
    <col min="3351" max="3351" width="5.7109375" style="5" customWidth="1"/>
    <col min="3352" max="3352" width="6.5703125" style="5" bestFit="1" customWidth="1"/>
    <col min="3353" max="3583" width="11.42578125" style="5"/>
    <col min="3584" max="3584" width="0.140625" style="5" customWidth="1"/>
    <col min="3585" max="3585" width="2.7109375" style="5" customWidth="1"/>
    <col min="3586" max="3586" width="15.42578125" style="5" customWidth="1"/>
    <col min="3587" max="3587" width="1.28515625" style="5" customWidth="1"/>
    <col min="3588" max="3588" width="1.7109375" style="5" customWidth="1"/>
    <col min="3589" max="3589" width="22.5703125" style="5" customWidth="1"/>
    <col min="3590" max="3598" width="6.7109375" style="5" customWidth="1"/>
    <col min="3599" max="3599" width="7.5703125" style="5" customWidth="1"/>
    <col min="3600" max="3600" width="6.85546875" style="5" customWidth="1"/>
    <col min="3601" max="3601" width="6.28515625" style="5" customWidth="1"/>
    <col min="3602" max="3602" width="5.7109375" style="5" customWidth="1"/>
    <col min="3603" max="3603" width="16.5703125" style="5" bestFit="1" customWidth="1"/>
    <col min="3604" max="3604" width="5.7109375" style="5" customWidth="1"/>
    <col min="3605" max="3605" width="5" style="5" bestFit="1" customWidth="1"/>
    <col min="3606" max="3606" width="4.85546875" style="5" bestFit="1" customWidth="1"/>
    <col min="3607" max="3607" width="5.7109375" style="5" customWidth="1"/>
    <col min="3608" max="3608" width="6.5703125" style="5" bestFit="1" customWidth="1"/>
    <col min="3609" max="3839" width="11.42578125" style="5"/>
    <col min="3840" max="3840" width="0.140625" style="5" customWidth="1"/>
    <col min="3841" max="3841" width="2.7109375" style="5" customWidth="1"/>
    <col min="3842" max="3842" width="15.42578125" style="5" customWidth="1"/>
    <col min="3843" max="3843" width="1.28515625" style="5" customWidth="1"/>
    <col min="3844" max="3844" width="1.7109375" style="5" customWidth="1"/>
    <col min="3845" max="3845" width="22.5703125" style="5" customWidth="1"/>
    <col min="3846" max="3854" width="6.7109375" style="5" customWidth="1"/>
    <col min="3855" max="3855" width="7.5703125" style="5" customWidth="1"/>
    <col min="3856" max="3856" width="6.85546875" style="5" customWidth="1"/>
    <col min="3857" max="3857" width="6.28515625" style="5" customWidth="1"/>
    <col min="3858" max="3858" width="5.7109375" style="5" customWidth="1"/>
    <col min="3859" max="3859" width="16.5703125" style="5" bestFit="1" customWidth="1"/>
    <col min="3860" max="3860" width="5.7109375" style="5" customWidth="1"/>
    <col min="3861" max="3861" width="5" style="5" bestFit="1" customWidth="1"/>
    <col min="3862" max="3862" width="4.85546875" style="5" bestFit="1" customWidth="1"/>
    <col min="3863" max="3863" width="5.7109375" style="5" customWidth="1"/>
    <col min="3864" max="3864" width="6.5703125" style="5" bestFit="1" customWidth="1"/>
    <col min="3865" max="4095" width="11.42578125" style="5"/>
    <col min="4096" max="4096" width="0.140625" style="5" customWidth="1"/>
    <col min="4097" max="4097" width="2.7109375" style="5" customWidth="1"/>
    <col min="4098" max="4098" width="15.42578125" style="5" customWidth="1"/>
    <col min="4099" max="4099" width="1.28515625" style="5" customWidth="1"/>
    <col min="4100" max="4100" width="1.7109375" style="5" customWidth="1"/>
    <col min="4101" max="4101" width="22.5703125" style="5" customWidth="1"/>
    <col min="4102" max="4110" width="6.7109375" style="5" customWidth="1"/>
    <col min="4111" max="4111" width="7.5703125" style="5" customWidth="1"/>
    <col min="4112" max="4112" width="6.85546875" style="5" customWidth="1"/>
    <col min="4113" max="4113" width="6.28515625" style="5" customWidth="1"/>
    <col min="4114" max="4114" width="5.7109375" style="5" customWidth="1"/>
    <col min="4115" max="4115" width="16.5703125" style="5" bestFit="1" customWidth="1"/>
    <col min="4116" max="4116" width="5.7109375" style="5" customWidth="1"/>
    <col min="4117" max="4117" width="5" style="5" bestFit="1" customWidth="1"/>
    <col min="4118" max="4118" width="4.85546875" style="5" bestFit="1" customWidth="1"/>
    <col min="4119" max="4119" width="5.7109375" style="5" customWidth="1"/>
    <col min="4120" max="4120" width="6.5703125" style="5" bestFit="1" customWidth="1"/>
    <col min="4121" max="4351" width="11.42578125" style="5"/>
    <col min="4352" max="4352" width="0.140625" style="5" customWidth="1"/>
    <col min="4353" max="4353" width="2.7109375" style="5" customWidth="1"/>
    <col min="4354" max="4354" width="15.42578125" style="5" customWidth="1"/>
    <col min="4355" max="4355" width="1.28515625" style="5" customWidth="1"/>
    <col min="4356" max="4356" width="1.7109375" style="5" customWidth="1"/>
    <col min="4357" max="4357" width="22.5703125" style="5" customWidth="1"/>
    <col min="4358" max="4366" width="6.7109375" style="5" customWidth="1"/>
    <col min="4367" max="4367" width="7.5703125" style="5" customWidth="1"/>
    <col min="4368" max="4368" width="6.85546875" style="5" customWidth="1"/>
    <col min="4369" max="4369" width="6.28515625" style="5" customWidth="1"/>
    <col min="4370" max="4370" width="5.7109375" style="5" customWidth="1"/>
    <col min="4371" max="4371" width="16.5703125" style="5" bestFit="1" customWidth="1"/>
    <col min="4372" max="4372" width="5.7109375" style="5" customWidth="1"/>
    <col min="4373" max="4373" width="5" style="5" bestFit="1" customWidth="1"/>
    <col min="4374" max="4374" width="4.85546875" style="5" bestFit="1" customWidth="1"/>
    <col min="4375" max="4375" width="5.7109375" style="5" customWidth="1"/>
    <col min="4376" max="4376" width="6.5703125" style="5" bestFit="1" customWidth="1"/>
    <col min="4377" max="4607" width="11.42578125" style="5"/>
    <col min="4608" max="4608" width="0.140625" style="5" customWidth="1"/>
    <col min="4609" max="4609" width="2.7109375" style="5" customWidth="1"/>
    <col min="4610" max="4610" width="15.42578125" style="5" customWidth="1"/>
    <col min="4611" max="4611" width="1.28515625" style="5" customWidth="1"/>
    <col min="4612" max="4612" width="1.7109375" style="5" customWidth="1"/>
    <col min="4613" max="4613" width="22.5703125" style="5" customWidth="1"/>
    <col min="4614" max="4622" width="6.7109375" style="5" customWidth="1"/>
    <col min="4623" max="4623" width="7.5703125" style="5" customWidth="1"/>
    <col min="4624" max="4624" width="6.85546875" style="5" customWidth="1"/>
    <col min="4625" max="4625" width="6.28515625" style="5" customWidth="1"/>
    <col min="4626" max="4626" width="5.7109375" style="5" customWidth="1"/>
    <col min="4627" max="4627" width="16.5703125" style="5" bestFit="1" customWidth="1"/>
    <col min="4628" max="4628" width="5.7109375" style="5" customWidth="1"/>
    <col min="4629" max="4629" width="5" style="5" bestFit="1" customWidth="1"/>
    <col min="4630" max="4630" width="4.85546875" style="5" bestFit="1" customWidth="1"/>
    <col min="4631" max="4631" width="5.7109375" style="5" customWidth="1"/>
    <col min="4632" max="4632" width="6.5703125" style="5" bestFit="1" customWidth="1"/>
    <col min="4633" max="4863" width="11.42578125" style="5"/>
    <col min="4864" max="4864" width="0.140625" style="5" customWidth="1"/>
    <col min="4865" max="4865" width="2.7109375" style="5" customWidth="1"/>
    <col min="4866" max="4866" width="15.42578125" style="5" customWidth="1"/>
    <col min="4867" max="4867" width="1.28515625" style="5" customWidth="1"/>
    <col min="4868" max="4868" width="1.7109375" style="5" customWidth="1"/>
    <col min="4869" max="4869" width="22.5703125" style="5" customWidth="1"/>
    <col min="4870" max="4878" width="6.7109375" style="5" customWidth="1"/>
    <col min="4879" max="4879" width="7.5703125" style="5" customWidth="1"/>
    <col min="4880" max="4880" width="6.85546875" style="5" customWidth="1"/>
    <col min="4881" max="4881" width="6.28515625" style="5" customWidth="1"/>
    <col min="4882" max="4882" width="5.7109375" style="5" customWidth="1"/>
    <col min="4883" max="4883" width="16.5703125" style="5" bestFit="1" customWidth="1"/>
    <col min="4884" max="4884" width="5.7109375" style="5" customWidth="1"/>
    <col min="4885" max="4885" width="5" style="5" bestFit="1" customWidth="1"/>
    <col min="4886" max="4886" width="4.85546875" style="5" bestFit="1" customWidth="1"/>
    <col min="4887" max="4887" width="5.7109375" style="5" customWidth="1"/>
    <col min="4888" max="4888" width="6.5703125" style="5" bestFit="1" customWidth="1"/>
    <col min="4889" max="5119" width="11.42578125" style="5"/>
    <col min="5120" max="5120" width="0.140625" style="5" customWidth="1"/>
    <col min="5121" max="5121" width="2.7109375" style="5" customWidth="1"/>
    <col min="5122" max="5122" width="15.42578125" style="5" customWidth="1"/>
    <col min="5123" max="5123" width="1.28515625" style="5" customWidth="1"/>
    <col min="5124" max="5124" width="1.7109375" style="5" customWidth="1"/>
    <col min="5125" max="5125" width="22.5703125" style="5" customWidth="1"/>
    <col min="5126" max="5134" width="6.7109375" style="5" customWidth="1"/>
    <col min="5135" max="5135" width="7.5703125" style="5" customWidth="1"/>
    <col min="5136" max="5136" width="6.85546875" style="5" customWidth="1"/>
    <col min="5137" max="5137" width="6.28515625" style="5" customWidth="1"/>
    <col min="5138" max="5138" width="5.7109375" style="5" customWidth="1"/>
    <col min="5139" max="5139" width="16.5703125" style="5" bestFit="1" customWidth="1"/>
    <col min="5140" max="5140" width="5.7109375" style="5" customWidth="1"/>
    <col min="5141" max="5141" width="5" style="5" bestFit="1" customWidth="1"/>
    <col min="5142" max="5142" width="4.85546875" style="5" bestFit="1" customWidth="1"/>
    <col min="5143" max="5143" width="5.7109375" style="5" customWidth="1"/>
    <col min="5144" max="5144" width="6.5703125" style="5" bestFit="1" customWidth="1"/>
    <col min="5145" max="5375" width="11.42578125" style="5"/>
    <col min="5376" max="5376" width="0.140625" style="5" customWidth="1"/>
    <col min="5377" max="5377" width="2.7109375" style="5" customWidth="1"/>
    <col min="5378" max="5378" width="15.42578125" style="5" customWidth="1"/>
    <col min="5379" max="5379" width="1.28515625" style="5" customWidth="1"/>
    <col min="5380" max="5380" width="1.7109375" style="5" customWidth="1"/>
    <col min="5381" max="5381" width="22.5703125" style="5" customWidth="1"/>
    <col min="5382" max="5390" width="6.7109375" style="5" customWidth="1"/>
    <col min="5391" max="5391" width="7.5703125" style="5" customWidth="1"/>
    <col min="5392" max="5392" width="6.85546875" style="5" customWidth="1"/>
    <col min="5393" max="5393" width="6.28515625" style="5" customWidth="1"/>
    <col min="5394" max="5394" width="5.7109375" style="5" customWidth="1"/>
    <col min="5395" max="5395" width="16.5703125" style="5" bestFit="1" customWidth="1"/>
    <col min="5396" max="5396" width="5.7109375" style="5" customWidth="1"/>
    <col min="5397" max="5397" width="5" style="5" bestFit="1" customWidth="1"/>
    <col min="5398" max="5398" width="4.85546875" style="5" bestFit="1" customWidth="1"/>
    <col min="5399" max="5399" width="5.7109375" style="5" customWidth="1"/>
    <col min="5400" max="5400" width="6.5703125" style="5" bestFit="1" customWidth="1"/>
    <col min="5401" max="5631" width="11.42578125" style="5"/>
    <col min="5632" max="5632" width="0.140625" style="5" customWidth="1"/>
    <col min="5633" max="5633" width="2.7109375" style="5" customWidth="1"/>
    <col min="5634" max="5634" width="15.42578125" style="5" customWidth="1"/>
    <col min="5635" max="5635" width="1.28515625" style="5" customWidth="1"/>
    <col min="5636" max="5636" width="1.7109375" style="5" customWidth="1"/>
    <col min="5637" max="5637" width="22.5703125" style="5" customWidth="1"/>
    <col min="5638" max="5646" width="6.7109375" style="5" customWidth="1"/>
    <col min="5647" max="5647" width="7.5703125" style="5" customWidth="1"/>
    <col min="5648" max="5648" width="6.85546875" style="5" customWidth="1"/>
    <col min="5649" max="5649" width="6.28515625" style="5" customWidth="1"/>
    <col min="5650" max="5650" width="5.7109375" style="5" customWidth="1"/>
    <col min="5651" max="5651" width="16.5703125" style="5" bestFit="1" customWidth="1"/>
    <col min="5652" max="5652" width="5.7109375" style="5" customWidth="1"/>
    <col min="5653" max="5653" width="5" style="5" bestFit="1" customWidth="1"/>
    <col min="5654" max="5654" width="4.85546875" style="5" bestFit="1" customWidth="1"/>
    <col min="5655" max="5655" width="5.7109375" style="5" customWidth="1"/>
    <col min="5656" max="5656" width="6.5703125" style="5" bestFit="1" customWidth="1"/>
    <col min="5657" max="5887" width="11.42578125" style="5"/>
    <col min="5888" max="5888" width="0.140625" style="5" customWidth="1"/>
    <col min="5889" max="5889" width="2.7109375" style="5" customWidth="1"/>
    <col min="5890" max="5890" width="15.42578125" style="5" customWidth="1"/>
    <col min="5891" max="5891" width="1.28515625" style="5" customWidth="1"/>
    <col min="5892" max="5892" width="1.7109375" style="5" customWidth="1"/>
    <col min="5893" max="5893" width="22.5703125" style="5" customWidth="1"/>
    <col min="5894" max="5902" width="6.7109375" style="5" customWidth="1"/>
    <col min="5903" max="5903" width="7.5703125" style="5" customWidth="1"/>
    <col min="5904" max="5904" width="6.85546875" style="5" customWidth="1"/>
    <col min="5905" max="5905" width="6.28515625" style="5" customWidth="1"/>
    <col min="5906" max="5906" width="5.7109375" style="5" customWidth="1"/>
    <col min="5907" max="5907" width="16.5703125" style="5" bestFit="1" customWidth="1"/>
    <col min="5908" max="5908" width="5.7109375" style="5" customWidth="1"/>
    <col min="5909" max="5909" width="5" style="5" bestFit="1" customWidth="1"/>
    <col min="5910" max="5910" width="4.85546875" style="5" bestFit="1" customWidth="1"/>
    <col min="5911" max="5911" width="5.7109375" style="5" customWidth="1"/>
    <col min="5912" max="5912" width="6.5703125" style="5" bestFit="1" customWidth="1"/>
    <col min="5913" max="6143" width="11.42578125" style="5"/>
    <col min="6144" max="6144" width="0.140625" style="5" customWidth="1"/>
    <col min="6145" max="6145" width="2.7109375" style="5" customWidth="1"/>
    <col min="6146" max="6146" width="15.42578125" style="5" customWidth="1"/>
    <col min="6147" max="6147" width="1.28515625" style="5" customWidth="1"/>
    <col min="6148" max="6148" width="1.7109375" style="5" customWidth="1"/>
    <col min="6149" max="6149" width="22.5703125" style="5" customWidth="1"/>
    <col min="6150" max="6158" width="6.7109375" style="5" customWidth="1"/>
    <col min="6159" max="6159" width="7.5703125" style="5" customWidth="1"/>
    <col min="6160" max="6160" width="6.85546875" style="5" customWidth="1"/>
    <col min="6161" max="6161" width="6.28515625" style="5" customWidth="1"/>
    <col min="6162" max="6162" width="5.7109375" style="5" customWidth="1"/>
    <col min="6163" max="6163" width="16.5703125" style="5" bestFit="1" customWidth="1"/>
    <col min="6164" max="6164" width="5.7109375" style="5" customWidth="1"/>
    <col min="6165" max="6165" width="5" style="5" bestFit="1" customWidth="1"/>
    <col min="6166" max="6166" width="4.85546875" style="5" bestFit="1" customWidth="1"/>
    <col min="6167" max="6167" width="5.7109375" style="5" customWidth="1"/>
    <col min="6168" max="6168" width="6.5703125" style="5" bestFit="1" customWidth="1"/>
    <col min="6169" max="6399" width="11.42578125" style="5"/>
    <col min="6400" max="6400" width="0.140625" style="5" customWidth="1"/>
    <col min="6401" max="6401" width="2.7109375" style="5" customWidth="1"/>
    <col min="6402" max="6402" width="15.42578125" style="5" customWidth="1"/>
    <col min="6403" max="6403" width="1.28515625" style="5" customWidth="1"/>
    <col min="6404" max="6404" width="1.7109375" style="5" customWidth="1"/>
    <col min="6405" max="6405" width="22.5703125" style="5" customWidth="1"/>
    <col min="6406" max="6414" width="6.7109375" style="5" customWidth="1"/>
    <col min="6415" max="6415" width="7.5703125" style="5" customWidth="1"/>
    <col min="6416" max="6416" width="6.85546875" style="5" customWidth="1"/>
    <col min="6417" max="6417" width="6.28515625" style="5" customWidth="1"/>
    <col min="6418" max="6418" width="5.7109375" style="5" customWidth="1"/>
    <col min="6419" max="6419" width="16.5703125" style="5" bestFit="1" customWidth="1"/>
    <col min="6420" max="6420" width="5.7109375" style="5" customWidth="1"/>
    <col min="6421" max="6421" width="5" style="5" bestFit="1" customWidth="1"/>
    <col min="6422" max="6422" width="4.85546875" style="5" bestFit="1" customWidth="1"/>
    <col min="6423" max="6423" width="5.7109375" style="5" customWidth="1"/>
    <col min="6424" max="6424" width="6.5703125" style="5" bestFit="1" customWidth="1"/>
    <col min="6425" max="6655" width="11.42578125" style="5"/>
    <col min="6656" max="6656" width="0.140625" style="5" customWidth="1"/>
    <col min="6657" max="6657" width="2.7109375" style="5" customWidth="1"/>
    <col min="6658" max="6658" width="15.42578125" style="5" customWidth="1"/>
    <col min="6659" max="6659" width="1.28515625" style="5" customWidth="1"/>
    <col min="6660" max="6660" width="1.7109375" style="5" customWidth="1"/>
    <col min="6661" max="6661" width="22.5703125" style="5" customWidth="1"/>
    <col min="6662" max="6670" width="6.7109375" style="5" customWidth="1"/>
    <col min="6671" max="6671" width="7.5703125" style="5" customWidth="1"/>
    <col min="6672" max="6672" width="6.85546875" style="5" customWidth="1"/>
    <col min="6673" max="6673" width="6.28515625" style="5" customWidth="1"/>
    <col min="6674" max="6674" width="5.7109375" style="5" customWidth="1"/>
    <col min="6675" max="6675" width="16.5703125" style="5" bestFit="1" customWidth="1"/>
    <col min="6676" max="6676" width="5.7109375" style="5" customWidth="1"/>
    <col min="6677" max="6677" width="5" style="5" bestFit="1" customWidth="1"/>
    <col min="6678" max="6678" width="4.85546875" style="5" bestFit="1" customWidth="1"/>
    <col min="6679" max="6679" width="5.7109375" style="5" customWidth="1"/>
    <col min="6680" max="6680" width="6.5703125" style="5" bestFit="1" customWidth="1"/>
    <col min="6681" max="6911" width="11.42578125" style="5"/>
    <col min="6912" max="6912" width="0.140625" style="5" customWidth="1"/>
    <col min="6913" max="6913" width="2.7109375" style="5" customWidth="1"/>
    <col min="6914" max="6914" width="15.42578125" style="5" customWidth="1"/>
    <col min="6915" max="6915" width="1.28515625" style="5" customWidth="1"/>
    <col min="6916" max="6916" width="1.7109375" style="5" customWidth="1"/>
    <col min="6917" max="6917" width="22.5703125" style="5" customWidth="1"/>
    <col min="6918" max="6926" width="6.7109375" style="5" customWidth="1"/>
    <col min="6927" max="6927" width="7.5703125" style="5" customWidth="1"/>
    <col min="6928" max="6928" width="6.85546875" style="5" customWidth="1"/>
    <col min="6929" max="6929" width="6.28515625" style="5" customWidth="1"/>
    <col min="6930" max="6930" width="5.7109375" style="5" customWidth="1"/>
    <col min="6931" max="6931" width="16.5703125" style="5" bestFit="1" customWidth="1"/>
    <col min="6932" max="6932" width="5.7109375" style="5" customWidth="1"/>
    <col min="6933" max="6933" width="5" style="5" bestFit="1" customWidth="1"/>
    <col min="6934" max="6934" width="4.85546875" style="5" bestFit="1" customWidth="1"/>
    <col min="6935" max="6935" width="5.7109375" style="5" customWidth="1"/>
    <col min="6936" max="6936" width="6.5703125" style="5" bestFit="1" customWidth="1"/>
    <col min="6937" max="7167" width="11.42578125" style="5"/>
    <col min="7168" max="7168" width="0.140625" style="5" customWidth="1"/>
    <col min="7169" max="7169" width="2.7109375" style="5" customWidth="1"/>
    <col min="7170" max="7170" width="15.42578125" style="5" customWidth="1"/>
    <col min="7171" max="7171" width="1.28515625" style="5" customWidth="1"/>
    <col min="7172" max="7172" width="1.7109375" style="5" customWidth="1"/>
    <col min="7173" max="7173" width="22.5703125" style="5" customWidth="1"/>
    <col min="7174" max="7182" width="6.7109375" style="5" customWidth="1"/>
    <col min="7183" max="7183" width="7.5703125" style="5" customWidth="1"/>
    <col min="7184" max="7184" width="6.85546875" style="5" customWidth="1"/>
    <col min="7185" max="7185" width="6.28515625" style="5" customWidth="1"/>
    <col min="7186" max="7186" width="5.7109375" style="5" customWidth="1"/>
    <col min="7187" max="7187" width="16.5703125" style="5" bestFit="1" customWidth="1"/>
    <col min="7188" max="7188" width="5.7109375" style="5" customWidth="1"/>
    <col min="7189" max="7189" width="5" style="5" bestFit="1" customWidth="1"/>
    <col min="7190" max="7190" width="4.85546875" style="5" bestFit="1" customWidth="1"/>
    <col min="7191" max="7191" width="5.7109375" style="5" customWidth="1"/>
    <col min="7192" max="7192" width="6.5703125" style="5" bestFit="1" customWidth="1"/>
    <col min="7193" max="7423" width="11.42578125" style="5"/>
    <col min="7424" max="7424" width="0.140625" style="5" customWidth="1"/>
    <col min="7425" max="7425" width="2.7109375" style="5" customWidth="1"/>
    <col min="7426" max="7426" width="15.42578125" style="5" customWidth="1"/>
    <col min="7427" max="7427" width="1.28515625" style="5" customWidth="1"/>
    <col min="7428" max="7428" width="1.7109375" style="5" customWidth="1"/>
    <col min="7429" max="7429" width="22.5703125" style="5" customWidth="1"/>
    <col min="7430" max="7438" width="6.7109375" style="5" customWidth="1"/>
    <col min="7439" max="7439" width="7.5703125" style="5" customWidth="1"/>
    <col min="7440" max="7440" width="6.85546875" style="5" customWidth="1"/>
    <col min="7441" max="7441" width="6.28515625" style="5" customWidth="1"/>
    <col min="7442" max="7442" width="5.7109375" style="5" customWidth="1"/>
    <col min="7443" max="7443" width="16.5703125" style="5" bestFit="1" customWidth="1"/>
    <col min="7444" max="7444" width="5.7109375" style="5" customWidth="1"/>
    <col min="7445" max="7445" width="5" style="5" bestFit="1" customWidth="1"/>
    <col min="7446" max="7446" width="4.85546875" style="5" bestFit="1" customWidth="1"/>
    <col min="7447" max="7447" width="5.7109375" style="5" customWidth="1"/>
    <col min="7448" max="7448" width="6.5703125" style="5" bestFit="1" customWidth="1"/>
    <col min="7449" max="7679" width="11.42578125" style="5"/>
    <col min="7680" max="7680" width="0.140625" style="5" customWidth="1"/>
    <col min="7681" max="7681" width="2.7109375" style="5" customWidth="1"/>
    <col min="7682" max="7682" width="15.42578125" style="5" customWidth="1"/>
    <col min="7683" max="7683" width="1.28515625" style="5" customWidth="1"/>
    <col min="7684" max="7684" width="1.7109375" style="5" customWidth="1"/>
    <col min="7685" max="7685" width="22.5703125" style="5" customWidth="1"/>
    <col min="7686" max="7694" width="6.7109375" style="5" customWidth="1"/>
    <col min="7695" max="7695" width="7.5703125" style="5" customWidth="1"/>
    <col min="7696" max="7696" width="6.85546875" style="5" customWidth="1"/>
    <col min="7697" max="7697" width="6.28515625" style="5" customWidth="1"/>
    <col min="7698" max="7698" width="5.7109375" style="5" customWidth="1"/>
    <col min="7699" max="7699" width="16.5703125" style="5" bestFit="1" customWidth="1"/>
    <col min="7700" max="7700" width="5.7109375" style="5" customWidth="1"/>
    <col min="7701" max="7701" width="5" style="5" bestFit="1" customWidth="1"/>
    <col min="7702" max="7702" width="4.85546875" style="5" bestFit="1" customWidth="1"/>
    <col min="7703" max="7703" width="5.7109375" style="5" customWidth="1"/>
    <col min="7704" max="7704" width="6.5703125" style="5" bestFit="1" customWidth="1"/>
    <col min="7705" max="7935" width="11.42578125" style="5"/>
    <col min="7936" max="7936" width="0.140625" style="5" customWidth="1"/>
    <col min="7937" max="7937" width="2.7109375" style="5" customWidth="1"/>
    <col min="7938" max="7938" width="15.42578125" style="5" customWidth="1"/>
    <col min="7939" max="7939" width="1.28515625" style="5" customWidth="1"/>
    <col min="7940" max="7940" width="1.7109375" style="5" customWidth="1"/>
    <col min="7941" max="7941" width="22.5703125" style="5" customWidth="1"/>
    <col min="7942" max="7950" width="6.7109375" style="5" customWidth="1"/>
    <col min="7951" max="7951" width="7.5703125" style="5" customWidth="1"/>
    <col min="7952" max="7952" width="6.85546875" style="5" customWidth="1"/>
    <col min="7953" max="7953" width="6.28515625" style="5" customWidth="1"/>
    <col min="7954" max="7954" width="5.7109375" style="5" customWidth="1"/>
    <col min="7955" max="7955" width="16.5703125" style="5" bestFit="1" customWidth="1"/>
    <col min="7956" max="7956" width="5.7109375" style="5" customWidth="1"/>
    <col min="7957" max="7957" width="5" style="5" bestFit="1" customWidth="1"/>
    <col min="7958" max="7958" width="4.85546875" style="5" bestFit="1" customWidth="1"/>
    <col min="7959" max="7959" width="5.7109375" style="5" customWidth="1"/>
    <col min="7960" max="7960" width="6.5703125" style="5" bestFit="1" customWidth="1"/>
    <col min="7961" max="8191" width="11.42578125" style="5"/>
    <col min="8192" max="8192" width="0.140625" style="5" customWidth="1"/>
    <col min="8193" max="8193" width="2.7109375" style="5" customWidth="1"/>
    <col min="8194" max="8194" width="15.42578125" style="5" customWidth="1"/>
    <col min="8195" max="8195" width="1.28515625" style="5" customWidth="1"/>
    <col min="8196" max="8196" width="1.7109375" style="5" customWidth="1"/>
    <col min="8197" max="8197" width="22.5703125" style="5" customWidth="1"/>
    <col min="8198" max="8206" width="6.7109375" style="5" customWidth="1"/>
    <col min="8207" max="8207" width="7.5703125" style="5" customWidth="1"/>
    <col min="8208" max="8208" width="6.85546875" style="5" customWidth="1"/>
    <col min="8209" max="8209" width="6.28515625" style="5" customWidth="1"/>
    <col min="8210" max="8210" width="5.7109375" style="5" customWidth="1"/>
    <col min="8211" max="8211" width="16.5703125" style="5" bestFit="1" customWidth="1"/>
    <col min="8212" max="8212" width="5.7109375" style="5" customWidth="1"/>
    <col min="8213" max="8213" width="5" style="5" bestFit="1" customWidth="1"/>
    <col min="8214" max="8214" width="4.85546875" style="5" bestFit="1" customWidth="1"/>
    <col min="8215" max="8215" width="5.7109375" style="5" customWidth="1"/>
    <col min="8216" max="8216" width="6.5703125" style="5" bestFit="1" customWidth="1"/>
    <col min="8217" max="8447" width="11.42578125" style="5"/>
    <col min="8448" max="8448" width="0.140625" style="5" customWidth="1"/>
    <col min="8449" max="8449" width="2.7109375" style="5" customWidth="1"/>
    <col min="8450" max="8450" width="15.42578125" style="5" customWidth="1"/>
    <col min="8451" max="8451" width="1.28515625" style="5" customWidth="1"/>
    <col min="8452" max="8452" width="1.7109375" style="5" customWidth="1"/>
    <col min="8453" max="8453" width="22.5703125" style="5" customWidth="1"/>
    <col min="8454" max="8462" width="6.7109375" style="5" customWidth="1"/>
    <col min="8463" max="8463" width="7.5703125" style="5" customWidth="1"/>
    <col min="8464" max="8464" width="6.85546875" style="5" customWidth="1"/>
    <col min="8465" max="8465" width="6.28515625" style="5" customWidth="1"/>
    <col min="8466" max="8466" width="5.7109375" style="5" customWidth="1"/>
    <col min="8467" max="8467" width="16.5703125" style="5" bestFit="1" customWidth="1"/>
    <col min="8468" max="8468" width="5.7109375" style="5" customWidth="1"/>
    <col min="8469" max="8469" width="5" style="5" bestFit="1" customWidth="1"/>
    <col min="8470" max="8470" width="4.85546875" style="5" bestFit="1" customWidth="1"/>
    <col min="8471" max="8471" width="5.7109375" style="5" customWidth="1"/>
    <col min="8472" max="8472" width="6.5703125" style="5" bestFit="1" customWidth="1"/>
    <col min="8473" max="8703" width="11.42578125" style="5"/>
    <col min="8704" max="8704" width="0.140625" style="5" customWidth="1"/>
    <col min="8705" max="8705" width="2.7109375" style="5" customWidth="1"/>
    <col min="8706" max="8706" width="15.42578125" style="5" customWidth="1"/>
    <col min="8707" max="8707" width="1.28515625" style="5" customWidth="1"/>
    <col min="8708" max="8708" width="1.7109375" style="5" customWidth="1"/>
    <col min="8709" max="8709" width="22.5703125" style="5" customWidth="1"/>
    <col min="8710" max="8718" width="6.7109375" style="5" customWidth="1"/>
    <col min="8719" max="8719" width="7.5703125" style="5" customWidth="1"/>
    <col min="8720" max="8720" width="6.85546875" style="5" customWidth="1"/>
    <col min="8721" max="8721" width="6.28515625" style="5" customWidth="1"/>
    <col min="8722" max="8722" width="5.7109375" style="5" customWidth="1"/>
    <col min="8723" max="8723" width="16.5703125" style="5" bestFit="1" customWidth="1"/>
    <col min="8724" max="8724" width="5.7109375" style="5" customWidth="1"/>
    <col min="8725" max="8725" width="5" style="5" bestFit="1" customWidth="1"/>
    <col min="8726" max="8726" width="4.85546875" style="5" bestFit="1" customWidth="1"/>
    <col min="8727" max="8727" width="5.7109375" style="5" customWidth="1"/>
    <col min="8728" max="8728" width="6.5703125" style="5" bestFit="1" customWidth="1"/>
    <col min="8729" max="8959" width="11.42578125" style="5"/>
    <col min="8960" max="8960" width="0.140625" style="5" customWidth="1"/>
    <col min="8961" max="8961" width="2.7109375" style="5" customWidth="1"/>
    <col min="8962" max="8962" width="15.42578125" style="5" customWidth="1"/>
    <col min="8963" max="8963" width="1.28515625" style="5" customWidth="1"/>
    <col min="8964" max="8964" width="1.7109375" style="5" customWidth="1"/>
    <col min="8965" max="8965" width="22.5703125" style="5" customWidth="1"/>
    <col min="8966" max="8974" width="6.7109375" style="5" customWidth="1"/>
    <col min="8975" max="8975" width="7.5703125" style="5" customWidth="1"/>
    <col min="8976" max="8976" width="6.85546875" style="5" customWidth="1"/>
    <col min="8977" max="8977" width="6.28515625" style="5" customWidth="1"/>
    <col min="8978" max="8978" width="5.7109375" style="5" customWidth="1"/>
    <col min="8979" max="8979" width="16.5703125" style="5" bestFit="1" customWidth="1"/>
    <col min="8980" max="8980" width="5.7109375" style="5" customWidth="1"/>
    <col min="8981" max="8981" width="5" style="5" bestFit="1" customWidth="1"/>
    <col min="8982" max="8982" width="4.85546875" style="5" bestFit="1" customWidth="1"/>
    <col min="8983" max="8983" width="5.7109375" style="5" customWidth="1"/>
    <col min="8984" max="8984" width="6.5703125" style="5" bestFit="1" customWidth="1"/>
    <col min="8985" max="9215" width="11.42578125" style="5"/>
    <col min="9216" max="9216" width="0.140625" style="5" customWidth="1"/>
    <col min="9217" max="9217" width="2.7109375" style="5" customWidth="1"/>
    <col min="9218" max="9218" width="15.42578125" style="5" customWidth="1"/>
    <col min="9219" max="9219" width="1.28515625" style="5" customWidth="1"/>
    <col min="9220" max="9220" width="1.7109375" style="5" customWidth="1"/>
    <col min="9221" max="9221" width="22.5703125" style="5" customWidth="1"/>
    <col min="9222" max="9230" width="6.7109375" style="5" customWidth="1"/>
    <col min="9231" max="9231" width="7.5703125" style="5" customWidth="1"/>
    <col min="9232" max="9232" width="6.85546875" style="5" customWidth="1"/>
    <col min="9233" max="9233" width="6.28515625" style="5" customWidth="1"/>
    <col min="9234" max="9234" width="5.7109375" style="5" customWidth="1"/>
    <col min="9235" max="9235" width="16.5703125" style="5" bestFit="1" customWidth="1"/>
    <col min="9236" max="9236" width="5.7109375" style="5" customWidth="1"/>
    <col min="9237" max="9237" width="5" style="5" bestFit="1" customWidth="1"/>
    <col min="9238" max="9238" width="4.85546875" style="5" bestFit="1" customWidth="1"/>
    <col min="9239" max="9239" width="5.7109375" style="5" customWidth="1"/>
    <col min="9240" max="9240" width="6.5703125" style="5" bestFit="1" customWidth="1"/>
    <col min="9241" max="9471" width="11.42578125" style="5"/>
    <col min="9472" max="9472" width="0.140625" style="5" customWidth="1"/>
    <col min="9473" max="9473" width="2.7109375" style="5" customWidth="1"/>
    <col min="9474" max="9474" width="15.42578125" style="5" customWidth="1"/>
    <col min="9475" max="9475" width="1.28515625" style="5" customWidth="1"/>
    <col min="9476" max="9476" width="1.7109375" style="5" customWidth="1"/>
    <col min="9477" max="9477" width="22.5703125" style="5" customWidth="1"/>
    <col min="9478" max="9486" width="6.7109375" style="5" customWidth="1"/>
    <col min="9487" max="9487" width="7.5703125" style="5" customWidth="1"/>
    <col min="9488" max="9488" width="6.85546875" style="5" customWidth="1"/>
    <col min="9489" max="9489" width="6.28515625" style="5" customWidth="1"/>
    <col min="9490" max="9490" width="5.7109375" style="5" customWidth="1"/>
    <col min="9491" max="9491" width="16.5703125" style="5" bestFit="1" customWidth="1"/>
    <col min="9492" max="9492" width="5.7109375" style="5" customWidth="1"/>
    <col min="9493" max="9493" width="5" style="5" bestFit="1" customWidth="1"/>
    <col min="9494" max="9494" width="4.85546875" style="5" bestFit="1" customWidth="1"/>
    <col min="9495" max="9495" width="5.7109375" style="5" customWidth="1"/>
    <col min="9496" max="9496" width="6.5703125" style="5" bestFit="1" customWidth="1"/>
    <col min="9497" max="9727" width="11.42578125" style="5"/>
    <col min="9728" max="9728" width="0.140625" style="5" customWidth="1"/>
    <col min="9729" max="9729" width="2.7109375" style="5" customWidth="1"/>
    <col min="9730" max="9730" width="15.42578125" style="5" customWidth="1"/>
    <col min="9731" max="9731" width="1.28515625" style="5" customWidth="1"/>
    <col min="9732" max="9732" width="1.7109375" style="5" customWidth="1"/>
    <col min="9733" max="9733" width="22.5703125" style="5" customWidth="1"/>
    <col min="9734" max="9742" width="6.7109375" style="5" customWidth="1"/>
    <col min="9743" max="9743" width="7.5703125" style="5" customWidth="1"/>
    <col min="9744" max="9744" width="6.85546875" style="5" customWidth="1"/>
    <col min="9745" max="9745" width="6.28515625" style="5" customWidth="1"/>
    <col min="9746" max="9746" width="5.7109375" style="5" customWidth="1"/>
    <col min="9747" max="9747" width="16.5703125" style="5" bestFit="1" customWidth="1"/>
    <col min="9748" max="9748" width="5.7109375" style="5" customWidth="1"/>
    <col min="9749" max="9749" width="5" style="5" bestFit="1" customWidth="1"/>
    <col min="9750" max="9750" width="4.85546875" style="5" bestFit="1" customWidth="1"/>
    <col min="9751" max="9751" width="5.7109375" style="5" customWidth="1"/>
    <col min="9752" max="9752" width="6.5703125" style="5" bestFit="1" customWidth="1"/>
    <col min="9753" max="9983" width="11.42578125" style="5"/>
    <col min="9984" max="9984" width="0.140625" style="5" customWidth="1"/>
    <col min="9985" max="9985" width="2.7109375" style="5" customWidth="1"/>
    <col min="9986" max="9986" width="15.42578125" style="5" customWidth="1"/>
    <col min="9987" max="9987" width="1.28515625" style="5" customWidth="1"/>
    <col min="9988" max="9988" width="1.7109375" style="5" customWidth="1"/>
    <col min="9989" max="9989" width="22.5703125" style="5" customWidth="1"/>
    <col min="9990" max="9998" width="6.7109375" style="5" customWidth="1"/>
    <col min="9999" max="9999" width="7.5703125" style="5" customWidth="1"/>
    <col min="10000" max="10000" width="6.85546875" style="5" customWidth="1"/>
    <col min="10001" max="10001" width="6.28515625" style="5" customWidth="1"/>
    <col min="10002" max="10002" width="5.7109375" style="5" customWidth="1"/>
    <col min="10003" max="10003" width="16.5703125" style="5" bestFit="1" customWidth="1"/>
    <col min="10004" max="10004" width="5.7109375" style="5" customWidth="1"/>
    <col min="10005" max="10005" width="5" style="5" bestFit="1" customWidth="1"/>
    <col min="10006" max="10006" width="4.85546875" style="5" bestFit="1" customWidth="1"/>
    <col min="10007" max="10007" width="5.7109375" style="5" customWidth="1"/>
    <col min="10008" max="10008" width="6.5703125" style="5" bestFit="1" customWidth="1"/>
    <col min="10009" max="10239" width="11.42578125" style="5"/>
    <col min="10240" max="10240" width="0.140625" style="5" customWidth="1"/>
    <col min="10241" max="10241" width="2.7109375" style="5" customWidth="1"/>
    <col min="10242" max="10242" width="15.42578125" style="5" customWidth="1"/>
    <col min="10243" max="10243" width="1.28515625" style="5" customWidth="1"/>
    <col min="10244" max="10244" width="1.7109375" style="5" customWidth="1"/>
    <col min="10245" max="10245" width="22.5703125" style="5" customWidth="1"/>
    <col min="10246" max="10254" width="6.7109375" style="5" customWidth="1"/>
    <col min="10255" max="10255" width="7.5703125" style="5" customWidth="1"/>
    <col min="10256" max="10256" width="6.85546875" style="5" customWidth="1"/>
    <col min="10257" max="10257" width="6.28515625" style="5" customWidth="1"/>
    <col min="10258" max="10258" width="5.7109375" style="5" customWidth="1"/>
    <col min="10259" max="10259" width="16.5703125" style="5" bestFit="1" customWidth="1"/>
    <col min="10260" max="10260" width="5.7109375" style="5" customWidth="1"/>
    <col min="10261" max="10261" width="5" style="5" bestFit="1" customWidth="1"/>
    <col min="10262" max="10262" width="4.85546875" style="5" bestFit="1" customWidth="1"/>
    <col min="10263" max="10263" width="5.7109375" style="5" customWidth="1"/>
    <col min="10264" max="10264" width="6.5703125" style="5" bestFit="1" customWidth="1"/>
    <col min="10265" max="10495" width="11.42578125" style="5"/>
    <col min="10496" max="10496" width="0.140625" style="5" customWidth="1"/>
    <col min="10497" max="10497" width="2.7109375" style="5" customWidth="1"/>
    <col min="10498" max="10498" width="15.42578125" style="5" customWidth="1"/>
    <col min="10499" max="10499" width="1.28515625" style="5" customWidth="1"/>
    <col min="10500" max="10500" width="1.7109375" style="5" customWidth="1"/>
    <col min="10501" max="10501" width="22.5703125" style="5" customWidth="1"/>
    <col min="10502" max="10510" width="6.7109375" style="5" customWidth="1"/>
    <col min="10511" max="10511" width="7.5703125" style="5" customWidth="1"/>
    <col min="10512" max="10512" width="6.85546875" style="5" customWidth="1"/>
    <col min="10513" max="10513" width="6.28515625" style="5" customWidth="1"/>
    <col min="10514" max="10514" width="5.7109375" style="5" customWidth="1"/>
    <col min="10515" max="10515" width="16.5703125" style="5" bestFit="1" customWidth="1"/>
    <col min="10516" max="10516" width="5.7109375" style="5" customWidth="1"/>
    <col min="10517" max="10517" width="5" style="5" bestFit="1" customWidth="1"/>
    <col min="10518" max="10518" width="4.85546875" style="5" bestFit="1" customWidth="1"/>
    <col min="10519" max="10519" width="5.7109375" style="5" customWidth="1"/>
    <col min="10520" max="10520" width="6.5703125" style="5" bestFit="1" customWidth="1"/>
    <col min="10521" max="10751" width="11.42578125" style="5"/>
    <col min="10752" max="10752" width="0.140625" style="5" customWidth="1"/>
    <col min="10753" max="10753" width="2.7109375" style="5" customWidth="1"/>
    <col min="10754" max="10754" width="15.42578125" style="5" customWidth="1"/>
    <col min="10755" max="10755" width="1.28515625" style="5" customWidth="1"/>
    <col min="10756" max="10756" width="1.7109375" style="5" customWidth="1"/>
    <col min="10757" max="10757" width="22.5703125" style="5" customWidth="1"/>
    <col min="10758" max="10766" width="6.7109375" style="5" customWidth="1"/>
    <col min="10767" max="10767" width="7.5703125" style="5" customWidth="1"/>
    <col min="10768" max="10768" width="6.85546875" style="5" customWidth="1"/>
    <col min="10769" max="10769" width="6.28515625" style="5" customWidth="1"/>
    <col min="10770" max="10770" width="5.7109375" style="5" customWidth="1"/>
    <col min="10771" max="10771" width="16.5703125" style="5" bestFit="1" customWidth="1"/>
    <col min="10772" max="10772" width="5.7109375" style="5" customWidth="1"/>
    <col min="10773" max="10773" width="5" style="5" bestFit="1" customWidth="1"/>
    <col min="10774" max="10774" width="4.85546875" style="5" bestFit="1" customWidth="1"/>
    <col min="10775" max="10775" width="5.7109375" style="5" customWidth="1"/>
    <col min="10776" max="10776" width="6.5703125" style="5" bestFit="1" customWidth="1"/>
    <col min="10777" max="11007" width="11.42578125" style="5"/>
    <col min="11008" max="11008" width="0.140625" style="5" customWidth="1"/>
    <col min="11009" max="11009" width="2.7109375" style="5" customWidth="1"/>
    <col min="11010" max="11010" width="15.42578125" style="5" customWidth="1"/>
    <col min="11011" max="11011" width="1.28515625" style="5" customWidth="1"/>
    <col min="11012" max="11012" width="1.7109375" style="5" customWidth="1"/>
    <col min="11013" max="11013" width="22.5703125" style="5" customWidth="1"/>
    <col min="11014" max="11022" width="6.7109375" style="5" customWidth="1"/>
    <col min="11023" max="11023" width="7.5703125" style="5" customWidth="1"/>
    <col min="11024" max="11024" width="6.85546875" style="5" customWidth="1"/>
    <col min="11025" max="11025" width="6.28515625" style="5" customWidth="1"/>
    <col min="11026" max="11026" width="5.7109375" style="5" customWidth="1"/>
    <col min="11027" max="11027" width="16.5703125" style="5" bestFit="1" customWidth="1"/>
    <col min="11028" max="11028" width="5.7109375" style="5" customWidth="1"/>
    <col min="11029" max="11029" width="5" style="5" bestFit="1" customWidth="1"/>
    <col min="11030" max="11030" width="4.85546875" style="5" bestFit="1" customWidth="1"/>
    <col min="11031" max="11031" width="5.7109375" style="5" customWidth="1"/>
    <col min="11032" max="11032" width="6.5703125" style="5" bestFit="1" customWidth="1"/>
    <col min="11033" max="11263" width="11.42578125" style="5"/>
    <col min="11264" max="11264" width="0.140625" style="5" customWidth="1"/>
    <col min="11265" max="11265" width="2.7109375" style="5" customWidth="1"/>
    <col min="11266" max="11266" width="15.42578125" style="5" customWidth="1"/>
    <col min="11267" max="11267" width="1.28515625" style="5" customWidth="1"/>
    <col min="11268" max="11268" width="1.7109375" style="5" customWidth="1"/>
    <col min="11269" max="11269" width="22.5703125" style="5" customWidth="1"/>
    <col min="11270" max="11278" width="6.7109375" style="5" customWidth="1"/>
    <col min="11279" max="11279" width="7.5703125" style="5" customWidth="1"/>
    <col min="11280" max="11280" width="6.85546875" style="5" customWidth="1"/>
    <col min="11281" max="11281" width="6.28515625" style="5" customWidth="1"/>
    <col min="11282" max="11282" width="5.7109375" style="5" customWidth="1"/>
    <col min="11283" max="11283" width="16.5703125" style="5" bestFit="1" customWidth="1"/>
    <col min="11284" max="11284" width="5.7109375" style="5" customWidth="1"/>
    <col min="11285" max="11285" width="5" style="5" bestFit="1" customWidth="1"/>
    <col min="11286" max="11286" width="4.85546875" style="5" bestFit="1" customWidth="1"/>
    <col min="11287" max="11287" width="5.7109375" style="5" customWidth="1"/>
    <col min="11288" max="11288" width="6.5703125" style="5" bestFit="1" customWidth="1"/>
    <col min="11289" max="11519" width="11.42578125" style="5"/>
    <col min="11520" max="11520" width="0.140625" style="5" customWidth="1"/>
    <col min="11521" max="11521" width="2.7109375" style="5" customWidth="1"/>
    <col min="11522" max="11522" width="15.42578125" style="5" customWidth="1"/>
    <col min="11523" max="11523" width="1.28515625" style="5" customWidth="1"/>
    <col min="11524" max="11524" width="1.7109375" style="5" customWidth="1"/>
    <col min="11525" max="11525" width="22.5703125" style="5" customWidth="1"/>
    <col min="11526" max="11534" width="6.7109375" style="5" customWidth="1"/>
    <col min="11535" max="11535" width="7.5703125" style="5" customWidth="1"/>
    <col min="11536" max="11536" width="6.85546875" style="5" customWidth="1"/>
    <col min="11537" max="11537" width="6.28515625" style="5" customWidth="1"/>
    <col min="11538" max="11538" width="5.7109375" style="5" customWidth="1"/>
    <col min="11539" max="11539" width="16.5703125" style="5" bestFit="1" customWidth="1"/>
    <col min="11540" max="11540" width="5.7109375" style="5" customWidth="1"/>
    <col min="11541" max="11541" width="5" style="5" bestFit="1" customWidth="1"/>
    <col min="11542" max="11542" width="4.85546875" style="5" bestFit="1" customWidth="1"/>
    <col min="11543" max="11543" width="5.7109375" style="5" customWidth="1"/>
    <col min="11544" max="11544" width="6.5703125" style="5" bestFit="1" customWidth="1"/>
    <col min="11545" max="11775" width="11.42578125" style="5"/>
    <col min="11776" max="11776" width="0.140625" style="5" customWidth="1"/>
    <col min="11777" max="11777" width="2.7109375" style="5" customWidth="1"/>
    <col min="11778" max="11778" width="15.42578125" style="5" customWidth="1"/>
    <col min="11779" max="11779" width="1.28515625" style="5" customWidth="1"/>
    <col min="11780" max="11780" width="1.7109375" style="5" customWidth="1"/>
    <col min="11781" max="11781" width="22.5703125" style="5" customWidth="1"/>
    <col min="11782" max="11790" width="6.7109375" style="5" customWidth="1"/>
    <col min="11791" max="11791" width="7.5703125" style="5" customWidth="1"/>
    <col min="11792" max="11792" width="6.85546875" style="5" customWidth="1"/>
    <col min="11793" max="11793" width="6.28515625" style="5" customWidth="1"/>
    <col min="11794" max="11794" width="5.7109375" style="5" customWidth="1"/>
    <col min="11795" max="11795" width="16.5703125" style="5" bestFit="1" customWidth="1"/>
    <col min="11796" max="11796" width="5.7109375" style="5" customWidth="1"/>
    <col min="11797" max="11797" width="5" style="5" bestFit="1" customWidth="1"/>
    <col min="11798" max="11798" width="4.85546875" style="5" bestFit="1" customWidth="1"/>
    <col min="11799" max="11799" width="5.7109375" style="5" customWidth="1"/>
    <col min="11800" max="11800" width="6.5703125" style="5" bestFit="1" customWidth="1"/>
    <col min="11801" max="12031" width="11.42578125" style="5"/>
    <col min="12032" max="12032" width="0.140625" style="5" customWidth="1"/>
    <col min="12033" max="12033" width="2.7109375" style="5" customWidth="1"/>
    <col min="12034" max="12034" width="15.42578125" style="5" customWidth="1"/>
    <col min="12035" max="12035" width="1.28515625" style="5" customWidth="1"/>
    <col min="12036" max="12036" width="1.7109375" style="5" customWidth="1"/>
    <col min="12037" max="12037" width="22.5703125" style="5" customWidth="1"/>
    <col min="12038" max="12046" width="6.7109375" style="5" customWidth="1"/>
    <col min="12047" max="12047" width="7.5703125" style="5" customWidth="1"/>
    <col min="12048" max="12048" width="6.85546875" style="5" customWidth="1"/>
    <col min="12049" max="12049" width="6.28515625" style="5" customWidth="1"/>
    <col min="12050" max="12050" width="5.7109375" style="5" customWidth="1"/>
    <col min="12051" max="12051" width="16.5703125" style="5" bestFit="1" customWidth="1"/>
    <col min="12052" max="12052" width="5.7109375" style="5" customWidth="1"/>
    <col min="12053" max="12053" width="5" style="5" bestFit="1" customWidth="1"/>
    <col min="12054" max="12054" width="4.85546875" style="5" bestFit="1" customWidth="1"/>
    <col min="12055" max="12055" width="5.7109375" style="5" customWidth="1"/>
    <col min="12056" max="12056" width="6.5703125" style="5" bestFit="1" customWidth="1"/>
    <col min="12057" max="12287" width="11.42578125" style="5"/>
    <col min="12288" max="12288" width="0.140625" style="5" customWidth="1"/>
    <col min="12289" max="12289" width="2.7109375" style="5" customWidth="1"/>
    <col min="12290" max="12290" width="15.42578125" style="5" customWidth="1"/>
    <col min="12291" max="12291" width="1.28515625" style="5" customWidth="1"/>
    <col min="12292" max="12292" width="1.7109375" style="5" customWidth="1"/>
    <col min="12293" max="12293" width="22.5703125" style="5" customWidth="1"/>
    <col min="12294" max="12302" width="6.7109375" style="5" customWidth="1"/>
    <col min="12303" max="12303" width="7.5703125" style="5" customWidth="1"/>
    <col min="12304" max="12304" width="6.85546875" style="5" customWidth="1"/>
    <col min="12305" max="12305" width="6.28515625" style="5" customWidth="1"/>
    <col min="12306" max="12306" width="5.7109375" style="5" customWidth="1"/>
    <col min="12307" max="12307" width="16.5703125" style="5" bestFit="1" customWidth="1"/>
    <col min="12308" max="12308" width="5.7109375" style="5" customWidth="1"/>
    <col min="12309" max="12309" width="5" style="5" bestFit="1" customWidth="1"/>
    <col min="12310" max="12310" width="4.85546875" style="5" bestFit="1" customWidth="1"/>
    <col min="12311" max="12311" width="5.7109375" style="5" customWidth="1"/>
    <col min="12312" max="12312" width="6.5703125" style="5" bestFit="1" customWidth="1"/>
    <col min="12313" max="12543" width="11.42578125" style="5"/>
    <col min="12544" max="12544" width="0.140625" style="5" customWidth="1"/>
    <col min="12545" max="12545" width="2.7109375" style="5" customWidth="1"/>
    <col min="12546" max="12546" width="15.42578125" style="5" customWidth="1"/>
    <col min="12547" max="12547" width="1.28515625" style="5" customWidth="1"/>
    <col min="12548" max="12548" width="1.7109375" style="5" customWidth="1"/>
    <col min="12549" max="12549" width="22.5703125" style="5" customWidth="1"/>
    <col min="12550" max="12558" width="6.7109375" style="5" customWidth="1"/>
    <col min="12559" max="12559" width="7.5703125" style="5" customWidth="1"/>
    <col min="12560" max="12560" width="6.85546875" style="5" customWidth="1"/>
    <col min="12561" max="12561" width="6.28515625" style="5" customWidth="1"/>
    <col min="12562" max="12562" width="5.7109375" style="5" customWidth="1"/>
    <col min="12563" max="12563" width="16.5703125" style="5" bestFit="1" customWidth="1"/>
    <col min="12564" max="12564" width="5.7109375" style="5" customWidth="1"/>
    <col min="12565" max="12565" width="5" style="5" bestFit="1" customWidth="1"/>
    <col min="12566" max="12566" width="4.85546875" style="5" bestFit="1" customWidth="1"/>
    <col min="12567" max="12567" width="5.7109375" style="5" customWidth="1"/>
    <col min="12568" max="12568" width="6.5703125" style="5" bestFit="1" customWidth="1"/>
    <col min="12569" max="12799" width="11.42578125" style="5"/>
    <col min="12800" max="12800" width="0.140625" style="5" customWidth="1"/>
    <col min="12801" max="12801" width="2.7109375" style="5" customWidth="1"/>
    <col min="12802" max="12802" width="15.42578125" style="5" customWidth="1"/>
    <col min="12803" max="12803" width="1.28515625" style="5" customWidth="1"/>
    <col min="12804" max="12804" width="1.7109375" style="5" customWidth="1"/>
    <col min="12805" max="12805" width="22.5703125" style="5" customWidth="1"/>
    <col min="12806" max="12814" width="6.7109375" style="5" customWidth="1"/>
    <col min="12815" max="12815" width="7.5703125" style="5" customWidth="1"/>
    <col min="12816" max="12816" width="6.85546875" style="5" customWidth="1"/>
    <col min="12817" max="12817" width="6.28515625" style="5" customWidth="1"/>
    <col min="12818" max="12818" width="5.7109375" style="5" customWidth="1"/>
    <col min="12819" max="12819" width="16.5703125" style="5" bestFit="1" customWidth="1"/>
    <col min="12820" max="12820" width="5.7109375" style="5" customWidth="1"/>
    <col min="12821" max="12821" width="5" style="5" bestFit="1" customWidth="1"/>
    <col min="12822" max="12822" width="4.85546875" style="5" bestFit="1" customWidth="1"/>
    <col min="12823" max="12823" width="5.7109375" style="5" customWidth="1"/>
    <col min="12824" max="12824" width="6.5703125" style="5" bestFit="1" customWidth="1"/>
    <col min="12825" max="13055" width="11.42578125" style="5"/>
    <col min="13056" max="13056" width="0.140625" style="5" customWidth="1"/>
    <col min="13057" max="13057" width="2.7109375" style="5" customWidth="1"/>
    <col min="13058" max="13058" width="15.42578125" style="5" customWidth="1"/>
    <col min="13059" max="13059" width="1.28515625" style="5" customWidth="1"/>
    <col min="13060" max="13060" width="1.7109375" style="5" customWidth="1"/>
    <col min="13061" max="13061" width="22.5703125" style="5" customWidth="1"/>
    <col min="13062" max="13070" width="6.7109375" style="5" customWidth="1"/>
    <col min="13071" max="13071" width="7.5703125" style="5" customWidth="1"/>
    <col min="13072" max="13072" width="6.85546875" style="5" customWidth="1"/>
    <col min="13073" max="13073" width="6.28515625" style="5" customWidth="1"/>
    <col min="13074" max="13074" width="5.7109375" style="5" customWidth="1"/>
    <col min="13075" max="13075" width="16.5703125" style="5" bestFit="1" customWidth="1"/>
    <col min="13076" max="13076" width="5.7109375" style="5" customWidth="1"/>
    <col min="13077" max="13077" width="5" style="5" bestFit="1" customWidth="1"/>
    <col min="13078" max="13078" width="4.85546875" style="5" bestFit="1" customWidth="1"/>
    <col min="13079" max="13079" width="5.7109375" style="5" customWidth="1"/>
    <col min="13080" max="13080" width="6.5703125" style="5" bestFit="1" customWidth="1"/>
    <col min="13081" max="13311" width="11.42578125" style="5"/>
    <col min="13312" max="13312" width="0.140625" style="5" customWidth="1"/>
    <col min="13313" max="13313" width="2.7109375" style="5" customWidth="1"/>
    <col min="13314" max="13314" width="15.42578125" style="5" customWidth="1"/>
    <col min="13315" max="13315" width="1.28515625" style="5" customWidth="1"/>
    <col min="13316" max="13316" width="1.7109375" style="5" customWidth="1"/>
    <col min="13317" max="13317" width="22.5703125" style="5" customWidth="1"/>
    <col min="13318" max="13326" width="6.7109375" style="5" customWidth="1"/>
    <col min="13327" max="13327" width="7.5703125" style="5" customWidth="1"/>
    <col min="13328" max="13328" width="6.85546875" style="5" customWidth="1"/>
    <col min="13329" max="13329" width="6.28515625" style="5" customWidth="1"/>
    <col min="13330" max="13330" width="5.7109375" style="5" customWidth="1"/>
    <col min="13331" max="13331" width="16.5703125" style="5" bestFit="1" customWidth="1"/>
    <col min="13332" max="13332" width="5.7109375" style="5" customWidth="1"/>
    <col min="13333" max="13333" width="5" style="5" bestFit="1" customWidth="1"/>
    <col min="13334" max="13334" width="4.85546875" style="5" bestFit="1" customWidth="1"/>
    <col min="13335" max="13335" width="5.7109375" style="5" customWidth="1"/>
    <col min="13336" max="13336" width="6.5703125" style="5" bestFit="1" customWidth="1"/>
    <col min="13337" max="13567" width="11.42578125" style="5"/>
    <col min="13568" max="13568" width="0.140625" style="5" customWidth="1"/>
    <col min="13569" max="13569" width="2.7109375" style="5" customWidth="1"/>
    <col min="13570" max="13570" width="15.42578125" style="5" customWidth="1"/>
    <col min="13571" max="13571" width="1.28515625" style="5" customWidth="1"/>
    <col min="13572" max="13572" width="1.7109375" style="5" customWidth="1"/>
    <col min="13573" max="13573" width="22.5703125" style="5" customWidth="1"/>
    <col min="13574" max="13582" width="6.7109375" style="5" customWidth="1"/>
    <col min="13583" max="13583" width="7.5703125" style="5" customWidth="1"/>
    <col min="13584" max="13584" width="6.85546875" style="5" customWidth="1"/>
    <col min="13585" max="13585" width="6.28515625" style="5" customWidth="1"/>
    <col min="13586" max="13586" width="5.7109375" style="5" customWidth="1"/>
    <col min="13587" max="13587" width="16.5703125" style="5" bestFit="1" customWidth="1"/>
    <col min="13588" max="13588" width="5.7109375" style="5" customWidth="1"/>
    <col min="13589" max="13589" width="5" style="5" bestFit="1" customWidth="1"/>
    <col min="13590" max="13590" width="4.85546875" style="5" bestFit="1" customWidth="1"/>
    <col min="13591" max="13591" width="5.7109375" style="5" customWidth="1"/>
    <col min="13592" max="13592" width="6.5703125" style="5" bestFit="1" customWidth="1"/>
    <col min="13593" max="13823" width="11.42578125" style="5"/>
    <col min="13824" max="13824" width="0.140625" style="5" customWidth="1"/>
    <col min="13825" max="13825" width="2.7109375" style="5" customWidth="1"/>
    <col min="13826" max="13826" width="15.42578125" style="5" customWidth="1"/>
    <col min="13827" max="13827" width="1.28515625" style="5" customWidth="1"/>
    <col min="13828" max="13828" width="1.7109375" style="5" customWidth="1"/>
    <col min="13829" max="13829" width="22.5703125" style="5" customWidth="1"/>
    <col min="13830" max="13838" width="6.7109375" style="5" customWidth="1"/>
    <col min="13839" max="13839" width="7.5703125" style="5" customWidth="1"/>
    <col min="13840" max="13840" width="6.85546875" style="5" customWidth="1"/>
    <col min="13841" max="13841" width="6.28515625" style="5" customWidth="1"/>
    <col min="13842" max="13842" width="5.7109375" style="5" customWidth="1"/>
    <col min="13843" max="13843" width="16.5703125" style="5" bestFit="1" customWidth="1"/>
    <col min="13844" max="13844" width="5.7109375" style="5" customWidth="1"/>
    <col min="13845" max="13845" width="5" style="5" bestFit="1" customWidth="1"/>
    <col min="13846" max="13846" width="4.85546875" style="5" bestFit="1" customWidth="1"/>
    <col min="13847" max="13847" width="5.7109375" style="5" customWidth="1"/>
    <col min="13848" max="13848" width="6.5703125" style="5" bestFit="1" customWidth="1"/>
    <col min="13849" max="14079" width="11.42578125" style="5"/>
    <col min="14080" max="14080" width="0.140625" style="5" customWidth="1"/>
    <col min="14081" max="14081" width="2.7109375" style="5" customWidth="1"/>
    <col min="14082" max="14082" width="15.42578125" style="5" customWidth="1"/>
    <col min="14083" max="14083" width="1.28515625" style="5" customWidth="1"/>
    <col min="14084" max="14084" width="1.7109375" style="5" customWidth="1"/>
    <col min="14085" max="14085" width="22.5703125" style="5" customWidth="1"/>
    <col min="14086" max="14094" width="6.7109375" style="5" customWidth="1"/>
    <col min="14095" max="14095" width="7.5703125" style="5" customWidth="1"/>
    <col min="14096" max="14096" width="6.85546875" style="5" customWidth="1"/>
    <col min="14097" max="14097" width="6.28515625" style="5" customWidth="1"/>
    <col min="14098" max="14098" width="5.7109375" style="5" customWidth="1"/>
    <col min="14099" max="14099" width="16.5703125" style="5" bestFit="1" customWidth="1"/>
    <col min="14100" max="14100" width="5.7109375" style="5" customWidth="1"/>
    <col min="14101" max="14101" width="5" style="5" bestFit="1" customWidth="1"/>
    <col min="14102" max="14102" width="4.85546875" style="5" bestFit="1" customWidth="1"/>
    <col min="14103" max="14103" width="5.7109375" style="5" customWidth="1"/>
    <col min="14104" max="14104" width="6.5703125" style="5" bestFit="1" customWidth="1"/>
    <col min="14105" max="14335" width="11.42578125" style="5"/>
    <col min="14336" max="14336" width="0.140625" style="5" customWidth="1"/>
    <col min="14337" max="14337" width="2.7109375" style="5" customWidth="1"/>
    <col min="14338" max="14338" width="15.42578125" style="5" customWidth="1"/>
    <col min="14339" max="14339" width="1.28515625" style="5" customWidth="1"/>
    <col min="14340" max="14340" width="1.7109375" style="5" customWidth="1"/>
    <col min="14341" max="14341" width="22.5703125" style="5" customWidth="1"/>
    <col min="14342" max="14350" width="6.7109375" style="5" customWidth="1"/>
    <col min="14351" max="14351" width="7.5703125" style="5" customWidth="1"/>
    <col min="14352" max="14352" width="6.85546875" style="5" customWidth="1"/>
    <col min="14353" max="14353" width="6.28515625" style="5" customWidth="1"/>
    <col min="14354" max="14354" width="5.7109375" style="5" customWidth="1"/>
    <col min="14355" max="14355" width="16.5703125" style="5" bestFit="1" customWidth="1"/>
    <col min="14356" max="14356" width="5.7109375" style="5" customWidth="1"/>
    <col min="14357" max="14357" width="5" style="5" bestFit="1" customWidth="1"/>
    <col min="14358" max="14358" width="4.85546875" style="5" bestFit="1" customWidth="1"/>
    <col min="14359" max="14359" width="5.7109375" style="5" customWidth="1"/>
    <col min="14360" max="14360" width="6.5703125" style="5" bestFit="1" customWidth="1"/>
    <col min="14361" max="14591" width="11.42578125" style="5"/>
    <col min="14592" max="14592" width="0.140625" style="5" customWidth="1"/>
    <col min="14593" max="14593" width="2.7109375" style="5" customWidth="1"/>
    <col min="14594" max="14594" width="15.42578125" style="5" customWidth="1"/>
    <col min="14595" max="14595" width="1.28515625" style="5" customWidth="1"/>
    <col min="14596" max="14596" width="1.7109375" style="5" customWidth="1"/>
    <col min="14597" max="14597" width="22.5703125" style="5" customWidth="1"/>
    <col min="14598" max="14606" width="6.7109375" style="5" customWidth="1"/>
    <col min="14607" max="14607" width="7.5703125" style="5" customWidth="1"/>
    <col min="14608" max="14608" width="6.85546875" style="5" customWidth="1"/>
    <col min="14609" max="14609" width="6.28515625" style="5" customWidth="1"/>
    <col min="14610" max="14610" width="5.7109375" style="5" customWidth="1"/>
    <col min="14611" max="14611" width="16.5703125" style="5" bestFit="1" customWidth="1"/>
    <col min="14612" max="14612" width="5.7109375" style="5" customWidth="1"/>
    <col min="14613" max="14613" width="5" style="5" bestFit="1" customWidth="1"/>
    <col min="14614" max="14614" width="4.85546875" style="5" bestFit="1" customWidth="1"/>
    <col min="14615" max="14615" width="5.7109375" style="5" customWidth="1"/>
    <col min="14616" max="14616" width="6.5703125" style="5" bestFit="1" customWidth="1"/>
    <col min="14617" max="14847" width="11.42578125" style="5"/>
    <col min="14848" max="14848" width="0.140625" style="5" customWidth="1"/>
    <col min="14849" max="14849" width="2.7109375" style="5" customWidth="1"/>
    <col min="14850" max="14850" width="15.42578125" style="5" customWidth="1"/>
    <col min="14851" max="14851" width="1.28515625" style="5" customWidth="1"/>
    <col min="14852" max="14852" width="1.7109375" style="5" customWidth="1"/>
    <col min="14853" max="14853" width="22.5703125" style="5" customWidth="1"/>
    <col min="14854" max="14862" width="6.7109375" style="5" customWidth="1"/>
    <col min="14863" max="14863" width="7.5703125" style="5" customWidth="1"/>
    <col min="14864" max="14864" width="6.85546875" style="5" customWidth="1"/>
    <col min="14865" max="14865" width="6.28515625" style="5" customWidth="1"/>
    <col min="14866" max="14866" width="5.7109375" style="5" customWidth="1"/>
    <col min="14867" max="14867" width="16.5703125" style="5" bestFit="1" customWidth="1"/>
    <col min="14868" max="14868" width="5.7109375" style="5" customWidth="1"/>
    <col min="14869" max="14869" width="5" style="5" bestFit="1" customWidth="1"/>
    <col min="14870" max="14870" width="4.85546875" style="5" bestFit="1" customWidth="1"/>
    <col min="14871" max="14871" width="5.7109375" style="5" customWidth="1"/>
    <col min="14872" max="14872" width="6.5703125" style="5" bestFit="1" customWidth="1"/>
    <col min="14873" max="15103" width="11.42578125" style="5"/>
    <col min="15104" max="15104" width="0.140625" style="5" customWidth="1"/>
    <col min="15105" max="15105" width="2.7109375" style="5" customWidth="1"/>
    <col min="15106" max="15106" width="15.42578125" style="5" customWidth="1"/>
    <col min="15107" max="15107" width="1.28515625" style="5" customWidth="1"/>
    <col min="15108" max="15108" width="1.7109375" style="5" customWidth="1"/>
    <col min="15109" max="15109" width="22.5703125" style="5" customWidth="1"/>
    <col min="15110" max="15118" width="6.7109375" style="5" customWidth="1"/>
    <col min="15119" max="15119" width="7.5703125" style="5" customWidth="1"/>
    <col min="15120" max="15120" width="6.85546875" style="5" customWidth="1"/>
    <col min="15121" max="15121" width="6.28515625" style="5" customWidth="1"/>
    <col min="15122" max="15122" width="5.7109375" style="5" customWidth="1"/>
    <col min="15123" max="15123" width="16.5703125" style="5" bestFit="1" customWidth="1"/>
    <col min="15124" max="15124" width="5.7109375" style="5" customWidth="1"/>
    <col min="15125" max="15125" width="5" style="5" bestFit="1" customWidth="1"/>
    <col min="15126" max="15126" width="4.85546875" style="5" bestFit="1" customWidth="1"/>
    <col min="15127" max="15127" width="5.7109375" style="5" customWidth="1"/>
    <col min="15128" max="15128" width="6.5703125" style="5" bestFit="1" customWidth="1"/>
    <col min="15129" max="15359" width="11.42578125" style="5"/>
    <col min="15360" max="15360" width="0.140625" style="5" customWidth="1"/>
    <col min="15361" max="15361" width="2.7109375" style="5" customWidth="1"/>
    <col min="15362" max="15362" width="15.42578125" style="5" customWidth="1"/>
    <col min="15363" max="15363" width="1.28515625" style="5" customWidth="1"/>
    <col min="15364" max="15364" width="1.7109375" style="5" customWidth="1"/>
    <col min="15365" max="15365" width="22.5703125" style="5" customWidth="1"/>
    <col min="15366" max="15374" width="6.7109375" style="5" customWidth="1"/>
    <col min="15375" max="15375" width="7.5703125" style="5" customWidth="1"/>
    <col min="15376" max="15376" width="6.85546875" style="5" customWidth="1"/>
    <col min="15377" max="15377" width="6.28515625" style="5" customWidth="1"/>
    <col min="15378" max="15378" width="5.7109375" style="5" customWidth="1"/>
    <col min="15379" max="15379" width="16.5703125" style="5" bestFit="1" customWidth="1"/>
    <col min="15380" max="15380" width="5.7109375" style="5" customWidth="1"/>
    <col min="15381" max="15381" width="5" style="5" bestFit="1" customWidth="1"/>
    <col min="15382" max="15382" width="4.85546875" style="5" bestFit="1" customWidth="1"/>
    <col min="15383" max="15383" width="5.7109375" style="5" customWidth="1"/>
    <col min="15384" max="15384" width="6.5703125" style="5" bestFit="1" customWidth="1"/>
    <col min="15385" max="15615" width="11.42578125" style="5"/>
    <col min="15616" max="15616" width="0.140625" style="5" customWidth="1"/>
    <col min="15617" max="15617" width="2.7109375" style="5" customWidth="1"/>
    <col min="15618" max="15618" width="15.42578125" style="5" customWidth="1"/>
    <col min="15619" max="15619" width="1.28515625" style="5" customWidth="1"/>
    <col min="15620" max="15620" width="1.7109375" style="5" customWidth="1"/>
    <col min="15621" max="15621" width="22.5703125" style="5" customWidth="1"/>
    <col min="15622" max="15630" width="6.7109375" style="5" customWidth="1"/>
    <col min="15631" max="15631" width="7.5703125" style="5" customWidth="1"/>
    <col min="15632" max="15632" width="6.85546875" style="5" customWidth="1"/>
    <col min="15633" max="15633" width="6.28515625" style="5" customWidth="1"/>
    <col min="15634" max="15634" width="5.7109375" style="5" customWidth="1"/>
    <col min="15635" max="15635" width="16.5703125" style="5" bestFit="1" customWidth="1"/>
    <col min="15636" max="15636" width="5.7109375" style="5" customWidth="1"/>
    <col min="15637" max="15637" width="5" style="5" bestFit="1" customWidth="1"/>
    <col min="15638" max="15638" width="4.85546875" style="5" bestFit="1" customWidth="1"/>
    <col min="15639" max="15639" width="5.7109375" style="5" customWidth="1"/>
    <col min="15640" max="15640" width="6.5703125" style="5" bestFit="1" customWidth="1"/>
    <col min="15641" max="15871" width="11.42578125" style="5"/>
    <col min="15872" max="15872" width="0.140625" style="5" customWidth="1"/>
    <col min="15873" max="15873" width="2.7109375" style="5" customWidth="1"/>
    <col min="15874" max="15874" width="15.42578125" style="5" customWidth="1"/>
    <col min="15875" max="15875" width="1.28515625" style="5" customWidth="1"/>
    <col min="15876" max="15876" width="1.7109375" style="5" customWidth="1"/>
    <col min="15877" max="15877" width="22.5703125" style="5" customWidth="1"/>
    <col min="15878" max="15886" width="6.7109375" style="5" customWidth="1"/>
    <col min="15887" max="15887" width="7.5703125" style="5" customWidth="1"/>
    <col min="15888" max="15888" width="6.85546875" style="5" customWidth="1"/>
    <col min="15889" max="15889" width="6.28515625" style="5" customWidth="1"/>
    <col min="15890" max="15890" width="5.7109375" style="5" customWidth="1"/>
    <col min="15891" max="15891" width="16.5703125" style="5" bestFit="1" customWidth="1"/>
    <col min="15892" max="15892" width="5.7109375" style="5" customWidth="1"/>
    <col min="15893" max="15893" width="5" style="5" bestFit="1" customWidth="1"/>
    <col min="15894" max="15894" width="4.85546875" style="5" bestFit="1" customWidth="1"/>
    <col min="15895" max="15895" width="5.7109375" style="5" customWidth="1"/>
    <col min="15896" max="15896" width="6.5703125" style="5" bestFit="1" customWidth="1"/>
    <col min="15897" max="16127" width="11.42578125" style="5"/>
    <col min="16128" max="16128" width="0.140625" style="5" customWidth="1"/>
    <col min="16129" max="16129" width="2.7109375" style="5" customWidth="1"/>
    <col min="16130" max="16130" width="15.42578125" style="5" customWidth="1"/>
    <col min="16131" max="16131" width="1.28515625" style="5" customWidth="1"/>
    <col min="16132" max="16132" width="1.7109375" style="5" customWidth="1"/>
    <col min="16133" max="16133" width="22.5703125" style="5" customWidth="1"/>
    <col min="16134" max="16142" width="6.7109375" style="5" customWidth="1"/>
    <col min="16143" max="16143" width="7.5703125" style="5" customWidth="1"/>
    <col min="16144" max="16144" width="6.85546875" style="5" customWidth="1"/>
    <col min="16145" max="16145" width="6.28515625" style="5" customWidth="1"/>
    <col min="16146" max="16146" width="5.7109375" style="5" customWidth="1"/>
    <col min="16147" max="16147" width="16.5703125" style="5" bestFit="1" customWidth="1"/>
    <col min="16148" max="16148" width="5.7109375" style="5" customWidth="1"/>
    <col min="16149" max="16149" width="5" style="5" bestFit="1" customWidth="1"/>
    <col min="16150" max="16150" width="4.85546875" style="5" bestFit="1" customWidth="1"/>
    <col min="16151" max="16151" width="5.7109375" style="5" customWidth="1"/>
    <col min="16152" max="16152" width="6.5703125" style="5" bestFit="1" customWidth="1"/>
    <col min="16153" max="16384" width="11.42578125" style="5"/>
  </cols>
  <sheetData>
    <row r="1" spans="3:19" ht="0.75" customHeight="1"/>
    <row r="2" spans="3:19" ht="21" customHeight="1">
      <c r="K2" s="6"/>
      <c r="O2" s="7" t="s">
        <v>87</v>
      </c>
    </row>
    <row r="3" spans="3:19" ht="15" customHeight="1">
      <c r="F3" s="464"/>
      <c r="G3" s="464"/>
      <c r="H3" s="464"/>
      <c r="I3" s="464"/>
      <c r="J3" s="464"/>
      <c r="K3" s="464"/>
      <c r="L3" s="464"/>
      <c r="M3" s="464"/>
      <c r="N3" s="464"/>
      <c r="O3" s="437" t="s">
        <v>119</v>
      </c>
    </row>
    <row r="4" spans="3:19" ht="20.25" customHeight="1">
      <c r="C4" s="168" t="s">
        <v>136</v>
      </c>
    </row>
    <row r="5" spans="3:19" ht="12.75" customHeight="1">
      <c r="H5" s="4"/>
      <c r="I5" s="4"/>
      <c r="J5" s="4"/>
      <c r="K5" s="4"/>
      <c r="L5" s="4"/>
      <c r="M5" s="4"/>
    </row>
    <row r="6" spans="3:19" ht="13.5" customHeight="1">
      <c r="E6" s="10"/>
      <c r="F6" s="10"/>
      <c r="H6" s="4"/>
      <c r="I6" s="4"/>
      <c r="J6" s="4"/>
      <c r="K6" s="4"/>
      <c r="L6" s="4"/>
      <c r="M6" s="4"/>
    </row>
    <row r="7" spans="3:19" s="12" customFormat="1" ht="81.75">
      <c r="C7" s="11" t="s">
        <v>88</v>
      </c>
      <c r="E7" s="13"/>
      <c r="F7" s="14" t="s">
        <v>89</v>
      </c>
      <c r="G7" s="14" t="s">
        <v>72</v>
      </c>
      <c r="H7" s="14" t="s">
        <v>75</v>
      </c>
      <c r="I7" s="14" t="s">
        <v>37</v>
      </c>
      <c r="J7" s="14" t="s">
        <v>82</v>
      </c>
      <c r="K7" s="14" t="s">
        <v>38</v>
      </c>
      <c r="L7" s="14" t="s">
        <v>90</v>
      </c>
      <c r="M7" s="14" t="s">
        <v>84</v>
      </c>
      <c r="N7" s="14" t="s">
        <v>81</v>
      </c>
      <c r="O7" s="14" t="s">
        <v>66</v>
      </c>
      <c r="Q7" s="15"/>
    </row>
    <row r="8" spans="3:19" s="17" customFormat="1" ht="12.75" customHeight="1">
      <c r="C8" s="16" t="s">
        <v>91</v>
      </c>
      <c r="E8" s="18" t="s">
        <v>26</v>
      </c>
      <c r="F8" s="19">
        <f>'Data 1'!D28</f>
        <v>755.31991024000001</v>
      </c>
      <c r="G8" s="19">
        <f>'Data 1'!E28</f>
        <v>3879.0931740000005</v>
      </c>
      <c r="H8" s="19">
        <f>'Data 1'!F28</f>
        <v>2226.5081224999999</v>
      </c>
      <c r="I8" s="19" t="str">
        <f>'Data 1'!G28</f>
        <v>-</v>
      </c>
      <c r="J8" s="19">
        <f>'Data 1'!H28</f>
        <v>417.19885299999999</v>
      </c>
      <c r="K8" s="19">
        <f>'Data 1'!I28</f>
        <v>3.275909</v>
      </c>
      <c r="L8" s="19">
        <f>'Data 1'!J28</f>
        <v>318.08434799999998</v>
      </c>
      <c r="M8" s="19">
        <f>'Data 1'!K28</f>
        <v>770.15189199999998</v>
      </c>
      <c r="N8" s="19">
        <f>'Data 1'!L28</f>
        <v>8056.9914055399995</v>
      </c>
      <c r="O8" s="19">
        <f>'Data 1'!M28</f>
        <v>5371.4442057760007</v>
      </c>
      <c r="P8" s="20"/>
      <c r="Q8" s="21"/>
      <c r="R8" s="22"/>
      <c r="S8" s="23"/>
    </row>
    <row r="9" spans="3:19" s="17" customFormat="1" ht="12.75" customHeight="1">
      <c r="C9" s="16"/>
      <c r="E9" s="24" t="s">
        <v>92</v>
      </c>
      <c r="F9" s="19">
        <f>'Data 1'!D29</f>
        <v>106.72110576</v>
      </c>
      <c r="G9" s="19">
        <f>'Data 1'!E29</f>
        <v>133.91807500000002</v>
      </c>
      <c r="H9" s="19">
        <f>'Data 1'!F29</f>
        <v>7.5048504999999999</v>
      </c>
      <c r="I9" s="19" t="str">
        <f>'Data 1'!G29</f>
        <v>-</v>
      </c>
      <c r="J9" s="19">
        <f>'Data 1'!H29</f>
        <v>966.36502199999995</v>
      </c>
      <c r="K9" s="19" t="str">
        <f>'Data 1'!I29</f>
        <v>-</v>
      </c>
      <c r="L9" s="19">
        <f>'Data 1'!J29</f>
        <v>291.68915099999998</v>
      </c>
      <c r="M9" s="19">
        <f>'Data 1'!K29</f>
        <v>41.313352000000002</v>
      </c>
      <c r="N9" s="19">
        <f>'Data 1'!L29</f>
        <v>347.11528745999999</v>
      </c>
      <c r="O9" s="19">
        <f>'Data 1'!M29</f>
        <v>54.373875224000003</v>
      </c>
      <c r="P9" s="20"/>
      <c r="Q9" s="21"/>
      <c r="R9" s="22"/>
      <c r="S9" s="23"/>
    </row>
    <row r="10" spans="3:19" s="26" customFormat="1" ht="12.75" customHeight="1">
      <c r="C10" s="25"/>
      <c r="E10" s="18" t="s">
        <v>27</v>
      </c>
      <c r="F10" s="19" t="str">
        <f>'Data 1'!D30</f>
        <v>-</v>
      </c>
      <c r="G10" s="19" t="str">
        <f>'Data 1'!E30</f>
        <v>-</v>
      </c>
      <c r="H10" s="19" t="str">
        <f>'Data 1'!F30</f>
        <v>-</v>
      </c>
      <c r="I10" s="19" t="str">
        <f>'Data 1'!G30</f>
        <v>-</v>
      </c>
      <c r="J10" s="19">
        <f>'Data 1'!H30</f>
        <v>8799.4141390000004</v>
      </c>
      <c r="K10" s="19" t="str">
        <f>'Data 1'!I30</f>
        <v>-</v>
      </c>
      <c r="L10" s="19" t="str">
        <f>'Data 1'!J30</f>
        <v>-</v>
      </c>
      <c r="M10" s="19">
        <f>'Data 1'!K30</f>
        <v>7714.4555969999992</v>
      </c>
      <c r="N10" s="19" t="str">
        <f>'Data 1'!L30</f>
        <v>-</v>
      </c>
      <c r="O10" s="19">
        <f>'Data 1'!M30</f>
        <v>20999.317242000001</v>
      </c>
      <c r="P10" s="20"/>
      <c r="Q10" s="21"/>
      <c r="R10" s="22"/>
      <c r="S10" s="23"/>
    </row>
    <row r="11" spans="3:19" s="26" customFormat="1" ht="12.75" customHeight="1">
      <c r="E11" s="18" t="s">
        <v>28</v>
      </c>
      <c r="F11" s="19">
        <f>'Data 1'!D31</f>
        <v>10869.536484999999</v>
      </c>
      <c r="G11" s="19">
        <f>'Data 1'!E31</f>
        <v>2941.4376010000005</v>
      </c>
      <c r="H11" s="19">
        <f>'Data 1'!F31</f>
        <v>7485.1067439999997</v>
      </c>
      <c r="I11" s="19">
        <f>'Data 1'!G31</f>
        <v>2391.8497910000006</v>
      </c>
      <c r="J11" s="19" t="str">
        <f>'Data 1'!H31</f>
        <v>-</v>
      </c>
      <c r="K11" s="19" t="str">
        <f>'Data 1'!I31</f>
        <v>-</v>
      </c>
      <c r="L11" s="19" t="str">
        <f>'Data 1'!J31</f>
        <v>-</v>
      </c>
      <c r="M11" s="19" t="str">
        <f>'Data 1'!K31</f>
        <v>-</v>
      </c>
      <c r="N11" s="19">
        <f>'Data 1'!L31</f>
        <v>3277.8532390000005</v>
      </c>
      <c r="O11" s="19" t="str">
        <f>'Data 1'!M31</f>
        <v>-</v>
      </c>
      <c r="P11" s="20"/>
      <c r="Q11" s="27"/>
      <c r="R11" s="22"/>
      <c r="S11" s="23"/>
    </row>
    <row r="12" spans="3:19" s="4" customFormat="1" ht="12.75" customHeight="1">
      <c r="E12" s="28" t="s">
        <v>93</v>
      </c>
      <c r="F12" s="19" t="str">
        <f>'Data 1'!D32</f>
        <v>-</v>
      </c>
      <c r="G12" s="19" t="str">
        <f>'Data 1'!E32</f>
        <v>-</v>
      </c>
      <c r="H12" s="19" t="str">
        <f>'Data 1'!F32</f>
        <v>-</v>
      </c>
      <c r="I12" s="19">
        <f>'Data 1'!G32</f>
        <v>1412.6826839999999</v>
      </c>
      <c r="J12" s="19" t="str">
        <f>'Data 1'!H32</f>
        <v>-</v>
      </c>
      <c r="K12" s="19">
        <f>'Data 1'!I32</f>
        <v>4860.9501870000013</v>
      </c>
      <c r="L12" s="19" t="str">
        <f>'Data 1'!J32</f>
        <v>-</v>
      </c>
      <c r="M12" s="19" t="str">
        <f>'Data 1'!K32</f>
        <v>-</v>
      </c>
      <c r="N12" s="19" t="str">
        <f>'Data 1'!L32</f>
        <v>-</v>
      </c>
      <c r="O12" s="19" t="str">
        <f>'Data 1'!M32</f>
        <v>-</v>
      </c>
      <c r="P12" s="20"/>
      <c r="Q12" s="29"/>
      <c r="R12" s="22"/>
      <c r="S12" s="23"/>
    </row>
    <row r="13" spans="3:19" s="4" customFormat="1" ht="12.75" customHeight="1">
      <c r="E13" s="28" t="s">
        <v>94</v>
      </c>
      <c r="F13" s="19">
        <f>'Data 1'!D33</f>
        <v>6264.827126000001</v>
      </c>
      <c r="G13" s="19">
        <f>'Data 1'!E33</f>
        <v>59.868959000000004</v>
      </c>
      <c r="H13" s="19">
        <f>'Data 1'!F33</f>
        <v>586.41095199999995</v>
      </c>
      <c r="I13" s="19">
        <f>'Data 1'!G33</f>
        <v>590.5292639999999</v>
      </c>
      <c r="J13" s="19">
        <f>'Data 1'!H33</f>
        <v>4118.6404399999992</v>
      </c>
      <c r="K13" s="19">
        <f>'Data 1'!I33</f>
        <v>3051.0216080000005</v>
      </c>
      <c r="L13" s="19" t="str">
        <f>'Data 1'!J33</f>
        <v>-</v>
      </c>
      <c r="M13" s="19">
        <f>'Data 1'!K33</f>
        <v>1401.751424</v>
      </c>
      <c r="N13" s="19" t="str">
        <f>'Data 1'!L33</f>
        <v>-</v>
      </c>
      <c r="O13" s="19">
        <f>'Data 1'!M33</f>
        <v>7136.7624990000004</v>
      </c>
      <c r="P13" s="20"/>
      <c r="Q13" s="29"/>
      <c r="R13" s="22"/>
      <c r="S13" s="23"/>
    </row>
    <row r="14" spans="3:19" s="4" customFormat="1" ht="12.75" customHeight="1">
      <c r="E14" s="18" t="s">
        <v>69</v>
      </c>
      <c r="F14" s="19" t="str">
        <f>'Data 1'!D34</f>
        <v>-</v>
      </c>
      <c r="G14" s="19" t="str">
        <f>'Data 1'!E34</f>
        <v>-</v>
      </c>
      <c r="H14" s="19" t="str">
        <f>'Data 1'!F34</f>
        <v>-</v>
      </c>
      <c r="I14" s="19" t="str">
        <f>'Data 1'!G34</f>
        <v>-</v>
      </c>
      <c r="J14" s="19" t="str">
        <f>'Data 1'!H34</f>
        <v>-</v>
      </c>
      <c r="K14" s="19">
        <f>'Data 1'!I34</f>
        <v>23.655544000000003</v>
      </c>
      <c r="L14" s="19" t="str">
        <f>'Data 1'!J34</f>
        <v>-</v>
      </c>
      <c r="M14" s="19" t="str">
        <f>'Data 1'!K34</f>
        <v>-</v>
      </c>
      <c r="N14" s="19" t="str">
        <f>'Data 1'!L34</f>
        <v>-</v>
      </c>
      <c r="O14" s="19" t="str">
        <f>'Data 1'!M34</f>
        <v>-</v>
      </c>
      <c r="P14" s="20"/>
      <c r="Q14" s="29"/>
      <c r="R14" s="22"/>
      <c r="S14" s="23"/>
    </row>
    <row r="15" spans="3:19" s="4" customFormat="1" ht="12.75" customHeight="1">
      <c r="E15" s="18" t="s">
        <v>50</v>
      </c>
      <c r="F15" s="19">
        <f>'Data 1'!D35</f>
        <v>6250.7780570000004</v>
      </c>
      <c r="G15" s="19">
        <f>'Data 1'!E35</f>
        <v>4340.0370149999999</v>
      </c>
      <c r="H15" s="19">
        <f>'Data 1'!F35</f>
        <v>1113.9868490000001</v>
      </c>
      <c r="I15" s="19">
        <f>'Data 1'!G35</f>
        <v>3.7571710000000005</v>
      </c>
      <c r="J15" s="19">
        <f>'Data 1'!H35</f>
        <v>2461.935328</v>
      </c>
      <c r="K15" s="19">
        <f>'Data 1'!I35</f>
        <v>620.57070399999986</v>
      </c>
      <c r="L15" s="19">
        <f>'Data 1'!J35</f>
        <v>66.871954000000002</v>
      </c>
      <c r="M15" s="19">
        <f>'Data 1'!K35</f>
        <v>8065.1061529999988</v>
      </c>
      <c r="N15" s="19">
        <f>'Data 1'!L35</f>
        <v>11435.242407000002</v>
      </c>
      <c r="O15" s="19">
        <f>'Data 1'!M35</f>
        <v>2709.2184999999999</v>
      </c>
      <c r="P15" s="20"/>
      <c r="Q15" s="29"/>
      <c r="R15" s="22"/>
      <c r="S15" s="23"/>
    </row>
    <row r="16" spans="3:19" s="4" customFormat="1" ht="12.75" customHeight="1">
      <c r="E16" s="18" t="s">
        <v>51</v>
      </c>
      <c r="F16" s="19">
        <f>'Data 1'!D36</f>
        <v>1469.5909060000001</v>
      </c>
      <c r="G16" s="19">
        <f>'Data 1'!E36</f>
        <v>288.20882799999993</v>
      </c>
      <c r="H16" s="19">
        <f>'Data 1'!F36</f>
        <v>0.48137599999999997</v>
      </c>
      <c r="I16" s="19">
        <f>'Data 1'!G36</f>
        <v>112.251642</v>
      </c>
      <c r="J16" s="19">
        <f>'Data 1'!H36</f>
        <v>525.94846900000005</v>
      </c>
      <c r="K16" s="19">
        <f>'Data 1'!I36</f>
        <v>271.61321200000003</v>
      </c>
      <c r="L16" s="19">
        <f>'Data 1'!J36</f>
        <v>1.8050139999999997</v>
      </c>
      <c r="M16" s="19">
        <f>'Data 1'!K36</f>
        <v>1575.2437290000003</v>
      </c>
      <c r="N16" s="19">
        <f>'Data 1'!L36</f>
        <v>801.59210800000005</v>
      </c>
      <c r="O16" s="19">
        <f>'Data 1'!M36</f>
        <v>383.30437699999999</v>
      </c>
      <c r="P16" s="20"/>
      <c r="Q16" s="29"/>
      <c r="R16" s="22"/>
      <c r="S16" s="23"/>
    </row>
    <row r="17" spans="5:19" s="4" customFormat="1" ht="12.75" customHeight="1">
      <c r="E17" s="18" t="s">
        <v>67</v>
      </c>
      <c r="F17" s="19">
        <f>'Data 1'!D37</f>
        <v>1937.6260470000002</v>
      </c>
      <c r="G17" s="19" t="str">
        <f>'Data 1'!E37</f>
        <v>-</v>
      </c>
      <c r="H17" s="19" t="str">
        <f>'Data 1'!F37</f>
        <v>-</v>
      </c>
      <c r="I17" s="19" t="str">
        <f>'Data 1'!G37</f>
        <v>-</v>
      </c>
      <c r="J17" s="19">
        <f>'Data 1'!H37</f>
        <v>87.712472999999989</v>
      </c>
      <c r="K17" s="19" t="str">
        <f>'Data 1'!I37</f>
        <v>-</v>
      </c>
      <c r="L17" s="19" t="str">
        <f>'Data 1'!J37</f>
        <v>-</v>
      </c>
      <c r="M17" s="19">
        <f>'Data 1'!K37</f>
        <v>650.07807600000001</v>
      </c>
      <c r="N17" s="19" t="str">
        <f>'Data 1'!L37</f>
        <v>-</v>
      </c>
      <c r="O17" s="19">
        <f>'Data 1'!M37</f>
        <v>76.605625000000018</v>
      </c>
      <c r="P17" s="20"/>
      <c r="Q17" s="29"/>
      <c r="R17" s="22"/>
      <c r="S17" s="23"/>
    </row>
    <row r="18" spans="5:19" s="4" customFormat="1" ht="12.75" customHeight="1">
      <c r="E18" s="28" t="s">
        <v>95</v>
      </c>
      <c r="F18" s="19">
        <f>'Data 1'!D38</f>
        <v>1332.7616170000001</v>
      </c>
      <c r="G18" s="19">
        <f>'Data 1'!E38</f>
        <v>53.709086000000006</v>
      </c>
      <c r="H18" s="19">
        <f>'Data 1'!F38</f>
        <v>255.60142299999998</v>
      </c>
      <c r="I18" s="19">
        <f>'Data 1'!G38</f>
        <v>1.332595</v>
      </c>
      <c r="J18" s="19">
        <f>'Data 1'!H38</f>
        <v>37.879639000000005</v>
      </c>
      <c r="K18" s="19">
        <f>'Data 1'!I38</f>
        <v>8.931597</v>
      </c>
      <c r="L18" s="19">
        <f>'Data 1'!J38</f>
        <v>81.567729000000028</v>
      </c>
      <c r="M18" s="19">
        <f>'Data 1'!K38</f>
        <v>271.49264000000005</v>
      </c>
      <c r="N18" s="19">
        <f>'Data 1'!L38</f>
        <v>270.573217</v>
      </c>
      <c r="O18" s="19">
        <f>'Data 1'!M38</f>
        <v>170.64164100000002</v>
      </c>
      <c r="P18" s="20"/>
      <c r="Q18" s="29"/>
      <c r="R18" s="22"/>
      <c r="S18" s="23"/>
    </row>
    <row r="19" spans="5:19" s="4" customFormat="1" ht="12.75" customHeight="1">
      <c r="E19" s="28" t="s">
        <v>74</v>
      </c>
      <c r="F19" s="19">
        <f>'Data 1'!D39</f>
        <v>5198.4369230000011</v>
      </c>
      <c r="G19" s="19">
        <f>'Data 1'!E39</f>
        <v>3093.716136</v>
      </c>
      <c r="H19" s="19">
        <f>'Data 1'!F39</f>
        <v>356.827179</v>
      </c>
      <c r="I19" s="19">
        <f>'Data 1'!G39</f>
        <v>34.974446</v>
      </c>
      <c r="J19" s="19">
        <f>'Data 1'!H39</f>
        <v>1642.0519319999999</v>
      </c>
      <c r="K19" s="19" t="str">
        <f>'Data 1'!I39</f>
        <v>-</v>
      </c>
      <c r="L19" s="19">
        <f>'Data 1'!J39</f>
        <v>1379.6232369999998</v>
      </c>
      <c r="M19" s="19">
        <f>'Data 1'!K39</f>
        <v>1172.606</v>
      </c>
      <c r="N19" s="19">
        <f>'Data 1'!L39</f>
        <v>2578.5278739999999</v>
      </c>
      <c r="O19" s="19">
        <f>'Data 1'!M39</f>
        <v>5315.2279060000001</v>
      </c>
      <c r="P19" s="20"/>
      <c r="Q19" s="29"/>
      <c r="R19" s="22"/>
      <c r="S19" s="23"/>
    </row>
    <row r="20" spans="5:19" s="4" customFormat="1" ht="12.75" customHeight="1">
      <c r="E20" s="30" t="s">
        <v>96</v>
      </c>
      <c r="F20" s="19">
        <f>'Data 1'!D40</f>
        <v>75.411570000000012</v>
      </c>
      <c r="G20" s="19">
        <f>'Data 1'!E40</f>
        <v>409.02124000000003</v>
      </c>
      <c r="H20" s="19">
        <f>'Data 1'!F40</f>
        <v>768.88472899999999</v>
      </c>
      <c r="I20" s="19">
        <f>'Data 1'!G40</f>
        <v>135.7577445</v>
      </c>
      <c r="J20" s="19">
        <f>'Data 1'!H40</f>
        <v>62.64631</v>
      </c>
      <c r="K20" s="19" t="str">
        <f>'Data 1'!I40</f>
        <v>-</v>
      </c>
      <c r="L20" s="19">
        <f>'Data 1'!J40</f>
        <v>36.435972499999991</v>
      </c>
      <c r="M20" s="19" t="str">
        <f>'Data 1'!K40</f>
        <v>-</v>
      </c>
      <c r="N20" s="19" t="str">
        <f>'Data 1'!L40</f>
        <v>-</v>
      </c>
      <c r="O20" s="19">
        <f>'Data 1'!M40</f>
        <v>127.88268299999997</v>
      </c>
      <c r="P20" s="20"/>
      <c r="Q20" s="29"/>
      <c r="R20" s="22"/>
      <c r="S20" s="23"/>
    </row>
    <row r="21" spans="5:19" s="4" customFormat="1" ht="12.75" customHeight="1">
      <c r="E21" s="30" t="s">
        <v>97</v>
      </c>
      <c r="F21" s="19" t="str">
        <f>'Data 1'!D41</f>
        <v>-</v>
      </c>
      <c r="G21" s="19" t="str">
        <f>'Data 1'!E41</f>
        <v>-</v>
      </c>
      <c r="H21" s="19" t="str">
        <f>'Data 1'!F41</f>
        <v>-</v>
      </c>
      <c r="I21" s="19">
        <f>'Data 1'!G41</f>
        <v>135.7577445</v>
      </c>
      <c r="J21" s="19" t="str">
        <f>'Data 1'!H41</f>
        <v>-</v>
      </c>
      <c r="K21" s="19" t="str">
        <f>'Data 1'!I41</f>
        <v>-</v>
      </c>
      <c r="L21" s="19">
        <f>'Data 1'!J41</f>
        <v>36.435972499999991</v>
      </c>
      <c r="M21" s="19" t="str">
        <f>'Data 1'!K41</f>
        <v>-</v>
      </c>
      <c r="N21" s="19" t="str">
        <f>'Data 1'!L41</f>
        <v>-</v>
      </c>
      <c r="O21" s="19">
        <f>'Data 1'!M41</f>
        <v>120.054013</v>
      </c>
      <c r="P21" s="20"/>
      <c r="Q21" s="29"/>
      <c r="R21" s="22"/>
      <c r="S21" s="23"/>
    </row>
    <row r="22" spans="5:19" s="4" customFormat="1" ht="12.75" customHeight="1">
      <c r="E22" s="31" t="s">
        <v>73</v>
      </c>
      <c r="F22" s="32">
        <f>SUM(F8:F21)</f>
        <v>34261.009747000004</v>
      </c>
      <c r="G22" s="32">
        <f>SUM(G8:G21)</f>
        <v>15199.010114000002</v>
      </c>
      <c r="H22" s="32">
        <f t="shared" ref="H22:O22" si="0">SUM(H8:H21)</f>
        <v>12801.312225</v>
      </c>
      <c r="I22" s="32">
        <f t="shared" si="0"/>
        <v>4818.8930820000005</v>
      </c>
      <c r="J22" s="32">
        <f t="shared" si="0"/>
        <v>19119.792604999995</v>
      </c>
      <c r="K22" s="32">
        <f t="shared" si="0"/>
        <v>8840.018761000003</v>
      </c>
      <c r="L22" s="32">
        <f t="shared" si="0"/>
        <v>2212.5133779999996</v>
      </c>
      <c r="M22" s="32">
        <f t="shared" si="0"/>
        <v>21662.198863000001</v>
      </c>
      <c r="N22" s="32">
        <f t="shared" si="0"/>
        <v>26767.895538000004</v>
      </c>
      <c r="O22" s="32">
        <f t="shared" si="0"/>
        <v>42464.832567000005</v>
      </c>
      <c r="Q22" s="29"/>
      <c r="R22" s="22"/>
      <c r="S22" s="23"/>
    </row>
    <row r="23" spans="5:19" s="4" customFormat="1" ht="12.75" customHeight="1">
      <c r="E23" s="18" t="s">
        <v>98</v>
      </c>
      <c r="F23" s="19">
        <f>'Data 1'!D43</f>
        <v>-156.51037200000002</v>
      </c>
      <c r="G23" s="19">
        <f>'Data 1'!E43</f>
        <v>-158.032501</v>
      </c>
      <c r="H23" s="19">
        <f>'Data 1'!F43</f>
        <v>-11.269874999999999</v>
      </c>
      <c r="I23" s="19" t="str">
        <f>'Data 1'!G43</f>
        <v>-</v>
      </c>
      <c r="J23" s="19">
        <f>'Data 1'!H43</f>
        <v>-1273.3075200000001</v>
      </c>
      <c r="K23" s="19" t="str">
        <f>'Data 1'!I43</f>
        <v>-</v>
      </c>
      <c r="L23" s="19">
        <f>'Data 1'!J43</f>
        <v>-429.39357400000006</v>
      </c>
      <c r="M23" s="19">
        <f>'Data 1'!K43</f>
        <v>-61.386667919000004</v>
      </c>
      <c r="N23" s="19">
        <f>'Data 1'!L43</f>
        <v>-753.95074099999999</v>
      </c>
      <c r="O23" s="19">
        <f>'Data 1'!M43</f>
        <v>-81.406797999999995</v>
      </c>
      <c r="Q23" s="29"/>
    </row>
    <row r="24" spans="5:19" s="4" customFormat="1" ht="12.75" customHeight="1">
      <c r="E24" s="18" t="s">
        <v>99</v>
      </c>
      <c r="F24" s="19">
        <f>'Data 1'!D44</f>
        <v>6132.3060919999998</v>
      </c>
      <c r="G24" s="19">
        <f>'Data 1'!E44</f>
        <v>-4310.4076329999998</v>
      </c>
      <c r="H24" s="19">
        <f>'Data 1'!F44</f>
        <v>-2151.4477730000003</v>
      </c>
      <c r="I24" s="19">
        <f>'Data 1'!G44</f>
        <v>1233.358142</v>
      </c>
      <c r="J24" s="19">
        <f>'Data 1'!H44</f>
        <v>9653.8781980000003</v>
      </c>
      <c r="K24" s="19" t="str">
        <f>'Data 1'!I44</f>
        <v>-</v>
      </c>
      <c r="L24" s="19">
        <f>'Data 1'!J44</f>
        <v>2491.5533569999998</v>
      </c>
      <c r="M24" s="19">
        <f>'Data 1'!K44</f>
        <v>-9852.7365849999987</v>
      </c>
      <c r="N24" s="19">
        <f>'Data 1'!L44</f>
        <v>-11725.649815000001</v>
      </c>
      <c r="O24" s="19">
        <f>'Data 1'!M44</f>
        <v>4939.0757779999994</v>
      </c>
      <c r="Q24" s="29"/>
    </row>
    <row r="25" spans="5:19" s="4" customFormat="1" ht="12.75" customHeight="1">
      <c r="E25" s="33" t="s">
        <v>112</v>
      </c>
      <c r="F25" s="34">
        <f>SUM(F22:F24)</f>
        <v>40236.805467000006</v>
      </c>
      <c r="G25" s="34">
        <f t="shared" ref="G25:O25" si="1">SUM(G22:G24)</f>
        <v>10730.569980000004</v>
      </c>
      <c r="H25" s="34">
        <f t="shared" si="1"/>
        <v>10638.594577</v>
      </c>
      <c r="I25" s="34">
        <f t="shared" si="1"/>
        <v>6052.2512240000005</v>
      </c>
      <c r="J25" s="34">
        <f t="shared" si="1"/>
        <v>27500.363282999999</v>
      </c>
      <c r="K25" s="34">
        <f t="shared" si="1"/>
        <v>8840.018761000003</v>
      </c>
      <c r="L25" s="34">
        <f t="shared" si="1"/>
        <v>4274.6731609999988</v>
      </c>
      <c r="M25" s="34">
        <f t="shared" si="1"/>
        <v>11748.075610081003</v>
      </c>
      <c r="N25" s="34">
        <f t="shared" si="1"/>
        <v>14288.294982000003</v>
      </c>
      <c r="O25" s="34">
        <f t="shared" si="1"/>
        <v>47322.501547</v>
      </c>
      <c r="Q25" s="29"/>
    </row>
    <row r="26" spans="5:19" s="4" customFormat="1" ht="12.75" customHeight="1">
      <c r="E26" s="35" t="s">
        <v>100</v>
      </c>
      <c r="F26" s="34">
        <f>'Data 1'!D24</f>
        <v>40164.565687000002</v>
      </c>
      <c r="G26" s="34">
        <f>'Data 1'!E24</f>
        <v>10665.771225</v>
      </c>
      <c r="H26" s="34">
        <f>'Data 1'!F24</f>
        <v>10600.672993</v>
      </c>
      <c r="I26" s="34">
        <f>'Data 1'!G24</f>
        <v>6016.4160160000001</v>
      </c>
      <c r="J26" s="34">
        <f>'Data 1'!H24</f>
        <v>26949.970572999999</v>
      </c>
      <c r="K26" s="34">
        <f>'Data 1'!I24</f>
        <v>8931.0630249999995</v>
      </c>
      <c r="L26" s="34">
        <f>'Data 1'!J24</f>
        <v>4372.1911049999999</v>
      </c>
      <c r="M26" s="34">
        <f>'Data 1'!K24</f>
        <v>11715.038234341999</v>
      </c>
      <c r="N26" s="34">
        <f>'Data 1'!L24</f>
        <v>14075.732916999999</v>
      </c>
      <c r="O26" s="34">
        <f>'Data 1'!M24</f>
        <v>47799.86864700001</v>
      </c>
      <c r="Q26" s="29"/>
    </row>
    <row r="27" spans="5:19" s="4" customFormat="1" ht="12.75" customHeight="1">
      <c r="E27" s="36" t="s">
        <v>113</v>
      </c>
      <c r="F27" s="37">
        <f>(F25/F26-1)*100</f>
        <v>0.17985948251741934</v>
      </c>
      <c r="G27" s="37">
        <f t="shared" ref="G27:O27" si="2">(G25/G26-1)*100</f>
        <v>0.60753932962782642</v>
      </c>
      <c r="H27" s="37">
        <f t="shared" si="2"/>
        <v>0.35772808033076586</v>
      </c>
      <c r="I27" s="37">
        <f>(I25/I26-1)*100</f>
        <v>0.5956238382568646</v>
      </c>
      <c r="J27" s="37">
        <f t="shared" si="2"/>
        <v>2.0422757364767286</v>
      </c>
      <c r="K27" s="37">
        <f t="shared" si="2"/>
        <v>-1.0194112811111489</v>
      </c>
      <c r="L27" s="37">
        <f>(L25/L26-1)*100</f>
        <v>-2.2304135765813249</v>
      </c>
      <c r="M27" s="37">
        <f t="shared" si="2"/>
        <v>0.28200826218522934</v>
      </c>
      <c r="N27" s="37">
        <f t="shared" si="2"/>
        <v>1.5101314173365799</v>
      </c>
      <c r="O27" s="37">
        <f t="shared" si="2"/>
        <v>-0.99867868576238861</v>
      </c>
    </row>
    <row r="28" spans="5:19" s="4" customFormat="1" ht="12.75" customHeight="1"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R28" s="22"/>
    </row>
    <row r="29" spans="5:19" s="4" customFormat="1" ht="59.25" customHeight="1">
      <c r="E29" s="13"/>
      <c r="F29" s="14" t="s">
        <v>42</v>
      </c>
      <c r="G29" s="14" t="s">
        <v>101</v>
      </c>
      <c r="H29" s="14" t="s">
        <v>102</v>
      </c>
      <c r="I29" s="14" t="s">
        <v>103</v>
      </c>
      <c r="J29" s="14" t="s">
        <v>83</v>
      </c>
      <c r="K29" s="14" t="s">
        <v>39</v>
      </c>
      <c r="L29" s="14" t="s">
        <v>104</v>
      </c>
      <c r="M29" s="14" t="s">
        <v>105</v>
      </c>
      <c r="N29" s="14" t="s">
        <v>71</v>
      </c>
      <c r="O29" s="14" t="s">
        <v>29</v>
      </c>
    </row>
    <row r="30" spans="5:19" s="4" customFormat="1" ht="12.75" customHeight="1">
      <c r="E30" s="18" t="s">
        <v>26</v>
      </c>
      <c r="F30" s="19" t="str">
        <f>'Data 1'!N28</f>
        <v>-</v>
      </c>
      <c r="G30" s="19">
        <f>'Data 1'!O28</f>
        <v>2304.3482882159997</v>
      </c>
      <c r="H30" s="19">
        <f>'Data 1'!P28</f>
        <v>8525.5452416000007</v>
      </c>
      <c r="I30" s="19">
        <f>'Data 1'!Q28</f>
        <v>167.442092</v>
      </c>
      <c r="J30" s="19">
        <f>'Data 1'!R28</f>
        <v>122.874118</v>
      </c>
      <c r="K30" s="19" t="str">
        <f>'Data 1'!S28</f>
        <v>-</v>
      </c>
      <c r="L30" s="19">
        <f>'Data 1'!T28</f>
        <v>78.491162999999986</v>
      </c>
      <c r="M30" s="19">
        <f>'Data 1'!U28</f>
        <v>660.52080999999998</v>
      </c>
      <c r="N30" s="19">
        <f>'Data 1'!V28</f>
        <v>442.78316199999995</v>
      </c>
      <c r="O30" s="40">
        <f t="shared" ref="O30:O43" si="3">SUM(F8:O8,F30:N30)</f>
        <v>34100.072694871997</v>
      </c>
      <c r="P30" s="41"/>
      <c r="Q30" s="41"/>
      <c r="S30" s="23"/>
    </row>
    <row r="31" spans="5:19" s="4" customFormat="1" ht="12.75" customHeight="1">
      <c r="E31" s="24" t="s">
        <v>92</v>
      </c>
      <c r="F31" s="19" t="str">
        <f>'Data 1'!N29</f>
        <v>-</v>
      </c>
      <c r="G31" s="19">
        <f>'Data 1'!O29</f>
        <v>23.680346783999997</v>
      </c>
      <c r="H31" s="19">
        <f>'Data 1'!P29</f>
        <v>36.696122400000007</v>
      </c>
      <c r="I31" s="19" t="str">
        <f>'Data 1'!Q29</f>
        <v>-</v>
      </c>
      <c r="J31" s="19" t="str">
        <f>'Data 1'!R29</f>
        <v>-</v>
      </c>
      <c r="K31" s="19" t="str">
        <f>'Data 1'!S29</f>
        <v>-</v>
      </c>
      <c r="L31" s="19" t="str">
        <f>'Data 1'!T29</f>
        <v>-</v>
      </c>
      <c r="M31" s="19" t="str">
        <f>'Data 1'!U29</f>
        <v>-</v>
      </c>
      <c r="N31" s="19" t="str">
        <f>'Data 1'!V29</f>
        <v>-</v>
      </c>
      <c r="O31" s="40">
        <f t="shared" si="3"/>
        <v>2009.3771881279997</v>
      </c>
      <c r="P31" s="41"/>
      <c r="Q31" s="41"/>
      <c r="S31" s="23"/>
    </row>
    <row r="32" spans="5:19" s="4" customFormat="1" ht="12.75" customHeight="1">
      <c r="E32" s="18" t="s">
        <v>27</v>
      </c>
      <c r="F32" s="19" t="str">
        <f>'Data 1'!N30</f>
        <v>-</v>
      </c>
      <c r="G32" s="19">
        <f>'Data 1'!O30</f>
        <v>15684.428905000001</v>
      </c>
      <c r="H32" s="19" t="str">
        <f>'Data 1'!P30</f>
        <v>-</v>
      </c>
      <c r="I32" s="19" t="str">
        <f>'Data 1'!Q30</f>
        <v>-</v>
      </c>
      <c r="J32" s="19" t="str">
        <f>'Data 1'!R30</f>
        <v>-</v>
      </c>
      <c r="K32" s="19" t="str">
        <f>'Data 1'!S30</f>
        <v>-</v>
      </c>
      <c r="L32" s="19" t="str">
        <f>'Data 1'!T30</f>
        <v>-</v>
      </c>
      <c r="M32" s="19" t="str">
        <f>'Data 1'!U30</f>
        <v>-</v>
      </c>
      <c r="N32" s="19" t="str">
        <f>'Data 1'!V30</f>
        <v>-</v>
      </c>
      <c r="O32" s="40">
        <f t="shared" si="3"/>
        <v>53197.615882999999</v>
      </c>
      <c r="P32" s="41"/>
      <c r="Q32" s="41"/>
      <c r="S32" s="23"/>
    </row>
    <row r="33" spans="3:19" s="4" customFormat="1" ht="12.75" customHeight="1">
      <c r="E33" s="18" t="s">
        <v>28</v>
      </c>
      <c r="F33" s="19" t="str">
        <f>'Data 1'!N31</f>
        <v>-</v>
      </c>
      <c r="G33" s="19" t="str">
        <f>'Data 1'!O31</f>
        <v>-</v>
      </c>
      <c r="H33" s="19">
        <f>'Data 1'!P31</f>
        <v>10307.835974000001</v>
      </c>
      <c r="I33" s="19" t="str">
        <f>'Data 1'!Q31</f>
        <v>-</v>
      </c>
      <c r="J33" s="19" t="str">
        <f>'Data 1'!R31</f>
        <v>-</v>
      </c>
      <c r="K33" s="19" t="str">
        <f>'Data 1'!S31</f>
        <v>-</v>
      </c>
      <c r="L33" s="19" t="str">
        <f>'Data 1'!T31</f>
        <v>-</v>
      </c>
      <c r="M33" s="19" t="str">
        <f>'Data 1'!U31</f>
        <v>-</v>
      </c>
      <c r="N33" s="19" t="str">
        <f>'Data 1'!V31</f>
        <v>-</v>
      </c>
      <c r="O33" s="42">
        <f t="shared" si="3"/>
        <v>37273.619833999997</v>
      </c>
      <c r="P33" s="41"/>
      <c r="Q33" s="41"/>
      <c r="S33" s="23"/>
    </row>
    <row r="34" spans="3:19" s="4" customFormat="1" ht="12.75" customHeight="1">
      <c r="E34" s="28" t="s">
        <v>93</v>
      </c>
      <c r="F34" s="19">
        <f>'Data 1'!N32</f>
        <v>207.35622399999997</v>
      </c>
      <c r="G34" s="19" t="str">
        <f>'Data 1'!O32</f>
        <v>-</v>
      </c>
      <c r="H34" s="19" t="str">
        <f>'Data 1'!P32</f>
        <v>-</v>
      </c>
      <c r="I34" s="19" t="str">
        <f>'Data 1'!Q32</f>
        <v>-</v>
      </c>
      <c r="J34" s="19" t="str">
        <f>'Data 1'!R32</f>
        <v>-</v>
      </c>
      <c r="K34" s="19">
        <f>'Data 1'!S32</f>
        <v>202.180767</v>
      </c>
      <c r="L34" s="19" t="str">
        <f>'Data 1'!T32</f>
        <v>-</v>
      </c>
      <c r="M34" s="19" t="str">
        <f>'Data 1'!U32</f>
        <v>-</v>
      </c>
      <c r="N34" s="19" t="str">
        <f>'Data 1'!V32</f>
        <v>-</v>
      </c>
      <c r="O34" s="42">
        <f t="shared" si="3"/>
        <v>6683.1698620000016</v>
      </c>
      <c r="P34" s="41"/>
      <c r="Q34" s="41"/>
      <c r="S34" s="23"/>
    </row>
    <row r="35" spans="3:19" s="4" customFormat="1" ht="12.75" customHeight="1">
      <c r="E35" s="28" t="s">
        <v>94</v>
      </c>
      <c r="F35" s="19" t="str">
        <f>'Data 1'!N33</f>
        <v>-</v>
      </c>
      <c r="G35" s="19" t="str">
        <f>'Data 1'!O33</f>
        <v>-</v>
      </c>
      <c r="H35" s="19">
        <f>'Data 1'!P33</f>
        <v>809.91663400000016</v>
      </c>
      <c r="I35" s="19">
        <f>'Data 1'!Q33</f>
        <v>1096.230726</v>
      </c>
      <c r="J35" s="19" t="str">
        <f>'Data 1'!R33</f>
        <v>-</v>
      </c>
      <c r="K35" s="19" t="str">
        <f>'Data 1'!S33</f>
        <v>-</v>
      </c>
      <c r="L35" s="19">
        <f>'Data 1'!T33</f>
        <v>2932.0502899999997</v>
      </c>
      <c r="M35" s="19">
        <f>'Data 1'!U33</f>
        <v>649.23185200000012</v>
      </c>
      <c r="N35" s="19">
        <f>'Data 1'!V33</f>
        <v>1347.3937570000001</v>
      </c>
      <c r="O35" s="42">
        <f t="shared" si="3"/>
        <v>30044.635531000007</v>
      </c>
      <c r="P35" s="41"/>
      <c r="Q35" s="41"/>
      <c r="S35" s="23"/>
    </row>
    <row r="36" spans="3:19" ht="12.75" customHeight="1">
      <c r="D36" s="5"/>
      <c r="E36" s="18" t="s">
        <v>69</v>
      </c>
      <c r="F36" s="19" t="str">
        <f>'Data 1'!N34</f>
        <v>-</v>
      </c>
      <c r="G36" s="19" t="str">
        <f>'Data 1'!O34</f>
        <v>-</v>
      </c>
      <c r="H36" s="19" t="str">
        <f>'Data 1'!P34</f>
        <v>-</v>
      </c>
      <c r="I36" s="19" t="str">
        <f>'Data 1'!Q34</f>
        <v>-</v>
      </c>
      <c r="J36" s="19" t="str">
        <f>'Data 1'!R34</f>
        <v>-</v>
      </c>
      <c r="K36" s="19" t="str">
        <f>'Data 1'!S34</f>
        <v>-</v>
      </c>
      <c r="L36" s="19" t="str">
        <f>'Data 1'!T34</f>
        <v>-</v>
      </c>
      <c r="M36" s="19" t="str">
        <f>'Data 1'!U34</f>
        <v>-</v>
      </c>
      <c r="N36" s="19" t="str">
        <f>'Data 1'!V34</f>
        <v>-</v>
      </c>
      <c r="O36" s="43">
        <f t="shared" si="3"/>
        <v>23.655544000000003</v>
      </c>
      <c r="P36" s="44"/>
      <c r="Q36" s="44"/>
      <c r="S36" s="23"/>
    </row>
    <row r="37" spans="3:19" ht="12.75" customHeight="1">
      <c r="D37" s="5"/>
      <c r="E37" s="18" t="s">
        <v>50</v>
      </c>
      <c r="F37" s="19" t="str">
        <f>'Data 1'!N35</f>
        <v>-</v>
      </c>
      <c r="G37" s="19" t="str">
        <f>'Data 1'!O35</f>
        <v>-</v>
      </c>
      <c r="H37" s="19">
        <f>'Data 1'!P35</f>
        <v>8373.9055509999998</v>
      </c>
      <c r="I37" s="19">
        <f>'Data 1'!Q35</f>
        <v>908.48087299999997</v>
      </c>
      <c r="J37" s="19" t="str">
        <f>'Data 1'!R35</f>
        <v>-</v>
      </c>
      <c r="K37" s="19" t="str">
        <f>'Data 1'!S35</f>
        <v>-</v>
      </c>
      <c r="L37" s="19">
        <f>'Data 1'!T35</f>
        <v>496.015309</v>
      </c>
      <c r="M37" s="19">
        <f>'Data 1'!U35</f>
        <v>2348.0077650000003</v>
      </c>
      <c r="N37" s="19">
        <f>'Data 1'!V35</f>
        <v>332.14229700000004</v>
      </c>
      <c r="O37" s="43">
        <f t="shared" si="3"/>
        <v>49526.055933000011</v>
      </c>
      <c r="P37" s="44"/>
      <c r="Q37" s="44"/>
      <c r="S37" s="23"/>
    </row>
    <row r="38" spans="3:19" ht="12.75" customHeight="1">
      <c r="D38" s="5"/>
      <c r="E38" s="18" t="s">
        <v>51</v>
      </c>
      <c r="F38" s="19" t="str">
        <f>'Data 1'!N36</f>
        <v>-</v>
      </c>
      <c r="G38" s="19">
        <f>'Data 1'!O36</f>
        <v>1018.155917</v>
      </c>
      <c r="H38" s="19">
        <f>'Data 1'!P36</f>
        <v>18.521409999999999</v>
      </c>
      <c r="I38" s="19">
        <f>'Data 1'!Q36</f>
        <v>130.12136900000002</v>
      </c>
      <c r="J38" s="19">
        <f>'Data 1'!R36</f>
        <v>85.078797000000009</v>
      </c>
      <c r="K38" s="19">
        <f>'Data 1'!S36</f>
        <v>7.4611000000000011E-2</v>
      </c>
      <c r="L38" s="19">
        <f>'Data 1'!T36</f>
        <v>740.95403499999998</v>
      </c>
      <c r="M38" s="19">
        <f>'Data 1'!U36</f>
        <v>295.66210700000005</v>
      </c>
      <c r="N38" s="19">
        <f>'Data 1'!V36</f>
        <v>28.07601</v>
      </c>
      <c r="O38" s="43">
        <f t="shared" si="3"/>
        <v>7746.6839170000012</v>
      </c>
      <c r="P38" s="44"/>
      <c r="Q38" s="44"/>
      <c r="S38" s="23"/>
    </row>
    <row r="39" spans="3:19" ht="12.75" customHeight="1">
      <c r="D39" s="5"/>
      <c r="E39" s="18" t="s">
        <v>67</v>
      </c>
      <c r="F39" s="19" t="str">
        <f>'Data 1'!N37</f>
        <v>-</v>
      </c>
      <c r="G39" s="19">
        <f>'Data 1'!O37</f>
        <v>1634.3986690000002</v>
      </c>
      <c r="H39" s="19" t="str">
        <f>'Data 1'!P37</f>
        <v>-</v>
      </c>
      <c r="I39" s="19" t="str">
        <f>'Data 1'!Q37</f>
        <v>-</v>
      </c>
      <c r="J39" s="19" t="str">
        <f>'Data 1'!R37</f>
        <v>-</v>
      </c>
      <c r="K39" s="19" t="str">
        <f>'Data 1'!S37</f>
        <v>-</v>
      </c>
      <c r="L39" s="19">
        <f>'Data 1'!T37</f>
        <v>37.907719</v>
      </c>
      <c r="M39" s="19" t="str">
        <f>'Data 1'!U37</f>
        <v>-</v>
      </c>
      <c r="N39" s="19" t="str">
        <f>'Data 1'!V37</f>
        <v>-</v>
      </c>
      <c r="O39" s="43">
        <f t="shared" si="3"/>
        <v>4424.3286090000001</v>
      </c>
      <c r="P39" s="44"/>
      <c r="Q39" s="44"/>
      <c r="S39" s="23"/>
    </row>
    <row r="40" spans="3:19" ht="12.75" customHeight="1">
      <c r="D40" s="5"/>
      <c r="E40" s="28" t="s">
        <v>95</v>
      </c>
      <c r="F40" s="19" t="str">
        <f>'Data 1'!N38</f>
        <v>-</v>
      </c>
      <c r="G40" s="19">
        <f>'Data 1'!O38</f>
        <v>243.70050000000003</v>
      </c>
      <c r="H40" s="19">
        <f>'Data 1'!P38</f>
        <v>263.03980300000001</v>
      </c>
      <c r="I40" s="19">
        <f>'Data 1'!Q38</f>
        <v>8.3782479999999993</v>
      </c>
      <c r="J40" s="19">
        <f>'Data 1'!R38</f>
        <v>151.29225699999998</v>
      </c>
      <c r="K40" s="19" t="str">
        <f>'Data 1'!S38</f>
        <v>-</v>
      </c>
      <c r="L40" s="19">
        <f>'Data 1'!T38</f>
        <v>48.662542999999999</v>
      </c>
      <c r="M40" s="19">
        <f>'Data 1'!U38</f>
        <v>304.97233600000004</v>
      </c>
      <c r="N40" s="19">
        <f>'Data 1'!V38</f>
        <v>51.845341999999995</v>
      </c>
      <c r="O40" s="43">
        <f t="shared" si="3"/>
        <v>3556.3822130000012</v>
      </c>
      <c r="P40" s="44"/>
      <c r="Q40" s="44"/>
      <c r="S40" s="23"/>
    </row>
    <row r="41" spans="3:19" ht="12.75" customHeight="1">
      <c r="D41" s="5"/>
      <c r="E41" s="28" t="s">
        <v>74</v>
      </c>
      <c r="F41" s="19" t="str">
        <f>'Data 1'!N39</f>
        <v>-</v>
      </c>
      <c r="G41" s="19">
        <f>'Data 1'!O39</f>
        <v>70.359118999999993</v>
      </c>
      <c r="H41" s="19">
        <f>'Data 1'!P39</f>
        <v>2625.4122470000002</v>
      </c>
      <c r="I41" s="19">
        <f>'Data 1'!Q39</f>
        <v>81.983378000000002</v>
      </c>
      <c r="J41" s="19">
        <f>'Data 1'!R39</f>
        <v>728.44822999999997</v>
      </c>
      <c r="K41" s="19" t="str">
        <f>'Data 1'!S39</f>
        <v>-</v>
      </c>
      <c r="L41" s="19">
        <f>'Data 1'!T39</f>
        <v>1752.6677179999999</v>
      </c>
      <c r="M41" s="19">
        <f>'Data 1'!U39</f>
        <v>921.23079900000005</v>
      </c>
      <c r="N41" s="19">
        <f>'Data 1'!V39</f>
        <v>2057.6537390000003</v>
      </c>
      <c r="O41" s="43">
        <f t="shared" si="3"/>
        <v>29009.746863</v>
      </c>
      <c r="P41" s="44"/>
      <c r="Q41" s="44"/>
      <c r="S41" s="23"/>
    </row>
    <row r="42" spans="3:19" ht="12.75" customHeight="1">
      <c r="D42" s="5"/>
      <c r="E42" s="30" t="s">
        <v>96</v>
      </c>
      <c r="F42" s="19" t="str">
        <f>'Data 1'!N40</f>
        <v>-</v>
      </c>
      <c r="G42" s="19" t="str">
        <f>'Data 1'!O40</f>
        <v>-</v>
      </c>
      <c r="H42" s="19">
        <f>'Data 1'!P40</f>
        <v>173.02915299999998</v>
      </c>
      <c r="I42" s="19" t="str">
        <f>'Data 1'!Q40</f>
        <v>-</v>
      </c>
      <c r="J42" s="19">
        <f>'Data 1'!R40</f>
        <v>81.509521500000005</v>
      </c>
      <c r="K42" s="19">
        <f>'Data 1'!S40</f>
        <v>5.346839000000001</v>
      </c>
      <c r="L42" s="19" t="str">
        <f>'Data 1'!T40</f>
        <v>-</v>
      </c>
      <c r="M42" s="19" t="str">
        <f>'Data 1'!U40</f>
        <v>-</v>
      </c>
      <c r="N42" s="19">
        <f>'Data 1'!V40</f>
        <v>560.86630749999995</v>
      </c>
      <c r="O42" s="43">
        <f t="shared" si="3"/>
        <v>2436.7920700000004</v>
      </c>
      <c r="P42" s="44"/>
      <c r="Q42" s="44"/>
      <c r="S42" s="23"/>
    </row>
    <row r="43" spans="3:19" ht="12.75" customHeight="1">
      <c r="D43" s="5"/>
      <c r="E43" s="30" t="s">
        <v>97</v>
      </c>
      <c r="F43" s="19" t="str">
        <f>'Data 1'!N41</f>
        <v>-</v>
      </c>
      <c r="G43" s="19" t="str">
        <f>'Data 1'!O41</f>
        <v>-</v>
      </c>
      <c r="H43" s="19">
        <f>'Data 1'!P41</f>
        <v>173.02915299999998</v>
      </c>
      <c r="I43" s="19" t="str">
        <f>'Data 1'!Q41</f>
        <v>-</v>
      </c>
      <c r="J43" s="19">
        <f>'Data 1'!R41</f>
        <v>81.509521500000005</v>
      </c>
      <c r="K43" s="19">
        <f>'Data 1'!S41</f>
        <v>5.346839000000001</v>
      </c>
      <c r="L43" s="19" t="str">
        <f>'Data 1'!T41</f>
        <v>-</v>
      </c>
      <c r="M43" s="19" t="str">
        <f>'Data 1'!U41</f>
        <v>-</v>
      </c>
      <c r="N43" s="19">
        <f>'Data 1'!V41</f>
        <v>321.94200149999995</v>
      </c>
      <c r="O43" s="43">
        <f t="shared" si="3"/>
        <v>874.075245</v>
      </c>
      <c r="P43" s="44"/>
      <c r="Q43" s="44"/>
      <c r="S43" s="23"/>
    </row>
    <row r="44" spans="3:19" ht="12.75" customHeight="1">
      <c r="D44" s="5"/>
      <c r="E44" s="31" t="s">
        <v>73</v>
      </c>
      <c r="F44" s="32">
        <f>SUM(F30:F43)</f>
        <v>207.35622399999997</v>
      </c>
      <c r="G44" s="32">
        <f t="shared" ref="G44:N44" si="4">SUM(G30:G43)</f>
        <v>20979.071745000001</v>
      </c>
      <c r="H44" s="32">
        <f t="shared" si="4"/>
        <v>31306.931289000004</v>
      </c>
      <c r="I44" s="32">
        <f t="shared" si="4"/>
        <v>2392.6366859999998</v>
      </c>
      <c r="J44" s="32">
        <f t="shared" si="4"/>
        <v>1250.7124450000001</v>
      </c>
      <c r="K44" s="32">
        <f t="shared" si="4"/>
        <v>212.94905599999998</v>
      </c>
      <c r="L44" s="32">
        <f t="shared" si="4"/>
        <v>6086.7487769999998</v>
      </c>
      <c r="M44" s="32">
        <f t="shared" si="4"/>
        <v>5179.625669</v>
      </c>
      <c r="N44" s="32">
        <f t="shared" si="4"/>
        <v>5142.7026160000005</v>
      </c>
      <c r="O44" s="32">
        <f>SUM(O30:O43)</f>
        <v>260906.21138699999</v>
      </c>
      <c r="P44" s="44"/>
      <c r="Q44" s="44"/>
      <c r="S44" s="23"/>
    </row>
    <row r="45" spans="3:19" ht="12.75" customHeight="1">
      <c r="D45" s="5"/>
      <c r="E45" s="18" t="s">
        <v>98</v>
      </c>
      <c r="F45" s="19" t="str">
        <f>'Data 1'!N43</f>
        <v>-</v>
      </c>
      <c r="G45" s="19">
        <f>'Data 1'!O43</f>
        <v>-42.187336000000002</v>
      </c>
      <c r="H45" s="19">
        <f>'Data 1'!P43</f>
        <v>-233.26469</v>
      </c>
      <c r="I45" s="19" t="str">
        <f>'Data 1'!Q43</f>
        <v>-</v>
      </c>
      <c r="J45" s="19" t="str">
        <f>'Data 1'!R43</f>
        <v>-</v>
      </c>
      <c r="K45" s="19" t="str">
        <f>'Data 1'!S43</f>
        <v>-</v>
      </c>
      <c r="L45" s="19" t="str">
        <f>'Data 1'!T43</f>
        <v>-</v>
      </c>
      <c r="M45" s="19" t="str">
        <f>'Data 1'!U43</f>
        <v>-</v>
      </c>
      <c r="N45" s="19" t="str">
        <f>'Data 1'!V43</f>
        <v>-</v>
      </c>
      <c r="O45" s="19">
        <f>SUM(F23:O23,F45:N45)</f>
        <v>-3200.7100749190004</v>
      </c>
      <c r="P45" s="44"/>
      <c r="Q45" s="44"/>
    </row>
    <row r="46" spans="3:19" ht="12.75" customHeight="1">
      <c r="D46" s="5"/>
      <c r="E46" s="18" t="s">
        <v>99</v>
      </c>
      <c r="F46" s="19" t="str">
        <f>'Data 1'!N44</f>
        <v>-</v>
      </c>
      <c r="G46" s="19">
        <f>'Data 1'!O44</f>
        <v>-15882.247665000001</v>
      </c>
      <c r="H46" s="19">
        <f>'Data 1'!P44</f>
        <v>-11160.216081</v>
      </c>
      <c r="I46" s="19">
        <f>'Data 1'!Q44</f>
        <v>-679.88085599999988</v>
      </c>
      <c r="J46" s="19">
        <f>'Data 1'!R44</f>
        <v>27373.664730999997</v>
      </c>
      <c r="K46" s="19" t="str">
        <f>'Data 1'!S44</f>
        <v>-</v>
      </c>
      <c r="L46" s="19">
        <f>'Data 1'!T44</f>
        <v>3526.1783379999997</v>
      </c>
      <c r="M46" s="19">
        <f>'Data 1'!U44</f>
        <v>-53.782840000000022</v>
      </c>
      <c r="N46" s="19">
        <f>'Data 1'!V44</f>
        <v>11568.665766000002</v>
      </c>
      <c r="O46" s="19">
        <f>SUM(F24:O24,F46:N46)</f>
        <v>11102.311153999997</v>
      </c>
      <c r="P46" s="44"/>
      <c r="Q46" s="44"/>
    </row>
    <row r="47" spans="3:19" ht="12.75" customHeight="1">
      <c r="D47" s="5"/>
      <c r="E47" s="33" t="s">
        <v>112</v>
      </c>
      <c r="F47" s="34">
        <f>SUM(F44:F46)</f>
        <v>207.35622399999997</v>
      </c>
      <c r="G47" s="34">
        <f t="shared" ref="G47:N47" si="5">SUM(G44:G46)</f>
        <v>5054.6367440000013</v>
      </c>
      <c r="H47" s="34">
        <f t="shared" si="5"/>
        <v>19913.450518000005</v>
      </c>
      <c r="I47" s="34">
        <f t="shared" si="5"/>
        <v>1712.7558300000001</v>
      </c>
      <c r="J47" s="34">
        <f t="shared" si="5"/>
        <v>28624.377175999998</v>
      </c>
      <c r="K47" s="34">
        <f t="shared" si="5"/>
        <v>212.94905599999998</v>
      </c>
      <c r="L47" s="34">
        <f t="shared" si="5"/>
        <v>9612.9271149999986</v>
      </c>
      <c r="M47" s="34">
        <f t="shared" si="5"/>
        <v>5125.8428290000002</v>
      </c>
      <c r="N47" s="34">
        <f t="shared" si="5"/>
        <v>16711.368382000001</v>
      </c>
      <c r="O47" s="34">
        <f>SUM(O44:O46)</f>
        <v>268807.812466081</v>
      </c>
      <c r="P47" s="44"/>
      <c r="Q47" s="44"/>
    </row>
    <row r="48" spans="3:19" ht="12.75" customHeight="1">
      <c r="C48" s="5"/>
      <c r="D48" s="5"/>
      <c r="E48" s="35" t="s">
        <v>100</v>
      </c>
      <c r="F48" s="34">
        <f>'Data 1'!N24</f>
        <v>202.86082999999999</v>
      </c>
      <c r="G48" s="34">
        <f>'Data 1'!O24</f>
        <v>5022.3198400000038</v>
      </c>
      <c r="H48" s="34">
        <f>'Data 1'!P24</f>
        <v>19898.31394</v>
      </c>
      <c r="I48" s="34">
        <f>'Data 1'!Q24</f>
        <v>1704.1205599999992</v>
      </c>
      <c r="J48" s="34">
        <f>'Data 1'!R24</f>
        <v>28588.247359000001</v>
      </c>
      <c r="K48" s="34">
        <f>'Data 1'!S24</f>
        <v>210.42507800000001</v>
      </c>
      <c r="L48" s="34">
        <f>'Data 1'!T24</f>
        <v>9374.4941789999993</v>
      </c>
      <c r="M48" s="34">
        <f>'Data 1'!U24</f>
        <v>5052.6167800000003</v>
      </c>
      <c r="N48" s="34">
        <f>'Data 1'!V24</f>
        <v>16522.481661999998</v>
      </c>
      <c r="O48" s="34">
        <f>SUM(F26:O26,F48:N48)</f>
        <v>267867.17065034201</v>
      </c>
      <c r="P48" s="44"/>
      <c r="Q48" s="44"/>
    </row>
    <row r="49" spans="3:17" ht="12.75" customHeight="1">
      <c r="C49" s="5"/>
      <c r="D49" s="5"/>
      <c r="E49" s="36" t="s">
        <v>113</v>
      </c>
      <c r="F49" s="37">
        <f>(F47/F48-1)*100</f>
        <v>2.2159990176516375</v>
      </c>
      <c r="G49" s="37">
        <f>(G47/G48-1)*100</f>
        <v>0.64346566984068154</v>
      </c>
      <c r="H49" s="37">
        <f t="shared" ref="H49:N49" si="6">(H47/H48-1)*100</f>
        <v>7.6069651155608042E-2</v>
      </c>
      <c r="I49" s="37">
        <f t="shared" si="6"/>
        <v>0.50672881970281747</v>
      </c>
      <c r="J49" s="37">
        <f t="shared" si="6"/>
        <v>0.12637996497755211</v>
      </c>
      <c r="K49" s="37">
        <f t="shared" si="6"/>
        <v>1.1994663487780555</v>
      </c>
      <c r="L49" s="37">
        <f t="shared" si="6"/>
        <v>2.5434218790611363</v>
      </c>
      <c r="M49" s="37">
        <f t="shared" si="6"/>
        <v>1.4492697979758384</v>
      </c>
      <c r="N49" s="37">
        <f t="shared" si="6"/>
        <v>1.1432103473561162</v>
      </c>
      <c r="O49" s="37">
        <f>((O47/O48)-1)*100</f>
        <v>0.35115979813997722</v>
      </c>
      <c r="P49" s="22"/>
      <c r="Q49" s="22"/>
    </row>
    <row r="50" spans="3:17" ht="12.75" customHeight="1">
      <c r="C50" s="5"/>
      <c r="D50" s="5"/>
      <c r="E50" s="606" t="s">
        <v>106</v>
      </c>
      <c r="F50" s="606"/>
      <c r="G50" s="606"/>
      <c r="H50" s="606"/>
      <c r="I50" s="606"/>
      <c r="J50" s="606"/>
      <c r="K50" s="606"/>
      <c r="L50" s="606"/>
      <c r="M50" s="606"/>
      <c r="N50" s="606"/>
      <c r="O50" s="606"/>
    </row>
    <row r="51" spans="3:17" ht="12.75" customHeight="1">
      <c r="C51" s="5"/>
      <c r="D51" s="5"/>
      <c r="E51" s="607" t="s">
        <v>107</v>
      </c>
      <c r="F51" s="607"/>
      <c r="G51" s="607"/>
      <c r="H51" s="607"/>
      <c r="I51" s="607"/>
      <c r="J51" s="607"/>
      <c r="K51" s="607"/>
      <c r="L51" s="607"/>
      <c r="M51" s="607"/>
      <c r="N51" s="607"/>
      <c r="O51" s="607"/>
    </row>
    <row r="52" spans="3:17" ht="12.75" customHeight="1">
      <c r="C52" s="5"/>
      <c r="E52" s="607" t="s">
        <v>108</v>
      </c>
      <c r="F52" s="607"/>
      <c r="G52" s="607"/>
      <c r="H52" s="607"/>
      <c r="I52" s="607"/>
      <c r="J52" s="607"/>
      <c r="K52" s="607"/>
      <c r="L52" s="607"/>
      <c r="M52" s="607"/>
      <c r="N52" s="607"/>
      <c r="O52" s="607"/>
    </row>
    <row r="53" spans="3:17" ht="12.75" customHeight="1">
      <c r="C53" s="45"/>
      <c r="E53" s="607" t="s">
        <v>109</v>
      </c>
      <c r="F53" s="607"/>
      <c r="G53" s="607"/>
      <c r="H53" s="607"/>
      <c r="I53" s="607"/>
      <c r="J53" s="607"/>
      <c r="K53" s="607"/>
      <c r="L53" s="607"/>
      <c r="M53" s="607"/>
      <c r="N53" s="607"/>
      <c r="O53" s="607"/>
    </row>
    <row r="54" spans="3:17" ht="12.75" customHeight="1">
      <c r="C54" s="5"/>
      <c r="E54" s="607" t="s">
        <v>110</v>
      </c>
      <c r="F54" s="607"/>
      <c r="G54" s="607"/>
      <c r="H54" s="607"/>
      <c r="I54" s="607"/>
      <c r="J54" s="607"/>
      <c r="K54" s="607"/>
      <c r="L54" s="607"/>
      <c r="M54" s="607"/>
      <c r="N54" s="607"/>
      <c r="O54" s="607"/>
    </row>
    <row r="55" spans="3:17" ht="25.5" customHeight="1">
      <c r="C55" s="5"/>
      <c r="D55" s="46"/>
      <c r="E55" s="605" t="s">
        <v>111</v>
      </c>
      <c r="F55" s="605"/>
      <c r="G55" s="605"/>
      <c r="H55" s="605"/>
      <c r="I55" s="605"/>
      <c r="J55" s="605"/>
      <c r="K55" s="605"/>
      <c r="L55" s="605"/>
      <c r="M55" s="605"/>
      <c r="N55" s="605"/>
      <c r="O55" s="605"/>
    </row>
    <row r="56" spans="3:17" ht="12.75" customHeight="1">
      <c r="C56" s="5"/>
      <c r="D56" s="46"/>
      <c r="E56" s="26"/>
      <c r="F56" s="26"/>
      <c r="G56" s="26"/>
      <c r="H56" s="47"/>
      <c r="I56" s="47"/>
      <c r="J56" s="47"/>
      <c r="K56" s="47"/>
    </row>
    <row r="57" spans="3:17">
      <c r="D57" s="46"/>
      <c r="E57" s="48"/>
      <c r="F57" s="48"/>
      <c r="G57" s="48"/>
      <c r="H57" s="48"/>
      <c r="I57" s="48"/>
      <c r="J57" s="48"/>
      <c r="K57" s="48"/>
      <c r="L57" s="41"/>
      <c r="M57" s="41"/>
      <c r="N57" s="41"/>
      <c r="O57" s="41"/>
      <c r="P57" s="44"/>
    </row>
    <row r="58" spans="3:17">
      <c r="D58" s="46"/>
      <c r="E58" s="48"/>
      <c r="F58" s="48"/>
      <c r="G58" s="48"/>
      <c r="H58" s="48"/>
      <c r="I58" s="48"/>
      <c r="J58" s="48"/>
      <c r="K58" s="48"/>
      <c r="L58" s="49"/>
      <c r="M58" s="50"/>
      <c r="N58" s="49"/>
      <c r="O58" s="49"/>
      <c r="P58" s="44"/>
    </row>
    <row r="59" spans="3:17">
      <c r="C59" s="46"/>
      <c r="D59" s="46"/>
      <c r="E59" s="48"/>
      <c r="F59" s="48"/>
      <c r="G59" s="48"/>
      <c r="H59" s="48"/>
      <c r="I59" s="48"/>
      <c r="J59" s="48"/>
      <c r="K59" s="48"/>
    </row>
    <row r="60" spans="3:17">
      <c r="C60" s="46"/>
      <c r="D60" s="46"/>
      <c r="E60" s="48"/>
      <c r="F60" s="48"/>
      <c r="G60" s="48"/>
      <c r="H60" s="48"/>
      <c r="I60" s="48"/>
      <c r="J60" s="48"/>
      <c r="K60" s="48"/>
    </row>
    <row r="61" spans="3:17">
      <c r="C61" s="46"/>
      <c r="D61" s="46"/>
      <c r="E61" s="48"/>
      <c r="F61" s="48"/>
      <c r="G61" s="48"/>
      <c r="H61" s="48"/>
      <c r="I61" s="48"/>
      <c r="J61" s="48"/>
      <c r="K61" s="48"/>
    </row>
    <row r="62" spans="3:17">
      <c r="C62" s="46"/>
      <c r="D62" s="46"/>
      <c r="E62" s="51"/>
      <c r="F62" s="51"/>
      <c r="G62" s="51"/>
      <c r="H62" s="51"/>
      <c r="I62" s="51"/>
      <c r="J62" s="51"/>
      <c r="K62" s="51"/>
    </row>
    <row r="63" spans="3:17">
      <c r="C63" s="46"/>
      <c r="D63" s="46"/>
      <c r="E63" s="51"/>
      <c r="F63" s="51"/>
      <c r="G63" s="51"/>
      <c r="H63" s="51"/>
      <c r="I63" s="51"/>
      <c r="J63" s="51"/>
      <c r="K63" s="51"/>
    </row>
    <row r="64" spans="3:17">
      <c r="C64" s="46"/>
      <c r="D64" s="46"/>
      <c r="F64" s="46"/>
      <c r="G64" s="46"/>
      <c r="H64" s="46"/>
      <c r="I64" s="46"/>
    </row>
    <row r="65" spans="3:9">
      <c r="C65" s="46"/>
      <c r="D65" s="46"/>
      <c r="F65" s="46"/>
      <c r="G65" s="46"/>
      <c r="H65" s="46"/>
      <c r="I65" s="46"/>
    </row>
    <row r="66" spans="3:9">
      <c r="C66" s="46"/>
      <c r="D66" s="46"/>
      <c r="F66" s="46"/>
      <c r="G66" s="46"/>
      <c r="H66" s="46"/>
      <c r="I66" s="46"/>
    </row>
    <row r="67" spans="3:9">
      <c r="C67" s="46"/>
      <c r="D67" s="46"/>
    </row>
    <row r="68" spans="3:9">
      <c r="C68" s="46"/>
      <c r="D68" s="46"/>
    </row>
    <row r="69" spans="3:9">
      <c r="C69" s="46"/>
      <c r="D69" s="46"/>
    </row>
    <row r="70" spans="3:9">
      <c r="C70" s="46"/>
      <c r="D70" s="46"/>
    </row>
    <row r="71" spans="3:9">
      <c r="C71" s="46"/>
    </row>
    <row r="72" spans="3:9">
      <c r="C72" s="46"/>
    </row>
    <row r="73" spans="3:9">
      <c r="C73" s="46"/>
    </row>
    <row r="74" spans="3:9">
      <c r="C74" s="46"/>
    </row>
  </sheetData>
  <mergeCells count="6">
    <mergeCell ref="E55:O55"/>
    <mergeCell ref="E50:O50"/>
    <mergeCell ref="E51:O51"/>
    <mergeCell ref="E52:O52"/>
    <mergeCell ref="E53:O53"/>
    <mergeCell ref="E54:O54"/>
  </mergeCells>
  <hyperlinks>
    <hyperlink ref="C4" location="Indice!A1" display="Balance eléctrico, potencia instalada y red de transporte"/>
  </hyperlinks>
  <printOptions horizontalCentered="1" verticalCentered="1"/>
  <pageMargins left="0.39370078740157483" right="0.78740157480314965" top="0.39370078740157483" bottom="0.39370078740157483" header="0" footer="0"/>
  <pageSetup paperSize="9" scale="74" orientation="portrait" r:id="rId1"/>
  <headerFooter alignWithMargins="0"/>
  <ignoredErrors>
    <ignoredError sqref="O44 O47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7" width="11.42578125" style="167" customWidth="1"/>
    <col min="8" max="9" width="11.42578125" style="167"/>
    <col min="10" max="10" width="11.42578125" style="167" customWidth="1"/>
    <col min="11" max="16384" width="11.42578125" style="167"/>
  </cols>
  <sheetData>
    <row r="1" spans="3:10" ht="0.6" customHeight="1"/>
    <row r="2" spans="3:10" ht="21" customHeight="1">
      <c r="J2" s="337" t="s">
        <v>87</v>
      </c>
    </row>
    <row r="3" spans="3:10" ht="15" customHeight="1">
      <c r="J3" s="337" t="s">
        <v>119</v>
      </c>
    </row>
    <row r="4" spans="3:10" ht="19.899999999999999" customHeight="1">
      <c r="C4" s="9" t="s">
        <v>47</v>
      </c>
    </row>
    <row r="5" spans="3:10" ht="12.6" customHeight="1"/>
    <row r="7" spans="3:10" ht="12.75" customHeight="1">
      <c r="C7" s="624" t="s">
        <v>289</v>
      </c>
      <c r="E7" s="169"/>
      <c r="F7" s="169"/>
      <c r="G7" s="169"/>
      <c r="H7" s="340"/>
      <c r="I7" s="239"/>
      <c r="J7" s="356"/>
    </row>
    <row r="8" spans="3:10">
      <c r="C8" s="624"/>
      <c r="E8" s="170"/>
      <c r="F8" s="360" t="s">
        <v>285</v>
      </c>
      <c r="G8" s="360" t="s">
        <v>286</v>
      </c>
      <c r="H8" s="171" t="s">
        <v>287</v>
      </c>
      <c r="I8" s="171" t="s">
        <v>288</v>
      </c>
      <c r="J8" s="341" t="s">
        <v>32</v>
      </c>
    </row>
    <row r="9" spans="3:10">
      <c r="C9" s="624"/>
      <c r="E9" s="28">
        <v>2014</v>
      </c>
      <c r="F9" s="342">
        <v>3567.4965730000004</v>
      </c>
      <c r="G9" s="342">
        <v>-902.69568699999991</v>
      </c>
      <c r="H9" s="342">
        <v>-234.50584000000001</v>
      </c>
      <c r="I9" s="342">
        <v>-5836.4190699999999</v>
      </c>
      <c r="J9" s="342">
        <f>SUM(F9:I9)</f>
        <v>-3406.1240239999993</v>
      </c>
    </row>
    <row r="10" spans="3:10">
      <c r="C10" s="179" t="s">
        <v>91</v>
      </c>
      <c r="E10" s="28">
        <v>2015</v>
      </c>
      <c r="F10" s="342">
        <v>7324.2102400000012</v>
      </c>
      <c r="G10" s="342">
        <v>-2266.4124830000001</v>
      </c>
      <c r="H10" s="342">
        <v>-264.05142999999998</v>
      </c>
      <c r="I10" s="342">
        <v>-4926.90949</v>
      </c>
      <c r="J10" s="342">
        <f t="shared" ref="J10:J13" si="0">SUM(F10:I10)</f>
        <v>-133.16316299999926</v>
      </c>
    </row>
    <row r="11" spans="3:10">
      <c r="E11" s="28">
        <v>2016</v>
      </c>
      <c r="F11" s="342">
        <v>7801.5093989999996</v>
      </c>
      <c r="G11" s="342">
        <v>5086.0934020000004</v>
      </c>
      <c r="H11" s="342">
        <v>-278.28113999999999</v>
      </c>
      <c r="I11" s="342">
        <v>-4951.277970000001</v>
      </c>
      <c r="J11" s="342">
        <f t="shared" si="0"/>
        <v>7658.0436910000008</v>
      </c>
    </row>
    <row r="12" spans="3:10">
      <c r="E12" s="28">
        <v>2017</v>
      </c>
      <c r="F12" s="342">
        <v>12465.120182000001</v>
      </c>
      <c r="G12" s="342">
        <v>2685.075261</v>
      </c>
      <c r="H12" s="342">
        <v>-233.11396000000002</v>
      </c>
      <c r="I12" s="342">
        <v>-5748.0879599999998</v>
      </c>
      <c r="J12" s="342">
        <f t="shared" si="0"/>
        <v>9168.993523000001</v>
      </c>
    </row>
    <row r="13" spans="3:10">
      <c r="E13" s="345">
        <v>2018</v>
      </c>
      <c r="F13" s="461">
        <v>12046.637757999999</v>
      </c>
      <c r="G13" s="461">
        <v>2655.1287179999995</v>
      </c>
      <c r="H13" s="461">
        <v>-210.43215000000001</v>
      </c>
      <c r="I13" s="461">
        <v>-3389.0231800000001</v>
      </c>
      <c r="J13" s="346">
        <f t="shared" si="0"/>
        <v>11102.311145999998</v>
      </c>
    </row>
    <row r="14" spans="3:10">
      <c r="E14" s="176" t="s">
        <v>290</v>
      </c>
      <c r="F14" s="176"/>
      <c r="G14" s="176"/>
      <c r="H14" s="177"/>
      <c r="I14" s="177"/>
      <c r="J14" s="177"/>
    </row>
  </sheetData>
  <mergeCells count="1">
    <mergeCell ref="C7:C9"/>
  </mergeCells>
  <hyperlinks>
    <hyperlink ref="C4" location="Indice!A1" display="Sistema peninsular"/>
  </hyperlinks>
  <pageMargins left="0.7" right="0.7" top="0.75" bottom="0.75" header="0.3" footer="0.3"/>
  <pageSetup paperSize="9" orientation="portrait" r:id="rId1"/>
  <ignoredErrors>
    <ignoredError sqref="J9:J13" formulaRang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4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61" customWidth="1"/>
    <col min="2" max="2" width="2.7109375" style="361" customWidth="1"/>
    <col min="3" max="3" width="23.7109375" style="361" customWidth="1"/>
    <col min="4" max="4" width="1.28515625" style="361" customWidth="1"/>
    <col min="5" max="5" width="80.7109375" style="361" customWidth="1"/>
    <col min="6" max="15" width="11.42578125" style="379"/>
    <col min="16" max="16" width="17.28515625" style="379" customWidth="1"/>
    <col min="17" max="19" width="13.42578125" style="379" customWidth="1"/>
    <col min="20" max="16384" width="11.42578125" style="379"/>
  </cols>
  <sheetData>
    <row r="1" spans="2:14" s="361" customFormat="1" ht="0.75" customHeight="1"/>
    <row r="2" spans="2:14" s="361" customFormat="1" ht="21" customHeight="1">
      <c r="E2" s="337" t="s">
        <v>87</v>
      </c>
    </row>
    <row r="3" spans="2:14" s="361" customFormat="1" ht="15" customHeight="1">
      <c r="E3" s="337" t="s">
        <v>119</v>
      </c>
    </row>
    <row r="4" spans="2:14" s="363" customFormat="1" ht="20.25" customHeight="1">
      <c r="B4" s="362"/>
      <c r="C4" s="168" t="s">
        <v>47</v>
      </c>
    </row>
    <row r="5" spans="2:14" s="363" customFormat="1" ht="12.75" customHeight="1">
      <c r="B5" s="362"/>
      <c r="C5" s="364"/>
      <c r="F5" s="365"/>
      <c r="G5" s="365"/>
      <c r="H5" s="365"/>
      <c r="I5" s="365"/>
      <c r="J5" s="365"/>
      <c r="K5" s="365"/>
      <c r="L5" s="365"/>
      <c r="N5" s="365"/>
    </row>
    <row r="6" spans="2:14" s="363" customFormat="1" ht="13.5" customHeight="1">
      <c r="B6" s="362"/>
      <c r="C6" s="366"/>
      <c r="D6" s="367"/>
      <c r="E6" s="368"/>
      <c r="M6" s="365"/>
    </row>
    <row r="7" spans="2:14" s="363" customFormat="1" ht="13.15" customHeight="1">
      <c r="B7" s="362"/>
      <c r="C7" s="631" t="s">
        <v>314</v>
      </c>
      <c r="D7" s="367"/>
      <c r="E7" s="186"/>
      <c r="H7" s="462"/>
      <c r="I7" s="462"/>
    </row>
    <row r="8" spans="2:14" s="363" customFormat="1">
      <c r="B8" s="362"/>
      <c r="C8" s="631"/>
      <c r="D8" s="367"/>
      <c r="E8" s="186"/>
      <c r="F8" s="365"/>
      <c r="G8" s="365"/>
      <c r="H8" s="462"/>
      <c r="I8" s="462"/>
      <c r="J8" s="365"/>
      <c r="K8" s="365"/>
      <c r="L8" s="365"/>
      <c r="N8" s="365"/>
    </row>
    <row r="9" spans="2:14" s="363" customFormat="1">
      <c r="B9" s="362"/>
      <c r="C9" s="631"/>
      <c r="D9" s="367"/>
      <c r="E9" s="186"/>
      <c r="G9" s="365"/>
      <c r="H9" s="462"/>
      <c r="I9" s="462"/>
      <c r="J9" s="365"/>
    </row>
    <row r="10" spans="2:14" s="363" customFormat="1">
      <c r="B10" s="362"/>
      <c r="C10" s="631"/>
      <c r="D10" s="367"/>
      <c r="E10" s="186"/>
      <c r="G10" s="462"/>
      <c r="H10" s="462"/>
      <c r="I10" s="462"/>
      <c r="J10" s="365"/>
    </row>
    <row r="11" spans="2:14" s="363" customFormat="1">
      <c r="B11" s="362"/>
      <c r="C11" s="371" t="s">
        <v>91</v>
      </c>
      <c r="D11" s="367"/>
      <c r="E11" s="374"/>
      <c r="G11" s="462"/>
      <c r="H11" s="462"/>
      <c r="I11" s="462"/>
      <c r="J11" s="365"/>
    </row>
    <row r="12" spans="2:14" s="363" customFormat="1">
      <c r="B12" s="362"/>
      <c r="C12" s="366"/>
      <c r="D12" s="367"/>
      <c r="E12" s="374"/>
      <c r="G12" s="462"/>
      <c r="H12" s="462"/>
      <c r="I12" s="462"/>
      <c r="J12" s="462"/>
    </row>
    <row r="13" spans="2:14" s="363" customFormat="1">
      <c r="B13" s="362"/>
      <c r="C13" s="366"/>
      <c r="D13" s="367"/>
      <c r="E13" s="374"/>
    </row>
    <row r="14" spans="2:14" s="363" customFormat="1">
      <c r="B14" s="362"/>
      <c r="C14" s="366"/>
      <c r="D14" s="367"/>
      <c r="E14" s="374"/>
      <c r="M14" s="377"/>
    </row>
    <row r="15" spans="2:14" s="363" customFormat="1">
      <c r="B15" s="362"/>
      <c r="C15" s="366"/>
      <c r="D15" s="367"/>
      <c r="E15" s="374"/>
    </row>
    <row r="16" spans="2:14" s="363" customFormat="1">
      <c r="B16" s="362"/>
      <c r="C16" s="366"/>
      <c r="D16" s="367"/>
      <c r="E16" s="374"/>
    </row>
    <row r="17" spans="2:14" s="363" customFormat="1">
      <c r="B17" s="362"/>
      <c r="C17" s="366"/>
      <c r="D17" s="367"/>
      <c r="E17" s="374"/>
      <c r="F17" s="365"/>
      <c r="G17" s="365"/>
      <c r="H17" s="365"/>
      <c r="I17" s="365"/>
      <c r="J17" s="365"/>
      <c r="K17" s="365"/>
      <c r="L17" s="365"/>
      <c r="N17" s="365"/>
    </row>
    <row r="18" spans="2:14" s="363" customFormat="1">
      <c r="B18" s="362"/>
      <c r="C18" s="366"/>
      <c r="D18" s="367"/>
      <c r="E18" s="374"/>
    </row>
    <row r="19" spans="2:14" s="363" customFormat="1">
      <c r="B19" s="362"/>
      <c r="C19" s="366"/>
      <c r="D19" s="367"/>
      <c r="E19" s="374"/>
    </row>
    <row r="20" spans="2:14" s="363" customFormat="1">
      <c r="B20" s="362"/>
      <c r="C20" s="366"/>
      <c r="D20" s="367"/>
      <c r="E20" s="374"/>
    </row>
    <row r="21" spans="2:14" s="363" customFormat="1">
      <c r="B21" s="362"/>
      <c r="C21" s="366"/>
      <c r="D21" s="367"/>
      <c r="E21" s="374"/>
    </row>
    <row r="22" spans="2:14">
      <c r="E22" s="378"/>
      <c r="F22" s="363"/>
      <c r="G22" s="363"/>
      <c r="H22" s="363"/>
      <c r="I22" s="363"/>
      <c r="J22" s="363"/>
      <c r="K22" s="363"/>
      <c r="L22" s="363"/>
      <c r="M22" s="363"/>
      <c r="N22" s="363"/>
    </row>
    <row r="23" spans="2:14">
      <c r="E23" s="378"/>
    </row>
    <row r="24" spans="2:14">
      <c r="E24" s="378"/>
    </row>
    <row r="25" spans="2:14">
      <c r="E25" s="378"/>
    </row>
    <row r="26" spans="2:14">
      <c r="E26" s="378"/>
    </row>
    <row r="27" spans="2:14">
      <c r="E27" s="378"/>
    </row>
    <row r="28" spans="2:14">
      <c r="E28" s="378"/>
      <c r="M28" s="377"/>
    </row>
    <row r="29" spans="2:14">
      <c r="E29" s="378"/>
    </row>
    <row r="30" spans="2:14">
      <c r="E30" s="378"/>
    </row>
    <row r="31" spans="2:14">
      <c r="E31" s="378"/>
    </row>
    <row r="32" spans="2:14">
      <c r="E32" s="378"/>
    </row>
    <row r="33" spans="5:13" ht="16.149999999999999" customHeight="1">
      <c r="E33" s="380"/>
    </row>
    <row r="35" spans="5:13">
      <c r="E35" s="383"/>
    </row>
    <row r="36" spans="5:13" ht="21" customHeight="1"/>
    <row r="37" spans="5:13" ht="12.75" customHeight="1"/>
    <row r="38" spans="5:13">
      <c r="E38" s="384"/>
    </row>
    <row r="39" spans="5:13">
      <c r="M39" s="361"/>
    </row>
    <row r="40" spans="5:13">
      <c r="M40" s="361"/>
    </row>
    <row r="41" spans="5:13">
      <c r="M41" s="361"/>
    </row>
    <row r="42" spans="5:13">
      <c r="M42" s="361"/>
    </row>
    <row r="43" spans="5:13">
      <c r="M43" s="361"/>
    </row>
    <row r="44" spans="5:13">
      <c r="M44" s="361"/>
    </row>
  </sheetData>
  <mergeCells count="1">
    <mergeCell ref="C7:C10"/>
  </mergeCells>
  <hyperlinks>
    <hyperlink ref="C4" location="Indice!A1" display="Intercambios internacionales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C1:Y56"/>
  <sheetViews>
    <sheetView showGridLines="0" showRowColHeaders="0" zoomScaleNormal="100" workbookViewId="0"/>
  </sheetViews>
  <sheetFormatPr baseColWidth="10" defaultRowHeight="11.25"/>
  <cols>
    <col min="1" max="1" width="0.140625" style="5" customWidth="1"/>
    <col min="2" max="2" width="2.7109375" style="5" customWidth="1"/>
    <col min="3" max="3" width="23.7109375" style="4" customWidth="1"/>
    <col min="4" max="4" width="1.28515625" style="4" customWidth="1"/>
    <col min="5" max="5" width="29.140625" style="4" customWidth="1"/>
    <col min="6" max="7" width="7.7109375" style="4" customWidth="1"/>
    <col min="8" max="9" width="7.7109375" style="5" customWidth="1"/>
    <col min="10" max="11" width="7.7109375" style="4" customWidth="1"/>
    <col min="12" max="15" width="7.7109375" style="5" customWidth="1"/>
    <col min="16" max="256" width="11.42578125" style="5"/>
    <col min="257" max="257" width="0.140625" style="5" customWidth="1"/>
    <col min="258" max="258" width="2.7109375" style="5" customWidth="1"/>
    <col min="259" max="259" width="15.42578125" style="5" customWidth="1"/>
    <col min="260" max="260" width="1.28515625" style="5" customWidth="1"/>
    <col min="261" max="261" width="29.140625" style="5" customWidth="1"/>
    <col min="262" max="262" width="7.85546875" style="5" bestFit="1" customWidth="1"/>
    <col min="263" max="263" width="7" style="5" customWidth="1"/>
    <col min="264" max="264" width="7.85546875" style="5" bestFit="1" customWidth="1"/>
    <col min="265" max="265" width="8.42578125" style="5" customWidth="1"/>
    <col min="266" max="266" width="7" style="5" customWidth="1"/>
    <col min="267" max="267" width="6.28515625" style="5" customWidth="1"/>
    <col min="268" max="268" width="7" style="5" customWidth="1"/>
    <col min="269" max="269" width="6.7109375" style="5" customWidth="1"/>
    <col min="270" max="270" width="7" style="5" customWidth="1"/>
    <col min="271" max="271" width="6.42578125" style="5" customWidth="1"/>
    <col min="272" max="512" width="11.42578125" style="5"/>
    <col min="513" max="513" width="0.140625" style="5" customWidth="1"/>
    <col min="514" max="514" width="2.7109375" style="5" customWidth="1"/>
    <col min="515" max="515" width="15.42578125" style="5" customWidth="1"/>
    <col min="516" max="516" width="1.28515625" style="5" customWidth="1"/>
    <col min="517" max="517" width="29.140625" style="5" customWidth="1"/>
    <col min="518" max="518" width="7.85546875" style="5" bestFit="1" customWidth="1"/>
    <col min="519" max="519" width="7" style="5" customWidth="1"/>
    <col min="520" max="520" width="7.85546875" style="5" bestFit="1" customWidth="1"/>
    <col min="521" max="521" width="8.42578125" style="5" customWidth="1"/>
    <col min="522" max="522" width="7" style="5" customWidth="1"/>
    <col min="523" max="523" width="6.28515625" style="5" customWidth="1"/>
    <col min="524" max="524" width="7" style="5" customWidth="1"/>
    <col min="525" max="525" width="6.7109375" style="5" customWidth="1"/>
    <col min="526" max="526" width="7" style="5" customWidth="1"/>
    <col min="527" max="527" width="6.42578125" style="5" customWidth="1"/>
    <col min="528" max="768" width="11.42578125" style="5"/>
    <col min="769" max="769" width="0.140625" style="5" customWidth="1"/>
    <col min="770" max="770" width="2.7109375" style="5" customWidth="1"/>
    <col min="771" max="771" width="15.42578125" style="5" customWidth="1"/>
    <col min="772" max="772" width="1.28515625" style="5" customWidth="1"/>
    <col min="773" max="773" width="29.140625" style="5" customWidth="1"/>
    <col min="774" max="774" width="7.85546875" style="5" bestFit="1" customWidth="1"/>
    <col min="775" max="775" width="7" style="5" customWidth="1"/>
    <col min="776" max="776" width="7.85546875" style="5" bestFit="1" customWidth="1"/>
    <col min="777" max="777" width="8.42578125" style="5" customWidth="1"/>
    <col min="778" max="778" width="7" style="5" customWidth="1"/>
    <col min="779" max="779" width="6.28515625" style="5" customWidth="1"/>
    <col min="780" max="780" width="7" style="5" customWidth="1"/>
    <col min="781" max="781" width="6.7109375" style="5" customWidth="1"/>
    <col min="782" max="782" width="7" style="5" customWidth="1"/>
    <col min="783" max="783" width="6.42578125" style="5" customWidth="1"/>
    <col min="784" max="1024" width="11.42578125" style="5"/>
    <col min="1025" max="1025" width="0.140625" style="5" customWidth="1"/>
    <col min="1026" max="1026" width="2.7109375" style="5" customWidth="1"/>
    <col min="1027" max="1027" width="15.42578125" style="5" customWidth="1"/>
    <col min="1028" max="1028" width="1.28515625" style="5" customWidth="1"/>
    <col min="1029" max="1029" width="29.140625" style="5" customWidth="1"/>
    <col min="1030" max="1030" width="7.85546875" style="5" bestFit="1" customWidth="1"/>
    <col min="1031" max="1031" width="7" style="5" customWidth="1"/>
    <col min="1032" max="1032" width="7.85546875" style="5" bestFit="1" customWidth="1"/>
    <col min="1033" max="1033" width="8.42578125" style="5" customWidth="1"/>
    <col min="1034" max="1034" width="7" style="5" customWidth="1"/>
    <col min="1035" max="1035" width="6.28515625" style="5" customWidth="1"/>
    <col min="1036" max="1036" width="7" style="5" customWidth="1"/>
    <col min="1037" max="1037" width="6.7109375" style="5" customWidth="1"/>
    <col min="1038" max="1038" width="7" style="5" customWidth="1"/>
    <col min="1039" max="1039" width="6.42578125" style="5" customWidth="1"/>
    <col min="1040" max="1280" width="11.42578125" style="5"/>
    <col min="1281" max="1281" width="0.140625" style="5" customWidth="1"/>
    <col min="1282" max="1282" width="2.7109375" style="5" customWidth="1"/>
    <col min="1283" max="1283" width="15.42578125" style="5" customWidth="1"/>
    <col min="1284" max="1284" width="1.28515625" style="5" customWidth="1"/>
    <col min="1285" max="1285" width="29.140625" style="5" customWidth="1"/>
    <col min="1286" max="1286" width="7.85546875" style="5" bestFit="1" customWidth="1"/>
    <col min="1287" max="1287" width="7" style="5" customWidth="1"/>
    <col min="1288" max="1288" width="7.85546875" style="5" bestFit="1" customWidth="1"/>
    <col min="1289" max="1289" width="8.42578125" style="5" customWidth="1"/>
    <col min="1290" max="1290" width="7" style="5" customWidth="1"/>
    <col min="1291" max="1291" width="6.28515625" style="5" customWidth="1"/>
    <col min="1292" max="1292" width="7" style="5" customWidth="1"/>
    <col min="1293" max="1293" width="6.7109375" style="5" customWidth="1"/>
    <col min="1294" max="1294" width="7" style="5" customWidth="1"/>
    <col min="1295" max="1295" width="6.42578125" style="5" customWidth="1"/>
    <col min="1296" max="1536" width="11.42578125" style="5"/>
    <col min="1537" max="1537" width="0.140625" style="5" customWidth="1"/>
    <col min="1538" max="1538" width="2.7109375" style="5" customWidth="1"/>
    <col min="1539" max="1539" width="15.42578125" style="5" customWidth="1"/>
    <col min="1540" max="1540" width="1.28515625" style="5" customWidth="1"/>
    <col min="1541" max="1541" width="29.140625" style="5" customWidth="1"/>
    <col min="1542" max="1542" width="7.85546875" style="5" bestFit="1" customWidth="1"/>
    <col min="1543" max="1543" width="7" style="5" customWidth="1"/>
    <col min="1544" max="1544" width="7.85546875" style="5" bestFit="1" customWidth="1"/>
    <col min="1545" max="1545" width="8.42578125" style="5" customWidth="1"/>
    <col min="1546" max="1546" width="7" style="5" customWidth="1"/>
    <col min="1547" max="1547" width="6.28515625" style="5" customWidth="1"/>
    <col min="1548" max="1548" width="7" style="5" customWidth="1"/>
    <col min="1549" max="1549" width="6.7109375" style="5" customWidth="1"/>
    <col min="1550" max="1550" width="7" style="5" customWidth="1"/>
    <col min="1551" max="1551" width="6.42578125" style="5" customWidth="1"/>
    <col min="1552" max="1792" width="11.42578125" style="5"/>
    <col min="1793" max="1793" width="0.140625" style="5" customWidth="1"/>
    <col min="1794" max="1794" width="2.7109375" style="5" customWidth="1"/>
    <col min="1795" max="1795" width="15.42578125" style="5" customWidth="1"/>
    <col min="1796" max="1796" width="1.28515625" style="5" customWidth="1"/>
    <col min="1797" max="1797" width="29.140625" style="5" customWidth="1"/>
    <col min="1798" max="1798" width="7.85546875" style="5" bestFit="1" customWidth="1"/>
    <col min="1799" max="1799" width="7" style="5" customWidth="1"/>
    <col min="1800" max="1800" width="7.85546875" style="5" bestFit="1" customWidth="1"/>
    <col min="1801" max="1801" width="8.42578125" style="5" customWidth="1"/>
    <col min="1802" max="1802" width="7" style="5" customWidth="1"/>
    <col min="1803" max="1803" width="6.28515625" style="5" customWidth="1"/>
    <col min="1804" max="1804" width="7" style="5" customWidth="1"/>
    <col min="1805" max="1805" width="6.7109375" style="5" customWidth="1"/>
    <col min="1806" max="1806" width="7" style="5" customWidth="1"/>
    <col min="1807" max="1807" width="6.42578125" style="5" customWidth="1"/>
    <col min="1808" max="2048" width="11.42578125" style="5"/>
    <col min="2049" max="2049" width="0.140625" style="5" customWidth="1"/>
    <col min="2050" max="2050" width="2.7109375" style="5" customWidth="1"/>
    <col min="2051" max="2051" width="15.42578125" style="5" customWidth="1"/>
    <col min="2052" max="2052" width="1.28515625" style="5" customWidth="1"/>
    <col min="2053" max="2053" width="29.140625" style="5" customWidth="1"/>
    <col min="2054" max="2054" width="7.85546875" style="5" bestFit="1" customWidth="1"/>
    <col min="2055" max="2055" width="7" style="5" customWidth="1"/>
    <col min="2056" max="2056" width="7.85546875" style="5" bestFit="1" customWidth="1"/>
    <col min="2057" max="2057" width="8.42578125" style="5" customWidth="1"/>
    <col min="2058" max="2058" width="7" style="5" customWidth="1"/>
    <col min="2059" max="2059" width="6.28515625" style="5" customWidth="1"/>
    <col min="2060" max="2060" width="7" style="5" customWidth="1"/>
    <col min="2061" max="2061" width="6.7109375" style="5" customWidth="1"/>
    <col min="2062" max="2062" width="7" style="5" customWidth="1"/>
    <col min="2063" max="2063" width="6.42578125" style="5" customWidth="1"/>
    <col min="2064" max="2304" width="11.42578125" style="5"/>
    <col min="2305" max="2305" width="0.140625" style="5" customWidth="1"/>
    <col min="2306" max="2306" width="2.7109375" style="5" customWidth="1"/>
    <col min="2307" max="2307" width="15.42578125" style="5" customWidth="1"/>
    <col min="2308" max="2308" width="1.28515625" style="5" customWidth="1"/>
    <col min="2309" max="2309" width="29.140625" style="5" customWidth="1"/>
    <col min="2310" max="2310" width="7.85546875" style="5" bestFit="1" customWidth="1"/>
    <col min="2311" max="2311" width="7" style="5" customWidth="1"/>
    <col min="2312" max="2312" width="7.85546875" style="5" bestFit="1" customWidth="1"/>
    <col min="2313" max="2313" width="8.42578125" style="5" customWidth="1"/>
    <col min="2314" max="2314" width="7" style="5" customWidth="1"/>
    <col min="2315" max="2315" width="6.28515625" style="5" customWidth="1"/>
    <col min="2316" max="2316" width="7" style="5" customWidth="1"/>
    <col min="2317" max="2317" width="6.7109375" style="5" customWidth="1"/>
    <col min="2318" max="2318" width="7" style="5" customWidth="1"/>
    <col min="2319" max="2319" width="6.42578125" style="5" customWidth="1"/>
    <col min="2320" max="2560" width="11.42578125" style="5"/>
    <col min="2561" max="2561" width="0.140625" style="5" customWidth="1"/>
    <col min="2562" max="2562" width="2.7109375" style="5" customWidth="1"/>
    <col min="2563" max="2563" width="15.42578125" style="5" customWidth="1"/>
    <col min="2564" max="2564" width="1.28515625" style="5" customWidth="1"/>
    <col min="2565" max="2565" width="29.140625" style="5" customWidth="1"/>
    <col min="2566" max="2566" width="7.85546875" style="5" bestFit="1" customWidth="1"/>
    <col min="2567" max="2567" width="7" style="5" customWidth="1"/>
    <col min="2568" max="2568" width="7.85546875" style="5" bestFit="1" customWidth="1"/>
    <col min="2569" max="2569" width="8.42578125" style="5" customWidth="1"/>
    <col min="2570" max="2570" width="7" style="5" customWidth="1"/>
    <col min="2571" max="2571" width="6.28515625" style="5" customWidth="1"/>
    <col min="2572" max="2572" width="7" style="5" customWidth="1"/>
    <col min="2573" max="2573" width="6.7109375" style="5" customWidth="1"/>
    <col min="2574" max="2574" width="7" style="5" customWidth="1"/>
    <col min="2575" max="2575" width="6.42578125" style="5" customWidth="1"/>
    <col min="2576" max="2816" width="11.42578125" style="5"/>
    <col min="2817" max="2817" width="0.140625" style="5" customWidth="1"/>
    <col min="2818" max="2818" width="2.7109375" style="5" customWidth="1"/>
    <col min="2819" max="2819" width="15.42578125" style="5" customWidth="1"/>
    <col min="2820" max="2820" width="1.28515625" style="5" customWidth="1"/>
    <col min="2821" max="2821" width="29.140625" style="5" customWidth="1"/>
    <col min="2822" max="2822" width="7.85546875" style="5" bestFit="1" customWidth="1"/>
    <col min="2823" max="2823" width="7" style="5" customWidth="1"/>
    <col min="2824" max="2824" width="7.85546875" style="5" bestFit="1" customWidth="1"/>
    <col min="2825" max="2825" width="8.42578125" style="5" customWidth="1"/>
    <col min="2826" max="2826" width="7" style="5" customWidth="1"/>
    <col min="2827" max="2827" width="6.28515625" style="5" customWidth="1"/>
    <col min="2828" max="2828" width="7" style="5" customWidth="1"/>
    <col min="2829" max="2829" width="6.7109375" style="5" customWidth="1"/>
    <col min="2830" max="2830" width="7" style="5" customWidth="1"/>
    <col min="2831" max="2831" width="6.42578125" style="5" customWidth="1"/>
    <col min="2832" max="3072" width="11.42578125" style="5"/>
    <col min="3073" max="3073" width="0.140625" style="5" customWidth="1"/>
    <col min="3074" max="3074" width="2.7109375" style="5" customWidth="1"/>
    <col min="3075" max="3075" width="15.42578125" style="5" customWidth="1"/>
    <col min="3076" max="3076" width="1.28515625" style="5" customWidth="1"/>
    <col min="3077" max="3077" width="29.140625" style="5" customWidth="1"/>
    <col min="3078" max="3078" width="7.85546875" style="5" bestFit="1" customWidth="1"/>
    <col min="3079" max="3079" width="7" style="5" customWidth="1"/>
    <col min="3080" max="3080" width="7.85546875" style="5" bestFit="1" customWidth="1"/>
    <col min="3081" max="3081" width="8.42578125" style="5" customWidth="1"/>
    <col min="3082" max="3082" width="7" style="5" customWidth="1"/>
    <col min="3083" max="3083" width="6.28515625" style="5" customWidth="1"/>
    <col min="3084" max="3084" width="7" style="5" customWidth="1"/>
    <col min="3085" max="3085" width="6.7109375" style="5" customWidth="1"/>
    <col min="3086" max="3086" width="7" style="5" customWidth="1"/>
    <col min="3087" max="3087" width="6.42578125" style="5" customWidth="1"/>
    <col min="3088" max="3328" width="11.42578125" style="5"/>
    <col min="3329" max="3329" width="0.140625" style="5" customWidth="1"/>
    <col min="3330" max="3330" width="2.7109375" style="5" customWidth="1"/>
    <col min="3331" max="3331" width="15.42578125" style="5" customWidth="1"/>
    <col min="3332" max="3332" width="1.28515625" style="5" customWidth="1"/>
    <col min="3333" max="3333" width="29.140625" style="5" customWidth="1"/>
    <col min="3334" max="3334" width="7.85546875" style="5" bestFit="1" customWidth="1"/>
    <col min="3335" max="3335" width="7" style="5" customWidth="1"/>
    <col min="3336" max="3336" width="7.85546875" style="5" bestFit="1" customWidth="1"/>
    <col min="3337" max="3337" width="8.42578125" style="5" customWidth="1"/>
    <col min="3338" max="3338" width="7" style="5" customWidth="1"/>
    <col min="3339" max="3339" width="6.28515625" style="5" customWidth="1"/>
    <col min="3340" max="3340" width="7" style="5" customWidth="1"/>
    <col min="3341" max="3341" width="6.7109375" style="5" customWidth="1"/>
    <col min="3342" max="3342" width="7" style="5" customWidth="1"/>
    <col min="3343" max="3343" width="6.42578125" style="5" customWidth="1"/>
    <col min="3344" max="3584" width="11.42578125" style="5"/>
    <col min="3585" max="3585" width="0.140625" style="5" customWidth="1"/>
    <col min="3586" max="3586" width="2.7109375" style="5" customWidth="1"/>
    <col min="3587" max="3587" width="15.42578125" style="5" customWidth="1"/>
    <col min="3588" max="3588" width="1.28515625" style="5" customWidth="1"/>
    <col min="3589" max="3589" width="29.140625" style="5" customWidth="1"/>
    <col min="3590" max="3590" width="7.85546875" style="5" bestFit="1" customWidth="1"/>
    <col min="3591" max="3591" width="7" style="5" customWidth="1"/>
    <col min="3592" max="3592" width="7.85546875" style="5" bestFit="1" customWidth="1"/>
    <col min="3593" max="3593" width="8.42578125" style="5" customWidth="1"/>
    <col min="3594" max="3594" width="7" style="5" customWidth="1"/>
    <col min="3595" max="3595" width="6.28515625" style="5" customWidth="1"/>
    <col min="3596" max="3596" width="7" style="5" customWidth="1"/>
    <col min="3597" max="3597" width="6.7109375" style="5" customWidth="1"/>
    <col min="3598" max="3598" width="7" style="5" customWidth="1"/>
    <col min="3599" max="3599" width="6.42578125" style="5" customWidth="1"/>
    <col min="3600" max="3840" width="11.42578125" style="5"/>
    <col min="3841" max="3841" width="0.140625" style="5" customWidth="1"/>
    <col min="3842" max="3842" width="2.7109375" style="5" customWidth="1"/>
    <col min="3843" max="3843" width="15.42578125" style="5" customWidth="1"/>
    <col min="3844" max="3844" width="1.28515625" style="5" customWidth="1"/>
    <col min="3845" max="3845" width="29.140625" style="5" customWidth="1"/>
    <col min="3846" max="3846" width="7.85546875" style="5" bestFit="1" customWidth="1"/>
    <col min="3847" max="3847" width="7" style="5" customWidth="1"/>
    <col min="3848" max="3848" width="7.85546875" style="5" bestFit="1" customWidth="1"/>
    <col min="3849" max="3849" width="8.42578125" style="5" customWidth="1"/>
    <col min="3850" max="3850" width="7" style="5" customWidth="1"/>
    <col min="3851" max="3851" width="6.28515625" style="5" customWidth="1"/>
    <col min="3852" max="3852" width="7" style="5" customWidth="1"/>
    <col min="3853" max="3853" width="6.7109375" style="5" customWidth="1"/>
    <col min="3854" max="3854" width="7" style="5" customWidth="1"/>
    <col min="3855" max="3855" width="6.42578125" style="5" customWidth="1"/>
    <col min="3856" max="4096" width="11.42578125" style="5"/>
    <col min="4097" max="4097" width="0.140625" style="5" customWidth="1"/>
    <col min="4098" max="4098" width="2.7109375" style="5" customWidth="1"/>
    <col min="4099" max="4099" width="15.42578125" style="5" customWidth="1"/>
    <col min="4100" max="4100" width="1.28515625" style="5" customWidth="1"/>
    <col min="4101" max="4101" width="29.140625" style="5" customWidth="1"/>
    <col min="4102" max="4102" width="7.85546875" style="5" bestFit="1" customWidth="1"/>
    <col min="4103" max="4103" width="7" style="5" customWidth="1"/>
    <col min="4104" max="4104" width="7.85546875" style="5" bestFit="1" customWidth="1"/>
    <col min="4105" max="4105" width="8.42578125" style="5" customWidth="1"/>
    <col min="4106" max="4106" width="7" style="5" customWidth="1"/>
    <col min="4107" max="4107" width="6.28515625" style="5" customWidth="1"/>
    <col min="4108" max="4108" width="7" style="5" customWidth="1"/>
    <col min="4109" max="4109" width="6.7109375" style="5" customWidth="1"/>
    <col min="4110" max="4110" width="7" style="5" customWidth="1"/>
    <col min="4111" max="4111" width="6.42578125" style="5" customWidth="1"/>
    <col min="4112" max="4352" width="11.42578125" style="5"/>
    <col min="4353" max="4353" width="0.140625" style="5" customWidth="1"/>
    <col min="4354" max="4354" width="2.7109375" style="5" customWidth="1"/>
    <col min="4355" max="4355" width="15.42578125" style="5" customWidth="1"/>
    <col min="4356" max="4356" width="1.28515625" style="5" customWidth="1"/>
    <col min="4357" max="4357" width="29.140625" style="5" customWidth="1"/>
    <col min="4358" max="4358" width="7.85546875" style="5" bestFit="1" customWidth="1"/>
    <col min="4359" max="4359" width="7" style="5" customWidth="1"/>
    <col min="4360" max="4360" width="7.85546875" style="5" bestFit="1" customWidth="1"/>
    <col min="4361" max="4361" width="8.42578125" style="5" customWidth="1"/>
    <col min="4362" max="4362" width="7" style="5" customWidth="1"/>
    <col min="4363" max="4363" width="6.28515625" style="5" customWidth="1"/>
    <col min="4364" max="4364" width="7" style="5" customWidth="1"/>
    <col min="4365" max="4365" width="6.7109375" style="5" customWidth="1"/>
    <col min="4366" max="4366" width="7" style="5" customWidth="1"/>
    <col min="4367" max="4367" width="6.42578125" style="5" customWidth="1"/>
    <col min="4368" max="4608" width="11.42578125" style="5"/>
    <col min="4609" max="4609" width="0.140625" style="5" customWidth="1"/>
    <col min="4610" max="4610" width="2.7109375" style="5" customWidth="1"/>
    <col min="4611" max="4611" width="15.42578125" style="5" customWidth="1"/>
    <col min="4612" max="4612" width="1.28515625" style="5" customWidth="1"/>
    <col min="4613" max="4613" width="29.140625" style="5" customWidth="1"/>
    <col min="4614" max="4614" width="7.85546875" style="5" bestFit="1" customWidth="1"/>
    <col min="4615" max="4615" width="7" style="5" customWidth="1"/>
    <col min="4616" max="4616" width="7.85546875" style="5" bestFit="1" customWidth="1"/>
    <col min="4617" max="4617" width="8.42578125" style="5" customWidth="1"/>
    <col min="4618" max="4618" width="7" style="5" customWidth="1"/>
    <col min="4619" max="4619" width="6.28515625" style="5" customWidth="1"/>
    <col min="4620" max="4620" width="7" style="5" customWidth="1"/>
    <col min="4621" max="4621" width="6.7109375" style="5" customWidth="1"/>
    <col min="4622" max="4622" width="7" style="5" customWidth="1"/>
    <col min="4623" max="4623" width="6.42578125" style="5" customWidth="1"/>
    <col min="4624" max="4864" width="11.42578125" style="5"/>
    <col min="4865" max="4865" width="0.140625" style="5" customWidth="1"/>
    <col min="4866" max="4866" width="2.7109375" style="5" customWidth="1"/>
    <col min="4867" max="4867" width="15.42578125" style="5" customWidth="1"/>
    <col min="4868" max="4868" width="1.28515625" style="5" customWidth="1"/>
    <col min="4869" max="4869" width="29.140625" style="5" customWidth="1"/>
    <col min="4870" max="4870" width="7.85546875" style="5" bestFit="1" customWidth="1"/>
    <col min="4871" max="4871" width="7" style="5" customWidth="1"/>
    <col min="4872" max="4872" width="7.85546875" style="5" bestFit="1" customWidth="1"/>
    <col min="4873" max="4873" width="8.42578125" style="5" customWidth="1"/>
    <col min="4874" max="4874" width="7" style="5" customWidth="1"/>
    <col min="4875" max="4875" width="6.28515625" style="5" customWidth="1"/>
    <col min="4876" max="4876" width="7" style="5" customWidth="1"/>
    <col min="4877" max="4877" width="6.7109375" style="5" customWidth="1"/>
    <col min="4878" max="4878" width="7" style="5" customWidth="1"/>
    <col min="4879" max="4879" width="6.42578125" style="5" customWidth="1"/>
    <col min="4880" max="5120" width="11.42578125" style="5"/>
    <col min="5121" max="5121" width="0.140625" style="5" customWidth="1"/>
    <col min="5122" max="5122" width="2.7109375" style="5" customWidth="1"/>
    <col min="5123" max="5123" width="15.42578125" style="5" customWidth="1"/>
    <col min="5124" max="5124" width="1.28515625" style="5" customWidth="1"/>
    <col min="5125" max="5125" width="29.140625" style="5" customWidth="1"/>
    <col min="5126" max="5126" width="7.85546875" style="5" bestFit="1" customWidth="1"/>
    <col min="5127" max="5127" width="7" style="5" customWidth="1"/>
    <col min="5128" max="5128" width="7.85546875" style="5" bestFit="1" customWidth="1"/>
    <col min="5129" max="5129" width="8.42578125" style="5" customWidth="1"/>
    <col min="5130" max="5130" width="7" style="5" customWidth="1"/>
    <col min="5131" max="5131" width="6.28515625" style="5" customWidth="1"/>
    <col min="5132" max="5132" width="7" style="5" customWidth="1"/>
    <col min="5133" max="5133" width="6.7109375" style="5" customWidth="1"/>
    <col min="5134" max="5134" width="7" style="5" customWidth="1"/>
    <col min="5135" max="5135" width="6.42578125" style="5" customWidth="1"/>
    <col min="5136" max="5376" width="11.42578125" style="5"/>
    <col min="5377" max="5377" width="0.140625" style="5" customWidth="1"/>
    <col min="5378" max="5378" width="2.7109375" style="5" customWidth="1"/>
    <col min="5379" max="5379" width="15.42578125" style="5" customWidth="1"/>
    <col min="5380" max="5380" width="1.28515625" style="5" customWidth="1"/>
    <col min="5381" max="5381" width="29.140625" style="5" customWidth="1"/>
    <col min="5382" max="5382" width="7.85546875" style="5" bestFit="1" customWidth="1"/>
    <col min="5383" max="5383" width="7" style="5" customWidth="1"/>
    <col min="5384" max="5384" width="7.85546875" style="5" bestFit="1" customWidth="1"/>
    <col min="5385" max="5385" width="8.42578125" style="5" customWidth="1"/>
    <col min="5386" max="5386" width="7" style="5" customWidth="1"/>
    <col min="5387" max="5387" width="6.28515625" style="5" customWidth="1"/>
    <col min="5388" max="5388" width="7" style="5" customWidth="1"/>
    <col min="5389" max="5389" width="6.7109375" style="5" customWidth="1"/>
    <col min="5390" max="5390" width="7" style="5" customWidth="1"/>
    <col min="5391" max="5391" width="6.42578125" style="5" customWidth="1"/>
    <col min="5392" max="5632" width="11.42578125" style="5"/>
    <col min="5633" max="5633" width="0.140625" style="5" customWidth="1"/>
    <col min="5634" max="5634" width="2.7109375" style="5" customWidth="1"/>
    <col min="5635" max="5635" width="15.42578125" style="5" customWidth="1"/>
    <col min="5636" max="5636" width="1.28515625" style="5" customWidth="1"/>
    <col min="5637" max="5637" width="29.140625" style="5" customWidth="1"/>
    <col min="5638" max="5638" width="7.85546875" style="5" bestFit="1" customWidth="1"/>
    <col min="5639" max="5639" width="7" style="5" customWidth="1"/>
    <col min="5640" max="5640" width="7.85546875" style="5" bestFit="1" customWidth="1"/>
    <col min="5641" max="5641" width="8.42578125" style="5" customWidth="1"/>
    <col min="5642" max="5642" width="7" style="5" customWidth="1"/>
    <col min="5643" max="5643" width="6.28515625" style="5" customWidth="1"/>
    <col min="5644" max="5644" width="7" style="5" customWidth="1"/>
    <col min="5645" max="5645" width="6.7109375" style="5" customWidth="1"/>
    <col min="5646" max="5646" width="7" style="5" customWidth="1"/>
    <col min="5647" max="5647" width="6.42578125" style="5" customWidth="1"/>
    <col min="5648" max="5888" width="11.42578125" style="5"/>
    <col min="5889" max="5889" width="0.140625" style="5" customWidth="1"/>
    <col min="5890" max="5890" width="2.7109375" style="5" customWidth="1"/>
    <col min="5891" max="5891" width="15.42578125" style="5" customWidth="1"/>
    <col min="5892" max="5892" width="1.28515625" style="5" customWidth="1"/>
    <col min="5893" max="5893" width="29.140625" style="5" customWidth="1"/>
    <col min="5894" max="5894" width="7.85546875" style="5" bestFit="1" customWidth="1"/>
    <col min="5895" max="5895" width="7" style="5" customWidth="1"/>
    <col min="5896" max="5896" width="7.85546875" style="5" bestFit="1" customWidth="1"/>
    <col min="5897" max="5897" width="8.42578125" style="5" customWidth="1"/>
    <col min="5898" max="5898" width="7" style="5" customWidth="1"/>
    <col min="5899" max="5899" width="6.28515625" style="5" customWidth="1"/>
    <col min="5900" max="5900" width="7" style="5" customWidth="1"/>
    <col min="5901" max="5901" width="6.7109375" style="5" customWidth="1"/>
    <col min="5902" max="5902" width="7" style="5" customWidth="1"/>
    <col min="5903" max="5903" width="6.42578125" style="5" customWidth="1"/>
    <col min="5904" max="6144" width="11.42578125" style="5"/>
    <col min="6145" max="6145" width="0.140625" style="5" customWidth="1"/>
    <col min="6146" max="6146" width="2.7109375" style="5" customWidth="1"/>
    <col min="6147" max="6147" width="15.42578125" style="5" customWidth="1"/>
    <col min="6148" max="6148" width="1.28515625" style="5" customWidth="1"/>
    <col min="6149" max="6149" width="29.140625" style="5" customWidth="1"/>
    <col min="6150" max="6150" width="7.85546875" style="5" bestFit="1" customWidth="1"/>
    <col min="6151" max="6151" width="7" style="5" customWidth="1"/>
    <col min="6152" max="6152" width="7.85546875" style="5" bestFit="1" customWidth="1"/>
    <col min="6153" max="6153" width="8.42578125" style="5" customWidth="1"/>
    <col min="6154" max="6154" width="7" style="5" customWidth="1"/>
    <col min="6155" max="6155" width="6.28515625" style="5" customWidth="1"/>
    <col min="6156" max="6156" width="7" style="5" customWidth="1"/>
    <col min="6157" max="6157" width="6.7109375" style="5" customWidth="1"/>
    <col min="6158" max="6158" width="7" style="5" customWidth="1"/>
    <col min="6159" max="6159" width="6.42578125" style="5" customWidth="1"/>
    <col min="6160" max="6400" width="11.42578125" style="5"/>
    <col min="6401" max="6401" width="0.140625" style="5" customWidth="1"/>
    <col min="6402" max="6402" width="2.7109375" style="5" customWidth="1"/>
    <col min="6403" max="6403" width="15.42578125" style="5" customWidth="1"/>
    <col min="6404" max="6404" width="1.28515625" style="5" customWidth="1"/>
    <col min="6405" max="6405" width="29.140625" style="5" customWidth="1"/>
    <col min="6406" max="6406" width="7.85546875" style="5" bestFit="1" customWidth="1"/>
    <col min="6407" max="6407" width="7" style="5" customWidth="1"/>
    <col min="6408" max="6408" width="7.85546875" style="5" bestFit="1" customWidth="1"/>
    <col min="6409" max="6409" width="8.42578125" style="5" customWidth="1"/>
    <col min="6410" max="6410" width="7" style="5" customWidth="1"/>
    <col min="6411" max="6411" width="6.28515625" style="5" customWidth="1"/>
    <col min="6412" max="6412" width="7" style="5" customWidth="1"/>
    <col min="6413" max="6413" width="6.7109375" style="5" customWidth="1"/>
    <col min="6414" max="6414" width="7" style="5" customWidth="1"/>
    <col min="6415" max="6415" width="6.42578125" style="5" customWidth="1"/>
    <col min="6416" max="6656" width="11.42578125" style="5"/>
    <col min="6657" max="6657" width="0.140625" style="5" customWidth="1"/>
    <col min="6658" max="6658" width="2.7109375" style="5" customWidth="1"/>
    <col min="6659" max="6659" width="15.42578125" style="5" customWidth="1"/>
    <col min="6660" max="6660" width="1.28515625" style="5" customWidth="1"/>
    <col min="6661" max="6661" width="29.140625" style="5" customWidth="1"/>
    <col min="6662" max="6662" width="7.85546875" style="5" bestFit="1" customWidth="1"/>
    <col min="6663" max="6663" width="7" style="5" customWidth="1"/>
    <col min="6664" max="6664" width="7.85546875" style="5" bestFit="1" customWidth="1"/>
    <col min="6665" max="6665" width="8.42578125" style="5" customWidth="1"/>
    <col min="6666" max="6666" width="7" style="5" customWidth="1"/>
    <col min="6667" max="6667" width="6.28515625" style="5" customWidth="1"/>
    <col min="6668" max="6668" width="7" style="5" customWidth="1"/>
    <col min="6669" max="6669" width="6.7109375" style="5" customWidth="1"/>
    <col min="6670" max="6670" width="7" style="5" customWidth="1"/>
    <col min="6671" max="6671" width="6.42578125" style="5" customWidth="1"/>
    <col min="6672" max="6912" width="11.42578125" style="5"/>
    <col min="6913" max="6913" width="0.140625" style="5" customWidth="1"/>
    <col min="6914" max="6914" width="2.7109375" style="5" customWidth="1"/>
    <col min="6915" max="6915" width="15.42578125" style="5" customWidth="1"/>
    <col min="6916" max="6916" width="1.28515625" style="5" customWidth="1"/>
    <col min="6917" max="6917" width="29.140625" style="5" customWidth="1"/>
    <col min="6918" max="6918" width="7.85546875" style="5" bestFit="1" customWidth="1"/>
    <col min="6919" max="6919" width="7" style="5" customWidth="1"/>
    <col min="6920" max="6920" width="7.85546875" style="5" bestFit="1" customWidth="1"/>
    <col min="6921" max="6921" width="8.42578125" style="5" customWidth="1"/>
    <col min="6922" max="6922" width="7" style="5" customWidth="1"/>
    <col min="6923" max="6923" width="6.28515625" style="5" customWidth="1"/>
    <col min="6924" max="6924" width="7" style="5" customWidth="1"/>
    <col min="6925" max="6925" width="6.7109375" style="5" customWidth="1"/>
    <col min="6926" max="6926" width="7" style="5" customWidth="1"/>
    <col min="6927" max="6927" width="6.42578125" style="5" customWidth="1"/>
    <col min="6928" max="7168" width="11.42578125" style="5"/>
    <col min="7169" max="7169" width="0.140625" style="5" customWidth="1"/>
    <col min="7170" max="7170" width="2.7109375" style="5" customWidth="1"/>
    <col min="7171" max="7171" width="15.42578125" style="5" customWidth="1"/>
    <col min="7172" max="7172" width="1.28515625" style="5" customWidth="1"/>
    <col min="7173" max="7173" width="29.140625" style="5" customWidth="1"/>
    <col min="7174" max="7174" width="7.85546875" style="5" bestFit="1" customWidth="1"/>
    <col min="7175" max="7175" width="7" style="5" customWidth="1"/>
    <col min="7176" max="7176" width="7.85546875" style="5" bestFit="1" customWidth="1"/>
    <col min="7177" max="7177" width="8.42578125" style="5" customWidth="1"/>
    <col min="7178" max="7178" width="7" style="5" customWidth="1"/>
    <col min="7179" max="7179" width="6.28515625" style="5" customWidth="1"/>
    <col min="7180" max="7180" width="7" style="5" customWidth="1"/>
    <col min="7181" max="7181" width="6.7109375" style="5" customWidth="1"/>
    <col min="7182" max="7182" width="7" style="5" customWidth="1"/>
    <col min="7183" max="7183" width="6.42578125" style="5" customWidth="1"/>
    <col min="7184" max="7424" width="11.42578125" style="5"/>
    <col min="7425" max="7425" width="0.140625" style="5" customWidth="1"/>
    <col min="7426" max="7426" width="2.7109375" style="5" customWidth="1"/>
    <col min="7427" max="7427" width="15.42578125" style="5" customWidth="1"/>
    <col min="7428" max="7428" width="1.28515625" style="5" customWidth="1"/>
    <col min="7429" max="7429" width="29.140625" style="5" customWidth="1"/>
    <col min="7430" max="7430" width="7.85546875" style="5" bestFit="1" customWidth="1"/>
    <col min="7431" max="7431" width="7" style="5" customWidth="1"/>
    <col min="7432" max="7432" width="7.85546875" style="5" bestFit="1" customWidth="1"/>
    <col min="7433" max="7433" width="8.42578125" style="5" customWidth="1"/>
    <col min="7434" max="7434" width="7" style="5" customWidth="1"/>
    <col min="7435" max="7435" width="6.28515625" style="5" customWidth="1"/>
    <col min="7436" max="7436" width="7" style="5" customWidth="1"/>
    <col min="7437" max="7437" width="6.7109375" style="5" customWidth="1"/>
    <col min="7438" max="7438" width="7" style="5" customWidth="1"/>
    <col min="7439" max="7439" width="6.42578125" style="5" customWidth="1"/>
    <col min="7440" max="7680" width="11.42578125" style="5"/>
    <col min="7681" max="7681" width="0.140625" style="5" customWidth="1"/>
    <col min="7682" max="7682" width="2.7109375" style="5" customWidth="1"/>
    <col min="7683" max="7683" width="15.42578125" style="5" customWidth="1"/>
    <col min="7684" max="7684" width="1.28515625" style="5" customWidth="1"/>
    <col min="7685" max="7685" width="29.140625" style="5" customWidth="1"/>
    <col min="7686" max="7686" width="7.85546875" style="5" bestFit="1" customWidth="1"/>
    <col min="7687" max="7687" width="7" style="5" customWidth="1"/>
    <col min="7688" max="7688" width="7.85546875" style="5" bestFit="1" customWidth="1"/>
    <col min="7689" max="7689" width="8.42578125" style="5" customWidth="1"/>
    <col min="7690" max="7690" width="7" style="5" customWidth="1"/>
    <col min="7691" max="7691" width="6.28515625" style="5" customWidth="1"/>
    <col min="7692" max="7692" width="7" style="5" customWidth="1"/>
    <col min="7693" max="7693" width="6.7109375" style="5" customWidth="1"/>
    <col min="7694" max="7694" width="7" style="5" customWidth="1"/>
    <col min="7695" max="7695" width="6.42578125" style="5" customWidth="1"/>
    <col min="7696" max="7936" width="11.42578125" style="5"/>
    <col min="7937" max="7937" width="0.140625" style="5" customWidth="1"/>
    <col min="7938" max="7938" width="2.7109375" style="5" customWidth="1"/>
    <col min="7939" max="7939" width="15.42578125" style="5" customWidth="1"/>
    <col min="7940" max="7940" width="1.28515625" style="5" customWidth="1"/>
    <col min="7941" max="7941" width="29.140625" style="5" customWidth="1"/>
    <col min="7942" max="7942" width="7.85546875" style="5" bestFit="1" customWidth="1"/>
    <col min="7943" max="7943" width="7" style="5" customWidth="1"/>
    <col min="7944" max="7944" width="7.85546875" style="5" bestFit="1" customWidth="1"/>
    <col min="7945" max="7945" width="8.42578125" style="5" customWidth="1"/>
    <col min="7946" max="7946" width="7" style="5" customWidth="1"/>
    <col min="7947" max="7947" width="6.28515625" style="5" customWidth="1"/>
    <col min="7948" max="7948" width="7" style="5" customWidth="1"/>
    <col min="7949" max="7949" width="6.7109375" style="5" customWidth="1"/>
    <col min="7950" max="7950" width="7" style="5" customWidth="1"/>
    <col min="7951" max="7951" width="6.42578125" style="5" customWidth="1"/>
    <col min="7952" max="8192" width="11.42578125" style="5"/>
    <col min="8193" max="8193" width="0.140625" style="5" customWidth="1"/>
    <col min="8194" max="8194" width="2.7109375" style="5" customWidth="1"/>
    <col min="8195" max="8195" width="15.42578125" style="5" customWidth="1"/>
    <col min="8196" max="8196" width="1.28515625" style="5" customWidth="1"/>
    <col min="8197" max="8197" width="29.140625" style="5" customWidth="1"/>
    <col min="8198" max="8198" width="7.85546875" style="5" bestFit="1" customWidth="1"/>
    <col min="8199" max="8199" width="7" style="5" customWidth="1"/>
    <col min="8200" max="8200" width="7.85546875" style="5" bestFit="1" customWidth="1"/>
    <col min="8201" max="8201" width="8.42578125" style="5" customWidth="1"/>
    <col min="8202" max="8202" width="7" style="5" customWidth="1"/>
    <col min="8203" max="8203" width="6.28515625" style="5" customWidth="1"/>
    <col min="8204" max="8204" width="7" style="5" customWidth="1"/>
    <col min="8205" max="8205" width="6.7109375" style="5" customWidth="1"/>
    <col min="8206" max="8206" width="7" style="5" customWidth="1"/>
    <col min="8207" max="8207" width="6.42578125" style="5" customWidth="1"/>
    <col min="8208" max="8448" width="11.42578125" style="5"/>
    <col min="8449" max="8449" width="0.140625" style="5" customWidth="1"/>
    <col min="8450" max="8450" width="2.7109375" style="5" customWidth="1"/>
    <col min="8451" max="8451" width="15.42578125" style="5" customWidth="1"/>
    <col min="8452" max="8452" width="1.28515625" style="5" customWidth="1"/>
    <col min="8453" max="8453" width="29.140625" style="5" customWidth="1"/>
    <col min="8454" max="8454" width="7.85546875" style="5" bestFit="1" customWidth="1"/>
    <col min="8455" max="8455" width="7" style="5" customWidth="1"/>
    <col min="8456" max="8456" width="7.85546875" style="5" bestFit="1" customWidth="1"/>
    <col min="8457" max="8457" width="8.42578125" style="5" customWidth="1"/>
    <col min="8458" max="8458" width="7" style="5" customWidth="1"/>
    <col min="8459" max="8459" width="6.28515625" style="5" customWidth="1"/>
    <col min="8460" max="8460" width="7" style="5" customWidth="1"/>
    <col min="8461" max="8461" width="6.7109375" style="5" customWidth="1"/>
    <col min="8462" max="8462" width="7" style="5" customWidth="1"/>
    <col min="8463" max="8463" width="6.42578125" style="5" customWidth="1"/>
    <col min="8464" max="8704" width="11.42578125" style="5"/>
    <col min="8705" max="8705" width="0.140625" style="5" customWidth="1"/>
    <col min="8706" max="8706" width="2.7109375" style="5" customWidth="1"/>
    <col min="8707" max="8707" width="15.42578125" style="5" customWidth="1"/>
    <col min="8708" max="8708" width="1.28515625" style="5" customWidth="1"/>
    <col min="8709" max="8709" width="29.140625" style="5" customWidth="1"/>
    <col min="8710" max="8710" width="7.85546875" style="5" bestFit="1" customWidth="1"/>
    <col min="8711" max="8711" width="7" style="5" customWidth="1"/>
    <col min="8712" max="8712" width="7.85546875" style="5" bestFit="1" customWidth="1"/>
    <col min="8713" max="8713" width="8.42578125" style="5" customWidth="1"/>
    <col min="8714" max="8714" width="7" style="5" customWidth="1"/>
    <col min="8715" max="8715" width="6.28515625" style="5" customWidth="1"/>
    <col min="8716" max="8716" width="7" style="5" customWidth="1"/>
    <col min="8717" max="8717" width="6.7109375" style="5" customWidth="1"/>
    <col min="8718" max="8718" width="7" style="5" customWidth="1"/>
    <col min="8719" max="8719" width="6.42578125" style="5" customWidth="1"/>
    <col min="8720" max="8960" width="11.42578125" style="5"/>
    <col min="8961" max="8961" width="0.140625" style="5" customWidth="1"/>
    <col min="8962" max="8962" width="2.7109375" style="5" customWidth="1"/>
    <col min="8963" max="8963" width="15.42578125" style="5" customWidth="1"/>
    <col min="8964" max="8964" width="1.28515625" style="5" customWidth="1"/>
    <col min="8965" max="8965" width="29.140625" style="5" customWidth="1"/>
    <col min="8966" max="8966" width="7.85546875" style="5" bestFit="1" customWidth="1"/>
    <col min="8967" max="8967" width="7" style="5" customWidth="1"/>
    <col min="8968" max="8968" width="7.85546875" style="5" bestFit="1" customWidth="1"/>
    <col min="8969" max="8969" width="8.42578125" style="5" customWidth="1"/>
    <col min="8970" max="8970" width="7" style="5" customWidth="1"/>
    <col min="8971" max="8971" width="6.28515625" style="5" customWidth="1"/>
    <col min="8972" max="8972" width="7" style="5" customWidth="1"/>
    <col min="8973" max="8973" width="6.7109375" style="5" customWidth="1"/>
    <col min="8974" max="8974" width="7" style="5" customWidth="1"/>
    <col min="8975" max="8975" width="6.42578125" style="5" customWidth="1"/>
    <col min="8976" max="9216" width="11.42578125" style="5"/>
    <col min="9217" max="9217" width="0.140625" style="5" customWidth="1"/>
    <col min="9218" max="9218" width="2.7109375" style="5" customWidth="1"/>
    <col min="9219" max="9219" width="15.42578125" style="5" customWidth="1"/>
    <col min="9220" max="9220" width="1.28515625" style="5" customWidth="1"/>
    <col min="9221" max="9221" width="29.140625" style="5" customWidth="1"/>
    <col min="9222" max="9222" width="7.85546875" style="5" bestFit="1" customWidth="1"/>
    <col min="9223" max="9223" width="7" style="5" customWidth="1"/>
    <col min="9224" max="9224" width="7.85546875" style="5" bestFit="1" customWidth="1"/>
    <col min="9225" max="9225" width="8.42578125" style="5" customWidth="1"/>
    <col min="9226" max="9226" width="7" style="5" customWidth="1"/>
    <col min="9227" max="9227" width="6.28515625" style="5" customWidth="1"/>
    <col min="9228" max="9228" width="7" style="5" customWidth="1"/>
    <col min="9229" max="9229" width="6.7109375" style="5" customWidth="1"/>
    <col min="9230" max="9230" width="7" style="5" customWidth="1"/>
    <col min="9231" max="9231" width="6.42578125" style="5" customWidth="1"/>
    <col min="9232" max="9472" width="11.42578125" style="5"/>
    <col min="9473" max="9473" width="0.140625" style="5" customWidth="1"/>
    <col min="9474" max="9474" width="2.7109375" style="5" customWidth="1"/>
    <col min="9475" max="9475" width="15.42578125" style="5" customWidth="1"/>
    <col min="9476" max="9476" width="1.28515625" style="5" customWidth="1"/>
    <col min="9477" max="9477" width="29.140625" style="5" customWidth="1"/>
    <col min="9478" max="9478" width="7.85546875" style="5" bestFit="1" customWidth="1"/>
    <col min="9479" max="9479" width="7" style="5" customWidth="1"/>
    <col min="9480" max="9480" width="7.85546875" style="5" bestFit="1" customWidth="1"/>
    <col min="9481" max="9481" width="8.42578125" style="5" customWidth="1"/>
    <col min="9482" max="9482" width="7" style="5" customWidth="1"/>
    <col min="9483" max="9483" width="6.28515625" style="5" customWidth="1"/>
    <col min="9484" max="9484" width="7" style="5" customWidth="1"/>
    <col min="9485" max="9485" width="6.7109375" style="5" customWidth="1"/>
    <col min="9486" max="9486" width="7" style="5" customWidth="1"/>
    <col min="9487" max="9487" width="6.42578125" style="5" customWidth="1"/>
    <col min="9488" max="9728" width="11.42578125" style="5"/>
    <col min="9729" max="9729" width="0.140625" style="5" customWidth="1"/>
    <col min="9730" max="9730" width="2.7109375" style="5" customWidth="1"/>
    <col min="9731" max="9731" width="15.42578125" style="5" customWidth="1"/>
    <col min="9732" max="9732" width="1.28515625" style="5" customWidth="1"/>
    <col min="9733" max="9733" width="29.140625" style="5" customWidth="1"/>
    <col min="9734" max="9734" width="7.85546875" style="5" bestFit="1" customWidth="1"/>
    <col min="9735" max="9735" width="7" style="5" customWidth="1"/>
    <col min="9736" max="9736" width="7.85546875" style="5" bestFit="1" customWidth="1"/>
    <col min="9737" max="9737" width="8.42578125" style="5" customWidth="1"/>
    <col min="9738" max="9738" width="7" style="5" customWidth="1"/>
    <col min="9739" max="9739" width="6.28515625" style="5" customWidth="1"/>
    <col min="9740" max="9740" width="7" style="5" customWidth="1"/>
    <col min="9741" max="9741" width="6.7109375" style="5" customWidth="1"/>
    <col min="9742" max="9742" width="7" style="5" customWidth="1"/>
    <col min="9743" max="9743" width="6.42578125" style="5" customWidth="1"/>
    <col min="9744" max="9984" width="11.42578125" style="5"/>
    <col min="9985" max="9985" width="0.140625" style="5" customWidth="1"/>
    <col min="9986" max="9986" width="2.7109375" style="5" customWidth="1"/>
    <col min="9987" max="9987" width="15.42578125" style="5" customWidth="1"/>
    <col min="9988" max="9988" width="1.28515625" style="5" customWidth="1"/>
    <col min="9989" max="9989" width="29.140625" style="5" customWidth="1"/>
    <col min="9990" max="9990" width="7.85546875" style="5" bestFit="1" customWidth="1"/>
    <col min="9991" max="9991" width="7" style="5" customWidth="1"/>
    <col min="9992" max="9992" width="7.85546875" style="5" bestFit="1" customWidth="1"/>
    <col min="9993" max="9993" width="8.42578125" style="5" customWidth="1"/>
    <col min="9994" max="9994" width="7" style="5" customWidth="1"/>
    <col min="9995" max="9995" width="6.28515625" style="5" customWidth="1"/>
    <col min="9996" max="9996" width="7" style="5" customWidth="1"/>
    <col min="9997" max="9997" width="6.7109375" style="5" customWidth="1"/>
    <col min="9998" max="9998" width="7" style="5" customWidth="1"/>
    <col min="9999" max="9999" width="6.42578125" style="5" customWidth="1"/>
    <col min="10000" max="10240" width="11.42578125" style="5"/>
    <col min="10241" max="10241" width="0.140625" style="5" customWidth="1"/>
    <col min="10242" max="10242" width="2.7109375" style="5" customWidth="1"/>
    <col min="10243" max="10243" width="15.42578125" style="5" customWidth="1"/>
    <col min="10244" max="10244" width="1.28515625" style="5" customWidth="1"/>
    <col min="10245" max="10245" width="29.140625" style="5" customWidth="1"/>
    <col min="10246" max="10246" width="7.85546875" style="5" bestFit="1" customWidth="1"/>
    <col min="10247" max="10247" width="7" style="5" customWidth="1"/>
    <col min="10248" max="10248" width="7.85546875" style="5" bestFit="1" customWidth="1"/>
    <col min="10249" max="10249" width="8.42578125" style="5" customWidth="1"/>
    <col min="10250" max="10250" width="7" style="5" customWidth="1"/>
    <col min="10251" max="10251" width="6.28515625" style="5" customWidth="1"/>
    <col min="10252" max="10252" width="7" style="5" customWidth="1"/>
    <col min="10253" max="10253" width="6.7109375" style="5" customWidth="1"/>
    <col min="10254" max="10254" width="7" style="5" customWidth="1"/>
    <col min="10255" max="10255" width="6.42578125" style="5" customWidth="1"/>
    <col min="10256" max="10496" width="11.42578125" style="5"/>
    <col min="10497" max="10497" width="0.140625" style="5" customWidth="1"/>
    <col min="10498" max="10498" width="2.7109375" style="5" customWidth="1"/>
    <col min="10499" max="10499" width="15.42578125" style="5" customWidth="1"/>
    <col min="10500" max="10500" width="1.28515625" style="5" customWidth="1"/>
    <col min="10501" max="10501" width="29.140625" style="5" customWidth="1"/>
    <col min="10502" max="10502" width="7.85546875" style="5" bestFit="1" customWidth="1"/>
    <col min="10503" max="10503" width="7" style="5" customWidth="1"/>
    <col min="10504" max="10504" width="7.85546875" style="5" bestFit="1" customWidth="1"/>
    <col min="10505" max="10505" width="8.42578125" style="5" customWidth="1"/>
    <col min="10506" max="10506" width="7" style="5" customWidth="1"/>
    <col min="10507" max="10507" width="6.28515625" style="5" customWidth="1"/>
    <col min="10508" max="10508" width="7" style="5" customWidth="1"/>
    <col min="10509" max="10509" width="6.7109375" style="5" customWidth="1"/>
    <col min="10510" max="10510" width="7" style="5" customWidth="1"/>
    <col min="10511" max="10511" width="6.42578125" style="5" customWidth="1"/>
    <col min="10512" max="10752" width="11.42578125" style="5"/>
    <col min="10753" max="10753" width="0.140625" style="5" customWidth="1"/>
    <col min="10754" max="10754" width="2.7109375" style="5" customWidth="1"/>
    <col min="10755" max="10755" width="15.42578125" style="5" customWidth="1"/>
    <col min="10756" max="10756" width="1.28515625" style="5" customWidth="1"/>
    <col min="10757" max="10757" width="29.140625" style="5" customWidth="1"/>
    <col min="10758" max="10758" width="7.85546875" style="5" bestFit="1" customWidth="1"/>
    <col min="10759" max="10759" width="7" style="5" customWidth="1"/>
    <col min="10760" max="10760" width="7.85546875" style="5" bestFit="1" customWidth="1"/>
    <col min="10761" max="10761" width="8.42578125" style="5" customWidth="1"/>
    <col min="10762" max="10762" width="7" style="5" customWidth="1"/>
    <col min="10763" max="10763" width="6.28515625" style="5" customWidth="1"/>
    <col min="10764" max="10764" width="7" style="5" customWidth="1"/>
    <col min="10765" max="10765" width="6.7109375" style="5" customWidth="1"/>
    <col min="10766" max="10766" width="7" style="5" customWidth="1"/>
    <col min="10767" max="10767" width="6.42578125" style="5" customWidth="1"/>
    <col min="10768" max="11008" width="11.42578125" style="5"/>
    <col min="11009" max="11009" width="0.140625" style="5" customWidth="1"/>
    <col min="11010" max="11010" width="2.7109375" style="5" customWidth="1"/>
    <col min="11011" max="11011" width="15.42578125" style="5" customWidth="1"/>
    <col min="11012" max="11012" width="1.28515625" style="5" customWidth="1"/>
    <col min="11013" max="11013" width="29.140625" style="5" customWidth="1"/>
    <col min="11014" max="11014" width="7.85546875" style="5" bestFit="1" customWidth="1"/>
    <col min="11015" max="11015" width="7" style="5" customWidth="1"/>
    <col min="11016" max="11016" width="7.85546875" style="5" bestFit="1" customWidth="1"/>
    <col min="11017" max="11017" width="8.42578125" style="5" customWidth="1"/>
    <col min="11018" max="11018" width="7" style="5" customWidth="1"/>
    <col min="11019" max="11019" width="6.28515625" style="5" customWidth="1"/>
    <col min="11020" max="11020" width="7" style="5" customWidth="1"/>
    <col min="11021" max="11021" width="6.7109375" style="5" customWidth="1"/>
    <col min="11022" max="11022" width="7" style="5" customWidth="1"/>
    <col min="11023" max="11023" width="6.42578125" style="5" customWidth="1"/>
    <col min="11024" max="11264" width="11.42578125" style="5"/>
    <col min="11265" max="11265" width="0.140625" style="5" customWidth="1"/>
    <col min="11266" max="11266" width="2.7109375" style="5" customWidth="1"/>
    <col min="11267" max="11267" width="15.42578125" style="5" customWidth="1"/>
    <col min="11268" max="11268" width="1.28515625" style="5" customWidth="1"/>
    <col min="11269" max="11269" width="29.140625" style="5" customWidth="1"/>
    <col min="11270" max="11270" width="7.85546875" style="5" bestFit="1" customWidth="1"/>
    <col min="11271" max="11271" width="7" style="5" customWidth="1"/>
    <col min="11272" max="11272" width="7.85546875" style="5" bestFit="1" customWidth="1"/>
    <col min="11273" max="11273" width="8.42578125" style="5" customWidth="1"/>
    <col min="11274" max="11274" width="7" style="5" customWidth="1"/>
    <col min="11275" max="11275" width="6.28515625" style="5" customWidth="1"/>
    <col min="11276" max="11276" width="7" style="5" customWidth="1"/>
    <col min="11277" max="11277" width="6.7109375" style="5" customWidth="1"/>
    <col min="11278" max="11278" width="7" style="5" customWidth="1"/>
    <col min="11279" max="11279" width="6.42578125" style="5" customWidth="1"/>
    <col min="11280" max="11520" width="11.42578125" style="5"/>
    <col min="11521" max="11521" width="0.140625" style="5" customWidth="1"/>
    <col min="11522" max="11522" width="2.7109375" style="5" customWidth="1"/>
    <col min="11523" max="11523" width="15.42578125" style="5" customWidth="1"/>
    <col min="11524" max="11524" width="1.28515625" style="5" customWidth="1"/>
    <col min="11525" max="11525" width="29.140625" style="5" customWidth="1"/>
    <col min="11526" max="11526" width="7.85546875" style="5" bestFit="1" customWidth="1"/>
    <col min="11527" max="11527" width="7" style="5" customWidth="1"/>
    <col min="11528" max="11528" width="7.85546875" style="5" bestFit="1" customWidth="1"/>
    <col min="11529" max="11529" width="8.42578125" style="5" customWidth="1"/>
    <col min="11530" max="11530" width="7" style="5" customWidth="1"/>
    <col min="11531" max="11531" width="6.28515625" style="5" customWidth="1"/>
    <col min="11532" max="11532" width="7" style="5" customWidth="1"/>
    <col min="11533" max="11533" width="6.7109375" style="5" customWidth="1"/>
    <col min="11534" max="11534" width="7" style="5" customWidth="1"/>
    <col min="11535" max="11535" width="6.42578125" style="5" customWidth="1"/>
    <col min="11536" max="11776" width="11.42578125" style="5"/>
    <col min="11777" max="11777" width="0.140625" style="5" customWidth="1"/>
    <col min="11778" max="11778" width="2.7109375" style="5" customWidth="1"/>
    <col min="11779" max="11779" width="15.42578125" style="5" customWidth="1"/>
    <col min="11780" max="11780" width="1.28515625" style="5" customWidth="1"/>
    <col min="11781" max="11781" width="29.140625" style="5" customWidth="1"/>
    <col min="11782" max="11782" width="7.85546875" style="5" bestFit="1" customWidth="1"/>
    <col min="11783" max="11783" width="7" style="5" customWidth="1"/>
    <col min="11784" max="11784" width="7.85546875" style="5" bestFit="1" customWidth="1"/>
    <col min="11785" max="11785" width="8.42578125" style="5" customWidth="1"/>
    <col min="11786" max="11786" width="7" style="5" customWidth="1"/>
    <col min="11787" max="11787" width="6.28515625" style="5" customWidth="1"/>
    <col min="11788" max="11788" width="7" style="5" customWidth="1"/>
    <col min="11789" max="11789" width="6.7109375" style="5" customWidth="1"/>
    <col min="11790" max="11790" width="7" style="5" customWidth="1"/>
    <col min="11791" max="11791" width="6.42578125" style="5" customWidth="1"/>
    <col min="11792" max="12032" width="11.42578125" style="5"/>
    <col min="12033" max="12033" width="0.140625" style="5" customWidth="1"/>
    <col min="12034" max="12034" width="2.7109375" style="5" customWidth="1"/>
    <col min="12035" max="12035" width="15.42578125" style="5" customWidth="1"/>
    <col min="12036" max="12036" width="1.28515625" style="5" customWidth="1"/>
    <col min="12037" max="12037" width="29.140625" style="5" customWidth="1"/>
    <col min="12038" max="12038" width="7.85546875" style="5" bestFit="1" customWidth="1"/>
    <col min="12039" max="12039" width="7" style="5" customWidth="1"/>
    <col min="12040" max="12040" width="7.85546875" style="5" bestFit="1" customWidth="1"/>
    <col min="12041" max="12041" width="8.42578125" style="5" customWidth="1"/>
    <col min="12042" max="12042" width="7" style="5" customWidth="1"/>
    <col min="12043" max="12043" width="6.28515625" style="5" customWidth="1"/>
    <col min="12044" max="12044" width="7" style="5" customWidth="1"/>
    <col min="12045" max="12045" width="6.7109375" style="5" customWidth="1"/>
    <col min="12046" max="12046" width="7" style="5" customWidth="1"/>
    <col min="12047" max="12047" width="6.42578125" style="5" customWidth="1"/>
    <col min="12048" max="12288" width="11.42578125" style="5"/>
    <col min="12289" max="12289" width="0.140625" style="5" customWidth="1"/>
    <col min="12290" max="12290" width="2.7109375" style="5" customWidth="1"/>
    <col min="12291" max="12291" width="15.42578125" style="5" customWidth="1"/>
    <col min="12292" max="12292" width="1.28515625" style="5" customWidth="1"/>
    <col min="12293" max="12293" width="29.140625" style="5" customWidth="1"/>
    <col min="12294" max="12294" width="7.85546875" style="5" bestFit="1" customWidth="1"/>
    <col min="12295" max="12295" width="7" style="5" customWidth="1"/>
    <col min="12296" max="12296" width="7.85546875" style="5" bestFit="1" customWidth="1"/>
    <col min="12297" max="12297" width="8.42578125" style="5" customWidth="1"/>
    <col min="12298" max="12298" width="7" style="5" customWidth="1"/>
    <col min="12299" max="12299" width="6.28515625" style="5" customWidth="1"/>
    <col min="12300" max="12300" width="7" style="5" customWidth="1"/>
    <col min="12301" max="12301" width="6.7109375" style="5" customWidth="1"/>
    <col min="12302" max="12302" width="7" style="5" customWidth="1"/>
    <col min="12303" max="12303" width="6.42578125" style="5" customWidth="1"/>
    <col min="12304" max="12544" width="11.42578125" style="5"/>
    <col min="12545" max="12545" width="0.140625" style="5" customWidth="1"/>
    <col min="12546" max="12546" width="2.7109375" style="5" customWidth="1"/>
    <col min="12547" max="12547" width="15.42578125" style="5" customWidth="1"/>
    <col min="12548" max="12548" width="1.28515625" style="5" customWidth="1"/>
    <col min="12549" max="12549" width="29.140625" style="5" customWidth="1"/>
    <col min="12550" max="12550" width="7.85546875" style="5" bestFit="1" customWidth="1"/>
    <col min="12551" max="12551" width="7" style="5" customWidth="1"/>
    <col min="12552" max="12552" width="7.85546875" style="5" bestFit="1" customWidth="1"/>
    <col min="12553" max="12553" width="8.42578125" style="5" customWidth="1"/>
    <col min="12554" max="12554" width="7" style="5" customWidth="1"/>
    <col min="12555" max="12555" width="6.28515625" style="5" customWidth="1"/>
    <col min="12556" max="12556" width="7" style="5" customWidth="1"/>
    <col min="12557" max="12557" width="6.7109375" style="5" customWidth="1"/>
    <col min="12558" max="12558" width="7" style="5" customWidth="1"/>
    <col min="12559" max="12559" width="6.42578125" style="5" customWidth="1"/>
    <col min="12560" max="12800" width="11.42578125" style="5"/>
    <col min="12801" max="12801" width="0.140625" style="5" customWidth="1"/>
    <col min="12802" max="12802" width="2.7109375" style="5" customWidth="1"/>
    <col min="12803" max="12803" width="15.42578125" style="5" customWidth="1"/>
    <col min="12804" max="12804" width="1.28515625" style="5" customWidth="1"/>
    <col min="12805" max="12805" width="29.140625" style="5" customWidth="1"/>
    <col min="12806" max="12806" width="7.85546875" style="5" bestFit="1" customWidth="1"/>
    <col min="12807" max="12807" width="7" style="5" customWidth="1"/>
    <col min="12808" max="12808" width="7.85546875" style="5" bestFit="1" customWidth="1"/>
    <col min="12809" max="12809" width="8.42578125" style="5" customWidth="1"/>
    <col min="12810" max="12810" width="7" style="5" customWidth="1"/>
    <col min="12811" max="12811" width="6.28515625" style="5" customWidth="1"/>
    <col min="12812" max="12812" width="7" style="5" customWidth="1"/>
    <col min="12813" max="12813" width="6.7109375" style="5" customWidth="1"/>
    <col min="12814" max="12814" width="7" style="5" customWidth="1"/>
    <col min="12815" max="12815" width="6.42578125" style="5" customWidth="1"/>
    <col min="12816" max="13056" width="11.42578125" style="5"/>
    <col min="13057" max="13057" width="0.140625" style="5" customWidth="1"/>
    <col min="13058" max="13058" width="2.7109375" style="5" customWidth="1"/>
    <col min="13059" max="13059" width="15.42578125" style="5" customWidth="1"/>
    <col min="13060" max="13060" width="1.28515625" style="5" customWidth="1"/>
    <col min="13061" max="13061" width="29.140625" style="5" customWidth="1"/>
    <col min="13062" max="13062" width="7.85546875" style="5" bestFit="1" customWidth="1"/>
    <col min="13063" max="13063" width="7" style="5" customWidth="1"/>
    <col min="13064" max="13064" width="7.85546875" style="5" bestFit="1" customWidth="1"/>
    <col min="13065" max="13065" width="8.42578125" style="5" customWidth="1"/>
    <col min="13066" max="13066" width="7" style="5" customWidth="1"/>
    <col min="13067" max="13067" width="6.28515625" style="5" customWidth="1"/>
    <col min="13068" max="13068" width="7" style="5" customWidth="1"/>
    <col min="13069" max="13069" width="6.7109375" style="5" customWidth="1"/>
    <col min="13070" max="13070" width="7" style="5" customWidth="1"/>
    <col min="13071" max="13071" width="6.42578125" style="5" customWidth="1"/>
    <col min="13072" max="13312" width="11.42578125" style="5"/>
    <col min="13313" max="13313" width="0.140625" style="5" customWidth="1"/>
    <col min="13314" max="13314" width="2.7109375" style="5" customWidth="1"/>
    <col min="13315" max="13315" width="15.42578125" style="5" customWidth="1"/>
    <col min="13316" max="13316" width="1.28515625" style="5" customWidth="1"/>
    <col min="13317" max="13317" width="29.140625" style="5" customWidth="1"/>
    <col min="13318" max="13318" width="7.85546875" style="5" bestFit="1" customWidth="1"/>
    <col min="13319" max="13319" width="7" style="5" customWidth="1"/>
    <col min="13320" max="13320" width="7.85546875" style="5" bestFit="1" customWidth="1"/>
    <col min="13321" max="13321" width="8.42578125" style="5" customWidth="1"/>
    <col min="13322" max="13322" width="7" style="5" customWidth="1"/>
    <col min="13323" max="13323" width="6.28515625" style="5" customWidth="1"/>
    <col min="13324" max="13324" width="7" style="5" customWidth="1"/>
    <col min="13325" max="13325" width="6.7109375" style="5" customWidth="1"/>
    <col min="13326" max="13326" width="7" style="5" customWidth="1"/>
    <col min="13327" max="13327" width="6.42578125" style="5" customWidth="1"/>
    <col min="13328" max="13568" width="11.42578125" style="5"/>
    <col min="13569" max="13569" width="0.140625" style="5" customWidth="1"/>
    <col min="13570" max="13570" width="2.7109375" style="5" customWidth="1"/>
    <col min="13571" max="13571" width="15.42578125" style="5" customWidth="1"/>
    <col min="13572" max="13572" width="1.28515625" style="5" customWidth="1"/>
    <col min="13573" max="13573" width="29.140625" style="5" customWidth="1"/>
    <col min="13574" max="13574" width="7.85546875" style="5" bestFit="1" customWidth="1"/>
    <col min="13575" max="13575" width="7" style="5" customWidth="1"/>
    <col min="13576" max="13576" width="7.85546875" style="5" bestFit="1" customWidth="1"/>
    <col min="13577" max="13577" width="8.42578125" style="5" customWidth="1"/>
    <col min="13578" max="13578" width="7" style="5" customWidth="1"/>
    <col min="13579" max="13579" width="6.28515625" style="5" customWidth="1"/>
    <col min="13580" max="13580" width="7" style="5" customWidth="1"/>
    <col min="13581" max="13581" width="6.7109375" style="5" customWidth="1"/>
    <col min="13582" max="13582" width="7" style="5" customWidth="1"/>
    <col min="13583" max="13583" width="6.42578125" style="5" customWidth="1"/>
    <col min="13584" max="13824" width="11.42578125" style="5"/>
    <col min="13825" max="13825" width="0.140625" style="5" customWidth="1"/>
    <col min="13826" max="13826" width="2.7109375" style="5" customWidth="1"/>
    <col min="13827" max="13827" width="15.42578125" style="5" customWidth="1"/>
    <col min="13828" max="13828" width="1.28515625" style="5" customWidth="1"/>
    <col min="13829" max="13829" width="29.140625" style="5" customWidth="1"/>
    <col min="13830" max="13830" width="7.85546875" style="5" bestFit="1" customWidth="1"/>
    <col min="13831" max="13831" width="7" style="5" customWidth="1"/>
    <col min="13832" max="13832" width="7.85546875" style="5" bestFit="1" customWidth="1"/>
    <col min="13833" max="13833" width="8.42578125" style="5" customWidth="1"/>
    <col min="13834" max="13834" width="7" style="5" customWidth="1"/>
    <col min="13835" max="13835" width="6.28515625" style="5" customWidth="1"/>
    <col min="13836" max="13836" width="7" style="5" customWidth="1"/>
    <col min="13837" max="13837" width="6.7109375" style="5" customWidth="1"/>
    <col min="13838" max="13838" width="7" style="5" customWidth="1"/>
    <col min="13839" max="13839" width="6.42578125" style="5" customWidth="1"/>
    <col min="13840" max="14080" width="11.42578125" style="5"/>
    <col min="14081" max="14081" width="0.140625" style="5" customWidth="1"/>
    <col min="14082" max="14082" width="2.7109375" style="5" customWidth="1"/>
    <col min="14083" max="14083" width="15.42578125" style="5" customWidth="1"/>
    <col min="14084" max="14084" width="1.28515625" style="5" customWidth="1"/>
    <col min="14085" max="14085" width="29.140625" style="5" customWidth="1"/>
    <col min="14086" max="14086" width="7.85546875" style="5" bestFit="1" customWidth="1"/>
    <col min="14087" max="14087" width="7" style="5" customWidth="1"/>
    <col min="14088" max="14088" width="7.85546875" style="5" bestFit="1" customWidth="1"/>
    <col min="14089" max="14089" width="8.42578125" style="5" customWidth="1"/>
    <col min="14090" max="14090" width="7" style="5" customWidth="1"/>
    <col min="14091" max="14091" width="6.28515625" style="5" customWidth="1"/>
    <col min="14092" max="14092" width="7" style="5" customWidth="1"/>
    <col min="14093" max="14093" width="6.7109375" style="5" customWidth="1"/>
    <col min="14094" max="14094" width="7" style="5" customWidth="1"/>
    <col min="14095" max="14095" width="6.42578125" style="5" customWidth="1"/>
    <col min="14096" max="14336" width="11.42578125" style="5"/>
    <col min="14337" max="14337" width="0.140625" style="5" customWidth="1"/>
    <col min="14338" max="14338" width="2.7109375" style="5" customWidth="1"/>
    <col min="14339" max="14339" width="15.42578125" style="5" customWidth="1"/>
    <col min="14340" max="14340" width="1.28515625" style="5" customWidth="1"/>
    <col min="14341" max="14341" width="29.140625" style="5" customWidth="1"/>
    <col min="14342" max="14342" width="7.85546875" style="5" bestFit="1" customWidth="1"/>
    <col min="14343" max="14343" width="7" style="5" customWidth="1"/>
    <col min="14344" max="14344" width="7.85546875" style="5" bestFit="1" customWidth="1"/>
    <col min="14345" max="14345" width="8.42578125" style="5" customWidth="1"/>
    <col min="14346" max="14346" width="7" style="5" customWidth="1"/>
    <col min="14347" max="14347" width="6.28515625" style="5" customWidth="1"/>
    <col min="14348" max="14348" width="7" style="5" customWidth="1"/>
    <col min="14349" max="14349" width="6.7109375" style="5" customWidth="1"/>
    <col min="14350" max="14350" width="7" style="5" customWidth="1"/>
    <col min="14351" max="14351" width="6.42578125" style="5" customWidth="1"/>
    <col min="14352" max="14592" width="11.42578125" style="5"/>
    <col min="14593" max="14593" width="0.140625" style="5" customWidth="1"/>
    <col min="14594" max="14594" width="2.7109375" style="5" customWidth="1"/>
    <col min="14595" max="14595" width="15.42578125" style="5" customWidth="1"/>
    <col min="14596" max="14596" width="1.28515625" style="5" customWidth="1"/>
    <col min="14597" max="14597" width="29.140625" style="5" customWidth="1"/>
    <col min="14598" max="14598" width="7.85546875" style="5" bestFit="1" customWidth="1"/>
    <col min="14599" max="14599" width="7" style="5" customWidth="1"/>
    <col min="14600" max="14600" width="7.85546875" style="5" bestFit="1" customWidth="1"/>
    <col min="14601" max="14601" width="8.42578125" style="5" customWidth="1"/>
    <col min="14602" max="14602" width="7" style="5" customWidth="1"/>
    <col min="14603" max="14603" width="6.28515625" style="5" customWidth="1"/>
    <col min="14604" max="14604" width="7" style="5" customWidth="1"/>
    <col min="14605" max="14605" width="6.7109375" style="5" customWidth="1"/>
    <col min="14606" max="14606" width="7" style="5" customWidth="1"/>
    <col min="14607" max="14607" width="6.42578125" style="5" customWidth="1"/>
    <col min="14608" max="14848" width="11.42578125" style="5"/>
    <col min="14849" max="14849" width="0.140625" style="5" customWidth="1"/>
    <col min="14850" max="14850" width="2.7109375" style="5" customWidth="1"/>
    <col min="14851" max="14851" width="15.42578125" style="5" customWidth="1"/>
    <col min="14852" max="14852" width="1.28515625" style="5" customWidth="1"/>
    <col min="14853" max="14853" width="29.140625" style="5" customWidth="1"/>
    <col min="14854" max="14854" width="7.85546875" style="5" bestFit="1" customWidth="1"/>
    <col min="14855" max="14855" width="7" style="5" customWidth="1"/>
    <col min="14856" max="14856" width="7.85546875" style="5" bestFit="1" customWidth="1"/>
    <col min="14857" max="14857" width="8.42578125" style="5" customWidth="1"/>
    <col min="14858" max="14858" width="7" style="5" customWidth="1"/>
    <col min="14859" max="14859" width="6.28515625" style="5" customWidth="1"/>
    <col min="14860" max="14860" width="7" style="5" customWidth="1"/>
    <col min="14861" max="14861" width="6.7109375" style="5" customWidth="1"/>
    <col min="14862" max="14862" width="7" style="5" customWidth="1"/>
    <col min="14863" max="14863" width="6.42578125" style="5" customWidth="1"/>
    <col min="14864" max="15104" width="11.42578125" style="5"/>
    <col min="15105" max="15105" width="0.140625" style="5" customWidth="1"/>
    <col min="15106" max="15106" width="2.7109375" style="5" customWidth="1"/>
    <col min="15107" max="15107" width="15.42578125" style="5" customWidth="1"/>
    <col min="15108" max="15108" width="1.28515625" style="5" customWidth="1"/>
    <col min="15109" max="15109" width="29.140625" style="5" customWidth="1"/>
    <col min="15110" max="15110" width="7.85546875" style="5" bestFit="1" customWidth="1"/>
    <col min="15111" max="15111" width="7" style="5" customWidth="1"/>
    <col min="15112" max="15112" width="7.85546875" style="5" bestFit="1" customWidth="1"/>
    <col min="15113" max="15113" width="8.42578125" style="5" customWidth="1"/>
    <col min="15114" max="15114" width="7" style="5" customWidth="1"/>
    <col min="15115" max="15115" width="6.28515625" style="5" customWidth="1"/>
    <col min="15116" max="15116" width="7" style="5" customWidth="1"/>
    <col min="15117" max="15117" width="6.7109375" style="5" customWidth="1"/>
    <col min="15118" max="15118" width="7" style="5" customWidth="1"/>
    <col min="15119" max="15119" width="6.42578125" style="5" customWidth="1"/>
    <col min="15120" max="15360" width="11.42578125" style="5"/>
    <col min="15361" max="15361" width="0.140625" style="5" customWidth="1"/>
    <col min="15362" max="15362" width="2.7109375" style="5" customWidth="1"/>
    <col min="15363" max="15363" width="15.42578125" style="5" customWidth="1"/>
    <col min="15364" max="15364" width="1.28515625" style="5" customWidth="1"/>
    <col min="15365" max="15365" width="29.140625" style="5" customWidth="1"/>
    <col min="15366" max="15366" width="7.85546875" style="5" bestFit="1" customWidth="1"/>
    <col min="15367" max="15367" width="7" style="5" customWidth="1"/>
    <col min="15368" max="15368" width="7.85546875" style="5" bestFit="1" customWidth="1"/>
    <col min="15369" max="15369" width="8.42578125" style="5" customWidth="1"/>
    <col min="15370" max="15370" width="7" style="5" customWidth="1"/>
    <col min="15371" max="15371" width="6.28515625" style="5" customWidth="1"/>
    <col min="15372" max="15372" width="7" style="5" customWidth="1"/>
    <col min="15373" max="15373" width="6.7109375" style="5" customWidth="1"/>
    <col min="15374" max="15374" width="7" style="5" customWidth="1"/>
    <col min="15375" max="15375" width="6.42578125" style="5" customWidth="1"/>
    <col min="15376" max="15616" width="11.42578125" style="5"/>
    <col min="15617" max="15617" width="0.140625" style="5" customWidth="1"/>
    <col min="15618" max="15618" width="2.7109375" style="5" customWidth="1"/>
    <col min="15619" max="15619" width="15.42578125" style="5" customWidth="1"/>
    <col min="15620" max="15620" width="1.28515625" style="5" customWidth="1"/>
    <col min="15621" max="15621" width="29.140625" style="5" customWidth="1"/>
    <col min="15622" max="15622" width="7.85546875" style="5" bestFit="1" customWidth="1"/>
    <col min="15623" max="15623" width="7" style="5" customWidth="1"/>
    <col min="15624" max="15624" width="7.85546875" style="5" bestFit="1" customWidth="1"/>
    <col min="15625" max="15625" width="8.42578125" style="5" customWidth="1"/>
    <col min="15626" max="15626" width="7" style="5" customWidth="1"/>
    <col min="15627" max="15627" width="6.28515625" style="5" customWidth="1"/>
    <col min="15628" max="15628" width="7" style="5" customWidth="1"/>
    <col min="15629" max="15629" width="6.7109375" style="5" customWidth="1"/>
    <col min="15630" max="15630" width="7" style="5" customWidth="1"/>
    <col min="15631" max="15631" width="6.42578125" style="5" customWidth="1"/>
    <col min="15632" max="15872" width="11.42578125" style="5"/>
    <col min="15873" max="15873" width="0.140625" style="5" customWidth="1"/>
    <col min="15874" max="15874" width="2.7109375" style="5" customWidth="1"/>
    <col min="15875" max="15875" width="15.42578125" style="5" customWidth="1"/>
    <col min="15876" max="15876" width="1.28515625" style="5" customWidth="1"/>
    <col min="15877" max="15877" width="29.140625" style="5" customWidth="1"/>
    <col min="15878" max="15878" width="7.85546875" style="5" bestFit="1" customWidth="1"/>
    <col min="15879" max="15879" width="7" style="5" customWidth="1"/>
    <col min="15880" max="15880" width="7.85546875" style="5" bestFit="1" customWidth="1"/>
    <col min="15881" max="15881" width="8.42578125" style="5" customWidth="1"/>
    <col min="15882" max="15882" width="7" style="5" customWidth="1"/>
    <col min="15883" max="15883" width="6.28515625" style="5" customWidth="1"/>
    <col min="15884" max="15884" width="7" style="5" customWidth="1"/>
    <col min="15885" max="15885" width="6.7109375" style="5" customWidth="1"/>
    <col min="15886" max="15886" width="7" style="5" customWidth="1"/>
    <col min="15887" max="15887" width="6.42578125" style="5" customWidth="1"/>
    <col min="15888" max="16128" width="11.42578125" style="5"/>
    <col min="16129" max="16129" width="0.140625" style="5" customWidth="1"/>
    <col min="16130" max="16130" width="2.7109375" style="5" customWidth="1"/>
    <col min="16131" max="16131" width="15.42578125" style="5" customWidth="1"/>
    <col min="16132" max="16132" width="1.28515625" style="5" customWidth="1"/>
    <col min="16133" max="16133" width="29.140625" style="5" customWidth="1"/>
    <col min="16134" max="16134" width="7.85546875" style="5" bestFit="1" customWidth="1"/>
    <col min="16135" max="16135" width="7" style="5" customWidth="1"/>
    <col min="16136" max="16136" width="7.85546875" style="5" bestFit="1" customWidth="1"/>
    <col min="16137" max="16137" width="8.42578125" style="5" customWidth="1"/>
    <col min="16138" max="16138" width="7" style="5" customWidth="1"/>
    <col min="16139" max="16139" width="6.28515625" style="5" customWidth="1"/>
    <col min="16140" max="16140" width="7" style="5" customWidth="1"/>
    <col min="16141" max="16141" width="6.7109375" style="5" customWidth="1"/>
    <col min="16142" max="16142" width="7" style="5" customWidth="1"/>
    <col min="16143" max="16143" width="6.42578125" style="5" customWidth="1"/>
    <col min="16144" max="16384" width="11.42578125" style="5"/>
  </cols>
  <sheetData>
    <row r="1" spans="3:25" ht="0.75" customHeight="1"/>
    <row r="2" spans="3:25" ht="21" customHeight="1">
      <c r="M2" s="534"/>
      <c r="O2" s="437" t="s">
        <v>87</v>
      </c>
    </row>
    <row r="3" spans="3:25" ht="15" customHeight="1">
      <c r="M3" s="534"/>
      <c r="O3" s="437" t="s">
        <v>119</v>
      </c>
    </row>
    <row r="4" spans="3:25" ht="20.25" customHeight="1">
      <c r="C4" s="9" t="s">
        <v>318</v>
      </c>
    </row>
    <row r="5" spans="3:25" ht="12.75" customHeight="1"/>
    <row r="6" spans="3:25" ht="13.5" customHeight="1"/>
    <row r="7" spans="3:25" s="12" customFormat="1" ht="12.75" customHeight="1">
      <c r="C7" s="634" t="s">
        <v>407</v>
      </c>
      <c r="E7" s="535"/>
      <c r="F7" s="632" t="s">
        <v>317</v>
      </c>
      <c r="G7" s="633"/>
      <c r="H7" s="632" t="s">
        <v>36</v>
      </c>
      <c r="I7" s="633"/>
      <c r="J7" s="632" t="s">
        <v>42</v>
      </c>
      <c r="K7" s="633"/>
      <c r="L7" s="632" t="s">
        <v>39</v>
      </c>
      <c r="M7" s="633"/>
      <c r="N7" s="632" t="s">
        <v>32</v>
      </c>
      <c r="O7" s="633"/>
    </row>
    <row r="8" spans="3:25" s="12" customFormat="1" ht="12.75" customHeight="1">
      <c r="C8" s="634"/>
      <c r="E8" s="536"/>
      <c r="F8" s="537" t="s">
        <v>1</v>
      </c>
      <c r="G8" s="492" t="s">
        <v>320</v>
      </c>
      <c r="H8" s="537" t="s">
        <v>1</v>
      </c>
      <c r="I8" s="492" t="s">
        <v>320</v>
      </c>
      <c r="J8" s="537" t="s">
        <v>1</v>
      </c>
      <c r="K8" s="492" t="s">
        <v>320</v>
      </c>
      <c r="L8" s="537" t="s">
        <v>1</v>
      </c>
      <c r="M8" s="492" t="s">
        <v>320</v>
      </c>
      <c r="N8" s="537" t="s">
        <v>1</v>
      </c>
      <c r="O8" s="492" t="s">
        <v>320</v>
      </c>
    </row>
    <row r="9" spans="3:25" s="17" customFormat="1" ht="12.75" customHeight="1">
      <c r="C9" s="634"/>
      <c r="E9" s="538" t="s">
        <v>26</v>
      </c>
      <c r="F9" s="453" t="s">
        <v>0</v>
      </c>
      <c r="G9" s="539" t="s">
        <v>0</v>
      </c>
      <c r="H9" s="453">
        <f>'Data 5'!H25</f>
        <v>3.275909</v>
      </c>
      <c r="I9" s="539">
        <f>'Data 5'!I25</f>
        <v>0.12011079533211788</v>
      </c>
      <c r="J9" s="453" t="s">
        <v>0</v>
      </c>
      <c r="K9" s="539" t="s">
        <v>0</v>
      </c>
      <c r="L9" s="453" t="s">
        <v>0</v>
      </c>
      <c r="M9" s="539" t="s">
        <v>0</v>
      </c>
      <c r="N9" s="453">
        <f>'Data 5'!H62</f>
        <v>3.275909</v>
      </c>
      <c r="O9" s="539">
        <f>'Data 5'!I62</f>
        <v>0.12011079533211788</v>
      </c>
      <c r="P9" s="571"/>
      <c r="Q9" s="540"/>
      <c r="R9" s="20"/>
    </row>
    <row r="10" spans="3:25" s="26" customFormat="1" ht="12.75" customHeight="1">
      <c r="C10" s="11"/>
      <c r="E10" s="538" t="s">
        <v>28</v>
      </c>
      <c r="F10" s="453">
        <f>'Data 5'!H7</f>
        <v>2391.8497910000001</v>
      </c>
      <c r="G10" s="539">
        <f>'Data 5'!I7</f>
        <v>-7.9183647749838881</v>
      </c>
      <c r="H10" s="453" t="s">
        <v>0</v>
      </c>
      <c r="I10" s="539" t="s">
        <v>0</v>
      </c>
      <c r="J10" s="453" t="s">
        <v>0</v>
      </c>
      <c r="K10" s="539" t="s">
        <v>0</v>
      </c>
      <c r="L10" s="453" t="s">
        <v>0</v>
      </c>
      <c r="M10" s="539" t="s">
        <v>0</v>
      </c>
      <c r="N10" s="453">
        <f>'Data 5'!H63</f>
        <v>2391.8497910000001</v>
      </c>
      <c r="O10" s="539">
        <f>'Data 5'!I63</f>
        <v>-7.9183647749838881</v>
      </c>
      <c r="P10" s="571"/>
      <c r="Q10" s="540"/>
      <c r="R10" s="20"/>
      <c r="S10" s="541"/>
      <c r="T10" s="541"/>
      <c r="U10" s="541"/>
      <c r="V10" s="541"/>
      <c r="W10" s="541"/>
      <c r="X10" s="541"/>
      <c r="Y10" s="541"/>
    </row>
    <row r="11" spans="3:25" s="26" customFormat="1" ht="12.75" customHeight="1">
      <c r="C11" s="11"/>
      <c r="E11" s="542" t="s">
        <v>321</v>
      </c>
      <c r="F11" s="393">
        <f>'Data 5'!H8</f>
        <v>634.86994499999992</v>
      </c>
      <c r="G11" s="394">
        <f>'Data 5'!I8</f>
        <v>-20.241222739712171</v>
      </c>
      <c r="H11" s="393">
        <f>'Data 5'!H26</f>
        <v>2121.1640320000001</v>
      </c>
      <c r="I11" s="394">
        <f>'Data 5'!I26</f>
        <v>-5.4033308157253597</v>
      </c>
      <c r="J11" s="393">
        <f>'Data 5'!H42</f>
        <v>207.23613800000001</v>
      </c>
      <c r="K11" s="394">
        <f>'Data 5'!I42</f>
        <v>2.2639233626074562</v>
      </c>
      <c r="L11" s="393">
        <f>'Data 5'!H50</f>
        <v>202.11366599999999</v>
      </c>
      <c r="M11" s="394">
        <f>'Data 5'!I50</f>
        <v>0.89692952814519611</v>
      </c>
      <c r="N11" s="393">
        <f>'Data 5'!H64</f>
        <v>3165.3837810000005</v>
      </c>
      <c r="O11" s="394">
        <f>'Data 5'!I64</f>
        <v>-8.0171778971891765</v>
      </c>
      <c r="P11" s="571"/>
      <c r="Q11" s="540"/>
      <c r="R11" s="20"/>
      <c r="S11" s="541"/>
      <c r="T11" s="541"/>
      <c r="U11" s="541"/>
      <c r="V11" s="541"/>
      <c r="W11" s="541"/>
      <c r="X11" s="541"/>
      <c r="Y11" s="541"/>
    </row>
    <row r="12" spans="3:25" s="26" customFormat="1" ht="12.75" customHeight="1">
      <c r="C12" s="11"/>
      <c r="E12" s="543" t="s">
        <v>49</v>
      </c>
      <c r="F12" s="393">
        <f>'Data 5'!H9</f>
        <v>764.99901499999999</v>
      </c>
      <c r="G12" s="394">
        <f>'Data 5'!I9</f>
        <v>37.460060299152211</v>
      </c>
      <c r="H12" s="393">
        <f>'Data 5'!H27</f>
        <v>284.35378399999996</v>
      </c>
      <c r="I12" s="394">
        <f>'Data 5'!I27</f>
        <v>-9.5410630485914911</v>
      </c>
      <c r="J12" s="393">
        <f>'Data 5'!H43</f>
        <v>0.120086</v>
      </c>
      <c r="K12" s="394">
        <f>'Data 5'!I43</f>
        <v>-43.487611473211139</v>
      </c>
      <c r="L12" s="393">
        <f>'Data 5'!H51</f>
        <v>6.7100999999999994E-2</v>
      </c>
      <c r="M12" s="394">
        <f>'Data 5'!I51</f>
        <v>-13.163718245700306</v>
      </c>
      <c r="N12" s="393">
        <f>'Data 5'!H65</f>
        <v>1049.539986</v>
      </c>
      <c r="O12" s="394">
        <f>'Data 5'!I65</f>
        <v>20.476138501705023</v>
      </c>
      <c r="P12" s="571"/>
      <c r="Q12" s="540"/>
      <c r="R12" s="20"/>
      <c r="S12" s="541"/>
      <c r="T12" s="541"/>
      <c r="U12" s="541"/>
      <c r="V12" s="541"/>
      <c r="W12" s="541"/>
      <c r="X12" s="541"/>
      <c r="Y12" s="541"/>
    </row>
    <row r="13" spans="3:25" s="26" customFormat="1" ht="12.75" customHeight="1">
      <c r="C13" s="11"/>
      <c r="E13" s="543" t="s">
        <v>53</v>
      </c>
      <c r="F13" s="393" t="s">
        <v>0</v>
      </c>
      <c r="G13" s="394" t="s">
        <v>0</v>
      </c>
      <c r="H13" s="393">
        <f>'Data 5'!H28</f>
        <v>2455.4323709999999</v>
      </c>
      <c r="I13" s="394">
        <f>'Data 5'!I28</f>
        <v>-8.1873310843875942</v>
      </c>
      <c r="J13" s="393" t="s">
        <v>0</v>
      </c>
      <c r="K13" s="394" t="s">
        <v>0</v>
      </c>
      <c r="L13" s="393" t="s">
        <v>0</v>
      </c>
      <c r="M13" s="394" t="s">
        <v>0</v>
      </c>
      <c r="N13" s="393">
        <f>'Data 5'!H66</f>
        <v>2455.4323709999999</v>
      </c>
      <c r="O13" s="394">
        <f>'Data 5'!I66</f>
        <v>-8.1873310843875942</v>
      </c>
      <c r="P13" s="571"/>
      <c r="Q13" s="540"/>
      <c r="R13" s="20"/>
      <c r="S13" s="541"/>
      <c r="T13" s="541"/>
      <c r="U13" s="541"/>
      <c r="V13" s="541"/>
      <c r="W13" s="541"/>
      <c r="X13" s="541"/>
      <c r="Y13" s="541"/>
    </row>
    <row r="14" spans="3:25" s="26" customFormat="1" ht="12.75" customHeight="1">
      <c r="C14" s="11"/>
      <c r="E14" s="538" t="s">
        <v>408</v>
      </c>
      <c r="F14" s="453">
        <f>'Data 5'!H10</f>
        <v>1399.8689599999998</v>
      </c>
      <c r="G14" s="539">
        <f>'Data 5'!I10</f>
        <v>3.5013974965195871</v>
      </c>
      <c r="H14" s="453">
        <f>'Data 5'!H29</f>
        <v>4860.9501870000004</v>
      </c>
      <c r="I14" s="539">
        <f>'Data 5'!I29</f>
        <v>-7.0753026971693167</v>
      </c>
      <c r="J14" s="453">
        <f>'Data 5'!H44</f>
        <v>207.356224</v>
      </c>
      <c r="K14" s="539">
        <f>'Data 5'!I44</f>
        <v>2.2159990176516597</v>
      </c>
      <c r="L14" s="453">
        <f>'Data 5'!H52</f>
        <v>202.180767</v>
      </c>
      <c r="M14" s="539">
        <f>'Data 5'!I52</f>
        <v>0.8915076734467231</v>
      </c>
      <c r="N14" s="453">
        <f>'Data 5'!H67</f>
        <v>6670.3561380000001</v>
      </c>
      <c r="O14" s="539">
        <f>'Data 5'!I67</f>
        <v>-4.5295907068517716</v>
      </c>
      <c r="P14" s="571"/>
      <c r="Q14" s="540"/>
      <c r="R14" s="20"/>
      <c r="S14" s="541"/>
      <c r="T14" s="541"/>
      <c r="U14" s="541"/>
      <c r="V14" s="541"/>
      <c r="W14" s="541"/>
      <c r="X14" s="541"/>
      <c r="Y14" s="541"/>
    </row>
    <row r="15" spans="3:25" s="26" customFormat="1" ht="12.75" customHeight="1">
      <c r="C15" s="11"/>
      <c r="E15" s="538" t="s">
        <v>409</v>
      </c>
      <c r="F15" s="453">
        <f>'Data 5'!H11</f>
        <v>590.52926400000001</v>
      </c>
      <c r="G15" s="539">
        <f>'Data 5'!I11</f>
        <v>40.458618213139232</v>
      </c>
      <c r="H15" s="453">
        <f>'Data 5'!H30</f>
        <v>3051.021608</v>
      </c>
      <c r="I15" s="539">
        <f>'Data 5'!I30</f>
        <v>1.7897201763626747</v>
      </c>
      <c r="J15" s="453" t="s">
        <v>0</v>
      </c>
      <c r="K15" s="539" t="s">
        <v>0</v>
      </c>
      <c r="L15" s="453" t="s">
        <v>0</v>
      </c>
      <c r="M15" s="539" t="s">
        <v>0</v>
      </c>
      <c r="N15" s="453">
        <f>'Data 5'!H68</f>
        <v>3641.5508719999998</v>
      </c>
      <c r="O15" s="539">
        <f>'Data 5'!I68</f>
        <v>6.546437922422399</v>
      </c>
      <c r="P15" s="571"/>
      <c r="Q15" s="540"/>
      <c r="R15" s="20"/>
      <c r="S15" s="541"/>
      <c r="T15" s="541"/>
      <c r="U15" s="541"/>
      <c r="V15" s="541"/>
      <c r="W15" s="541"/>
      <c r="X15" s="541"/>
      <c r="Y15" s="541"/>
    </row>
    <row r="16" spans="3:25" s="4" customFormat="1" ht="12.75" customHeight="1">
      <c r="C16" s="25"/>
      <c r="E16" s="538" t="s">
        <v>410</v>
      </c>
      <c r="F16" s="453">
        <f>'Data 5'!H12</f>
        <v>12.813724000000001</v>
      </c>
      <c r="G16" s="539">
        <f>'Data 5'!I12</f>
        <v>-13.106469923469799</v>
      </c>
      <c r="H16" s="453" t="s">
        <v>0</v>
      </c>
      <c r="I16" s="539" t="s">
        <v>0</v>
      </c>
      <c r="J16" s="453" t="s">
        <v>0</v>
      </c>
      <c r="K16" s="539" t="s">
        <v>0</v>
      </c>
      <c r="L16" s="453" t="s">
        <v>0</v>
      </c>
      <c r="M16" s="539" t="s">
        <v>0</v>
      </c>
      <c r="N16" s="453">
        <f>'Data 5'!H69</f>
        <v>12.813724000000001</v>
      </c>
      <c r="O16" s="539">
        <f>'Data 5'!I69</f>
        <v>-13.106469923469799</v>
      </c>
      <c r="P16" s="571"/>
      <c r="Q16" s="540"/>
      <c r="R16" s="570"/>
    </row>
    <row r="17" spans="3:18" s="4" customFormat="1" ht="12.75" customHeight="1">
      <c r="C17" s="544"/>
      <c r="E17" s="538" t="s">
        <v>69</v>
      </c>
      <c r="F17" s="453" t="s">
        <v>0</v>
      </c>
      <c r="G17" s="539" t="s">
        <v>0</v>
      </c>
      <c r="H17" s="453">
        <f>'Data 5'!H32</f>
        <v>23.655544000000003</v>
      </c>
      <c r="I17" s="539">
        <f>'Data 5'!I32</f>
        <v>16.915323275172909</v>
      </c>
      <c r="J17" s="453" t="s">
        <v>0</v>
      </c>
      <c r="K17" s="539" t="s">
        <v>0</v>
      </c>
      <c r="L17" s="453" t="s">
        <v>0</v>
      </c>
      <c r="M17" s="539" t="s">
        <v>0</v>
      </c>
      <c r="N17" s="453">
        <f>'Data 5'!H70</f>
        <v>23.655544000000003</v>
      </c>
      <c r="O17" s="539">
        <f>'Data 5'!I70</f>
        <v>16.915323275172909</v>
      </c>
      <c r="P17" s="571"/>
      <c r="Q17" s="540"/>
      <c r="R17" s="570"/>
    </row>
    <row r="18" spans="3:18" s="4" customFormat="1" ht="12.75" customHeight="1">
      <c r="C18" s="544"/>
      <c r="E18" s="538" t="s">
        <v>50</v>
      </c>
      <c r="F18" s="453">
        <f>'Data 5'!H13</f>
        <v>3.757171</v>
      </c>
      <c r="G18" s="539">
        <f>'Data 5'!I13</f>
        <v>28.482092661568203</v>
      </c>
      <c r="H18" s="453">
        <f>'Data 5'!H33</f>
        <v>620.57070399999998</v>
      </c>
      <c r="I18" s="539">
        <f>'Data 5'!I33</f>
        <v>56.739327412525029</v>
      </c>
      <c r="J18" s="453" t="s">
        <v>0</v>
      </c>
      <c r="K18" s="539" t="s">
        <v>0</v>
      </c>
      <c r="L18" s="453" t="s">
        <v>0</v>
      </c>
      <c r="M18" s="539" t="s">
        <v>0</v>
      </c>
      <c r="N18" s="453">
        <f>'Data 5'!H71</f>
        <v>624.32787499999995</v>
      </c>
      <c r="O18" s="539">
        <f>'Data 5'!I71</f>
        <v>56.532151696305142</v>
      </c>
      <c r="P18" s="571"/>
      <c r="Q18" s="540"/>
      <c r="R18" s="570"/>
    </row>
    <row r="19" spans="3:18" s="4" customFormat="1" ht="12.75" customHeight="1">
      <c r="C19" s="545"/>
      <c r="E19" s="538" t="s">
        <v>51</v>
      </c>
      <c r="F19" s="453">
        <f>'Data 5'!H14</f>
        <v>112.251642</v>
      </c>
      <c r="G19" s="539">
        <f>'Data 5'!I14</f>
        <v>-8.9878572118608844</v>
      </c>
      <c r="H19" s="453">
        <f>'Data 5'!H34</f>
        <v>271.61321199999998</v>
      </c>
      <c r="I19" s="539">
        <f>'Data 5'!I34</f>
        <v>-0.73583946944645318</v>
      </c>
      <c r="J19" s="453" t="s">
        <v>0</v>
      </c>
      <c r="K19" s="539" t="s">
        <v>0</v>
      </c>
      <c r="L19" s="453">
        <f>'Data 5'!H53</f>
        <v>7.46109999999999E-2</v>
      </c>
      <c r="M19" s="539">
        <f>'Data 5'!I53</f>
        <v>-2.9374650379219158</v>
      </c>
      <c r="N19" s="453">
        <f>'Data 5'!H72</f>
        <v>383.93946499999998</v>
      </c>
      <c r="O19" s="539">
        <f>'Data 5'!I72</f>
        <v>-3.2996792627182914</v>
      </c>
      <c r="P19" s="571"/>
      <c r="Q19" s="540"/>
      <c r="R19" s="20"/>
    </row>
    <row r="20" spans="3:18" s="4" customFormat="1" ht="12.75" customHeight="1">
      <c r="C20" s="545"/>
      <c r="E20" s="28" t="s">
        <v>411</v>
      </c>
      <c r="F20" s="453">
        <f>'Data 5'!H15</f>
        <v>1.332595</v>
      </c>
      <c r="G20" s="539">
        <f>'Data 5'!I15</f>
        <v>-18.081919617197816</v>
      </c>
      <c r="H20" s="453">
        <f>'Data 5'!H35</f>
        <v>8.931597</v>
      </c>
      <c r="I20" s="539">
        <f>'Data 5'!I35</f>
        <v>-6.6246193647239382</v>
      </c>
      <c r="J20" s="453" t="s">
        <v>0</v>
      </c>
      <c r="K20" s="539" t="s">
        <v>0</v>
      </c>
      <c r="L20" s="453" t="s">
        <v>0</v>
      </c>
      <c r="M20" s="539" t="s">
        <v>0</v>
      </c>
      <c r="N20" s="453">
        <f>'Data 5'!H73</f>
        <v>10.264192</v>
      </c>
      <c r="O20" s="539">
        <f>'Data 5'!I73</f>
        <v>-8.2899213724088696</v>
      </c>
      <c r="P20" s="571"/>
      <c r="Q20" s="540"/>
      <c r="R20" s="570"/>
    </row>
    <row r="21" spans="3:18" s="4" customFormat="1" ht="12.75" customHeight="1">
      <c r="C21" s="545"/>
      <c r="E21" s="28" t="s">
        <v>74</v>
      </c>
      <c r="F21" s="453">
        <f>'Data 5'!H16</f>
        <v>34.974446</v>
      </c>
      <c r="G21" s="539">
        <f>'Data 5'!I16</f>
        <v>-3.5034207096223846</v>
      </c>
      <c r="H21" s="453" t="s">
        <v>0</v>
      </c>
      <c r="I21" s="539" t="s">
        <v>0</v>
      </c>
      <c r="J21" s="453" t="s">
        <v>0</v>
      </c>
      <c r="K21" s="539" t="s">
        <v>0</v>
      </c>
      <c r="L21" s="453" t="s">
        <v>0</v>
      </c>
      <c r="M21" s="539" t="s">
        <v>0</v>
      </c>
      <c r="N21" s="453">
        <f>'Data 5'!H74</f>
        <v>34.974446</v>
      </c>
      <c r="O21" s="539">
        <f>'Data 5'!I74</f>
        <v>-3.5034207096223846</v>
      </c>
      <c r="P21" s="571"/>
      <c r="Q21" s="540"/>
      <c r="R21" s="570"/>
    </row>
    <row r="22" spans="3:18" s="4" customFormat="1" ht="12.75" customHeight="1">
      <c r="C22" s="545"/>
      <c r="E22" s="546" t="s">
        <v>96</v>
      </c>
      <c r="F22" s="453">
        <f>'Data 5'!H17</f>
        <v>135.7577445</v>
      </c>
      <c r="G22" s="539">
        <f>'Data 5'!I17</f>
        <v>-5.6442859896367654</v>
      </c>
      <c r="H22" s="453" t="s">
        <v>0</v>
      </c>
      <c r="I22" s="539" t="s">
        <v>0</v>
      </c>
      <c r="J22" s="453" t="s">
        <v>0</v>
      </c>
      <c r="K22" s="539" t="s">
        <v>0</v>
      </c>
      <c r="L22" s="453">
        <f>'Data 5'!H54</f>
        <v>5.3468390000000001</v>
      </c>
      <c r="M22" s="539">
        <f>'Data 5'!I54</f>
        <v>7.4312646248150926</v>
      </c>
      <c r="N22" s="453">
        <f>'Data 5'!H75</f>
        <v>141.10458349999999</v>
      </c>
      <c r="O22" s="539">
        <f>'Data 5'!I75</f>
        <v>-5.2071052000483782</v>
      </c>
      <c r="P22" s="571"/>
      <c r="Q22" s="540"/>
      <c r="R22" s="570"/>
    </row>
    <row r="23" spans="3:18" s="4" customFormat="1" ht="12.75" customHeight="1">
      <c r="C23" s="545"/>
      <c r="E23" s="546" t="s">
        <v>97</v>
      </c>
      <c r="F23" s="453">
        <f>'Data 5'!H18</f>
        <v>135.7577445</v>
      </c>
      <c r="G23" s="539">
        <f>'Data 5'!I18</f>
        <v>-5.6442859896367654</v>
      </c>
      <c r="H23" s="453" t="s">
        <v>0</v>
      </c>
      <c r="I23" s="539" t="s">
        <v>0</v>
      </c>
      <c r="J23" s="453" t="s">
        <v>0</v>
      </c>
      <c r="K23" s="539" t="s">
        <v>0</v>
      </c>
      <c r="L23" s="453">
        <f>'Data 5'!H55</f>
        <v>5.3468390000000001</v>
      </c>
      <c r="M23" s="539">
        <f>'Data 5'!I55</f>
        <v>7.4312646248150926</v>
      </c>
      <c r="N23" s="453">
        <f>'Data 5'!H76</f>
        <v>141.10458349999999</v>
      </c>
      <c r="O23" s="539">
        <f>'Data 5'!I76</f>
        <v>-5.2071052000483782</v>
      </c>
      <c r="P23" s="571"/>
      <c r="Q23" s="540"/>
      <c r="R23" s="570"/>
    </row>
    <row r="24" spans="3:18" s="4" customFormat="1" ht="12.75" customHeight="1">
      <c r="C24" s="545"/>
      <c r="E24" s="547" t="s">
        <v>73</v>
      </c>
      <c r="F24" s="548">
        <f>SUM(F9:F10,F14:F23)</f>
        <v>4818.8930819999996</v>
      </c>
      <c r="G24" s="549">
        <f>'Data 5'!I19</f>
        <v>-0.37659458555795444</v>
      </c>
      <c r="H24" s="548">
        <f>SUM(H9:H10,H14:H23)</f>
        <v>8840.0187610000012</v>
      </c>
      <c r="I24" s="549">
        <f>'Data 5'!I37</f>
        <v>-1.0194112811111711</v>
      </c>
      <c r="J24" s="548">
        <f>SUM(J9:J10,J14:J23)</f>
        <v>207.356224</v>
      </c>
      <c r="K24" s="549">
        <f>'Data 5'!I45</f>
        <v>2.2159990176516597</v>
      </c>
      <c r="L24" s="548">
        <f>SUM(L9:L10,L14:L23)</f>
        <v>212.94905599999998</v>
      </c>
      <c r="M24" s="549">
        <f>'Data 5'!I57</f>
        <v>1.1994663487780555</v>
      </c>
      <c r="N24" s="548">
        <f>SUM(N9:N10,N14:N23)</f>
        <v>14079.217123</v>
      </c>
      <c r="O24" s="549">
        <f>'Data 5'!I77</f>
        <v>-0.72094972030862792</v>
      </c>
      <c r="P24" s="571"/>
      <c r="Q24" s="540"/>
      <c r="R24" s="570"/>
    </row>
    <row r="25" spans="3:18" s="4" customFormat="1" ht="12.75" customHeight="1">
      <c r="C25" s="550"/>
      <c r="E25" s="538" t="s">
        <v>412</v>
      </c>
      <c r="F25" s="551">
        <f>'Data 5'!H20</f>
        <v>1233.358142</v>
      </c>
      <c r="G25" s="552">
        <f>'Data 5'!I20</f>
        <v>4.5833287183334681</v>
      </c>
      <c r="H25" s="551" t="s">
        <v>0</v>
      </c>
      <c r="I25" s="552" t="s">
        <v>0</v>
      </c>
      <c r="J25" s="551" t="s">
        <v>0</v>
      </c>
      <c r="K25" s="552" t="s">
        <v>0</v>
      </c>
      <c r="L25" s="551" t="s">
        <v>0</v>
      </c>
      <c r="M25" s="552" t="s">
        <v>0</v>
      </c>
      <c r="N25" s="551">
        <f>'Data 5'!H78</f>
        <v>1233.358142</v>
      </c>
      <c r="O25" s="552">
        <f>'Data 5'!I78</f>
        <v>4.5833287183334681</v>
      </c>
      <c r="P25" s="571"/>
      <c r="Q25" s="540"/>
      <c r="R25" s="570"/>
    </row>
    <row r="26" spans="3:18" s="4" customFormat="1" ht="16.149999999999999" customHeight="1">
      <c r="C26" s="545"/>
      <c r="E26" s="35" t="s">
        <v>40</v>
      </c>
      <c r="F26" s="456">
        <f>SUM(F24:F25)</f>
        <v>6052.2512239999996</v>
      </c>
      <c r="G26" s="553">
        <f>'Data 5'!I21</f>
        <v>0.5956238382568646</v>
      </c>
      <c r="H26" s="456">
        <f>SUM(H24:H25)</f>
        <v>8840.0187610000012</v>
      </c>
      <c r="I26" s="553">
        <f>'Data 5'!I38</f>
        <v>-1.0194112811111711</v>
      </c>
      <c r="J26" s="456">
        <f>SUM(J24:J25)</f>
        <v>207.356224</v>
      </c>
      <c r="K26" s="553">
        <f>'Data 5'!I46</f>
        <v>2.2159990176516597</v>
      </c>
      <c r="L26" s="456">
        <f>SUM(L24:L25)</f>
        <v>212.94905599999998</v>
      </c>
      <c r="M26" s="553">
        <f>'Data 5'!I58</f>
        <v>1.1994663487780555</v>
      </c>
      <c r="N26" s="456">
        <f>SUM(N24:N25)</f>
        <v>15312.575264999999</v>
      </c>
      <c r="O26" s="553">
        <f>'Data 5'!I79</f>
        <v>-0.31371929822504585</v>
      </c>
      <c r="P26" s="571"/>
      <c r="Q26" s="540"/>
      <c r="R26" s="570"/>
    </row>
    <row r="27" spans="3:18" s="4" customFormat="1" ht="12.75" customHeight="1">
      <c r="C27" s="554"/>
      <c r="D27" s="554"/>
      <c r="E27" s="635" t="s">
        <v>413</v>
      </c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Q27" s="541"/>
    </row>
    <row r="28" spans="3:18" s="4" customFormat="1" ht="12.75" customHeight="1">
      <c r="C28" s="554"/>
      <c r="D28" s="554"/>
      <c r="E28" s="636" t="s">
        <v>414</v>
      </c>
      <c r="F28" s="636"/>
      <c r="G28" s="636"/>
      <c r="H28" s="636"/>
      <c r="I28" s="636"/>
      <c r="J28" s="636"/>
      <c r="K28" s="636"/>
      <c r="L28" s="636"/>
      <c r="M28" s="636"/>
      <c r="N28" s="636"/>
      <c r="O28" s="636"/>
    </row>
    <row r="29" spans="3:18" s="4" customFormat="1" ht="12.75" customHeight="1">
      <c r="E29" s="636" t="s">
        <v>415</v>
      </c>
      <c r="F29" s="636"/>
      <c r="G29" s="636"/>
      <c r="H29" s="636"/>
      <c r="I29" s="636"/>
      <c r="J29" s="636"/>
      <c r="K29" s="636"/>
      <c r="L29" s="636"/>
      <c r="M29" s="636"/>
      <c r="N29" s="636"/>
      <c r="O29" s="636"/>
    </row>
    <row r="30" spans="3:18" s="26" customFormat="1" ht="12.75" customHeight="1">
      <c r="E30" s="636" t="s">
        <v>416</v>
      </c>
      <c r="F30" s="636"/>
      <c r="G30" s="636"/>
      <c r="H30" s="636"/>
      <c r="I30" s="636"/>
      <c r="J30" s="636"/>
      <c r="K30" s="636"/>
      <c r="L30" s="636"/>
      <c r="M30" s="636"/>
      <c r="N30" s="636"/>
      <c r="O30" s="636"/>
    </row>
    <row r="31" spans="3:18" ht="12.75" customHeight="1">
      <c r="C31" s="5"/>
      <c r="D31" s="5"/>
      <c r="E31" s="636" t="s">
        <v>417</v>
      </c>
      <c r="F31" s="636"/>
      <c r="G31" s="636"/>
      <c r="H31" s="636"/>
      <c r="I31" s="636"/>
      <c r="J31" s="636"/>
      <c r="K31" s="636"/>
      <c r="L31" s="636"/>
      <c r="M31" s="636"/>
      <c r="N31" s="636"/>
      <c r="O31" s="636"/>
    </row>
    <row r="32" spans="3:18" ht="12.75" customHeight="1">
      <c r="C32" s="5"/>
      <c r="D32" s="5"/>
      <c r="E32" s="555"/>
      <c r="F32" s="555"/>
      <c r="G32" s="555"/>
      <c r="H32" s="555"/>
      <c r="I32" s="555"/>
      <c r="J32" s="555"/>
      <c r="K32" s="555"/>
      <c r="L32" s="555"/>
      <c r="M32" s="555"/>
      <c r="N32" s="555"/>
      <c r="O32" s="555"/>
    </row>
    <row r="33" spans="3:15" ht="12.75" customHeight="1">
      <c r="C33" s="5"/>
      <c r="D33" s="5"/>
      <c r="E33" s="556"/>
      <c r="G33" s="116"/>
      <c r="I33" s="116"/>
      <c r="K33" s="116"/>
      <c r="L33" s="116"/>
      <c r="M33" s="116"/>
      <c r="N33" s="116"/>
      <c r="O33" s="116"/>
    </row>
    <row r="34" spans="3:15" ht="12.75" customHeight="1">
      <c r="C34" s="5"/>
      <c r="D34" s="5"/>
      <c r="E34" s="116"/>
      <c r="G34" s="557"/>
      <c r="I34" s="557"/>
      <c r="K34" s="116"/>
      <c r="L34" s="116"/>
      <c r="M34" s="116"/>
      <c r="N34" s="116"/>
      <c r="O34" s="557"/>
    </row>
    <row r="35" spans="3:15" ht="12.75" customHeight="1">
      <c r="C35" s="5"/>
      <c r="D35" s="5"/>
      <c r="E35" s="116"/>
      <c r="G35" s="557"/>
      <c r="I35" s="116"/>
      <c r="K35" s="116"/>
      <c r="L35" s="116"/>
      <c r="M35" s="557"/>
      <c r="N35" s="116"/>
      <c r="O35" s="557"/>
    </row>
    <row r="36" spans="3:15" ht="16.5" customHeight="1">
      <c r="C36" s="5"/>
      <c r="D36" s="5"/>
      <c r="E36" s="116"/>
      <c r="G36" s="116"/>
      <c r="I36" s="557"/>
      <c r="K36" s="116"/>
      <c r="L36" s="116"/>
      <c r="M36" s="557"/>
      <c r="N36" s="116"/>
      <c r="O36" s="557"/>
    </row>
    <row r="37" spans="3:15" ht="16.5" customHeight="1">
      <c r="C37" s="5"/>
      <c r="D37" s="5"/>
      <c r="E37" s="116"/>
      <c r="G37" s="558"/>
      <c r="H37" s="559"/>
      <c r="I37" s="558"/>
      <c r="J37" s="560"/>
      <c r="K37" s="558"/>
      <c r="L37" s="561"/>
      <c r="M37" s="558"/>
      <c r="N37" s="561"/>
      <c r="O37" s="558"/>
    </row>
    <row r="38" spans="3:15" ht="12.75" customHeight="1">
      <c r="C38" s="5"/>
      <c r="D38" s="5"/>
      <c r="E38" s="116"/>
    </row>
    <row r="39" spans="3:15" ht="12.75">
      <c r="E39" s="116"/>
      <c r="O39" s="44"/>
    </row>
    <row r="40" spans="3:15">
      <c r="E40" s="562"/>
      <c r="F40" s="562"/>
      <c r="G40" s="562"/>
      <c r="H40" s="562"/>
      <c r="I40" s="562"/>
      <c r="J40" s="562"/>
      <c r="K40" s="562"/>
    </row>
    <row r="41" spans="3:15">
      <c r="C41" s="562"/>
      <c r="D41" s="562"/>
      <c r="E41" s="562"/>
      <c r="F41" s="562"/>
      <c r="G41" s="562"/>
      <c r="H41" s="562"/>
      <c r="I41" s="562"/>
      <c r="J41" s="562"/>
      <c r="K41" s="562"/>
    </row>
    <row r="42" spans="3:15">
      <c r="C42" s="562"/>
      <c r="D42" s="562"/>
      <c r="E42" s="562"/>
      <c r="F42" s="562"/>
      <c r="G42" s="562"/>
      <c r="H42" s="562"/>
      <c r="I42" s="562"/>
      <c r="J42" s="562"/>
      <c r="K42" s="562"/>
    </row>
    <row r="43" spans="3:15">
      <c r="C43" s="562"/>
      <c r="D43" s="562"/>
      <c r="E43" s="562"/>
      <c r="F43" s="562"/>
      <c r="G43" s="562"/>
      <c r="H43" s="562"/>
      <c r="I43" s="562"/>
      <c r="J43" s="562"/>
      <c r="K43" s="562"/>
    </row>
    <row r="44" spans="3:15">
      <c r="C44" s="562"/>
      <c r="D44" s="562"/>
      <c r="E44" s="562"/>
      <c r="F44" s="562"/>
      <c r="G44" s="562"/>
      <c r="H44" s="562"/>
      <c r="I44" s="562"/>
      <c r="J44" s="562"/>
      <c r="K44" s="562"/>
    </row>
    <row r="45" spans="3:15">
      <c r="C45" s="562"/>
      <c r="D45" s="562"/>
      <c r="E45" s="562"/>
      <c r="F45" s="562"/>
      <c r="G45" s="562"/>
      <c r="H45" s="562"/>
      <c r="I45" s="562"/>
      <c r="J45" s="562"/>
      <c r="K45" s="562"/>
    </row>
    <row r="46" spans="3:15">
      <c r="C46" s="562"/>
      <c r="D46" s="562"/>
      <c r="E46" s="562"/>
      <c r="F46" s="562"/>
      <c r="G46" s="562"/>
      <c r="H46" s="562"/>
      <c r="I46" s="562"/>
      <c r="J46" s="562"/>
      <c r="K46" s="562"/>
    </row>
    <row r="47" spans="3:15">
      <c r="C47" s="562"/>
      <c r="D47" s="562"/>
      <c r="E47" s="562"/>
      <c r="F47" s="562"/>
      <c r="G47" s="562"/>
      <c r="H47" s="562"/>
      <c r="I47" s="562"/>
      <c r="J47" s="562"/>
      <c r="K47" s="562"/>
    </row>
    <row r="48" spans="3:15">
      <c r="C48" s="562"/>
      <c r="D48" s="562"/>
      <c r="E48" s="562"/>
      <c r="F48" s="562"/>
      <c r="G48" s="562"/>
      <c r="H48" s="562"/>
      <c r="I48" s="562"/>
      <c r="J48" s="562"/>
      <c r="K48" s="562"/>
    </row>
    <row r="49" spans="3:11">
      <c r="C49" s="562"/>
      <c r="D49" s="562"/>
      <c r="E49" s="562"/>
      <c r="F49" s="562"/>
      <c r="G49" s="562"/>
      <c r="H49" s="562"/>
      <c r="I49" s="562"/>
      <c r="J49" s="562"/>
      <c r="K49" s="562"/>
    </row>
    <row r="50" spans="3:11">
      <c r="C50" s="562"/>
      <c r="D50" s="562"/>
      <c r="E50" s="562"/>
      <c r="F50" s="562"/>
      <c r="G50" s="562"/>
      <c r="H50" s="562"/>
      <c r="I50" s="562"/>
      <c r="J50" s="562"/>
      <c r="K50" s="562"/>
    </row>
    <row r="51" spans="3:11">
      <c r="C51" s="562"/>
      <c r="D51" s="562"/>
      <c r="E51" s="562"/>
      <c r="F51" s="562"/>
      <c r="G51" s="562"/>
      <c r="H51" s="562"/>
      <c r="I51" s="562"/>
      <c r="J51" s="562"/>
      <c r="K51" s="562"/>
    </row>
    <row r="52" spans="3:11">
      <c r="C52" s="562"/>
      <c r="D52" s="562"/>
      <c r="E52" s="562"/>
      <c r="F52" s="562"/>
      <c r="G52" s="562"/>
      <c r="H52" s="562"/>
      <c r="I52" s="562"/>
      <c r="J52" s="562"/>
      <c r="K52" s="562"/>
    </row>
    <row r="53" spans="3:11">
      <c r="C53" s="562"/>
      <c r="D53" s="562"/>
      <c r="E53" s="562"/>
      <c r="F53" s="562"/>
      <c r="G53" s="562"/>
      <c r="H53" s="562"/>
      <c r="I53" s="562"/>
      <c r="J53" s="562"/>
      <c r="K53" s="562"/>
    </row>
    <row r="54" spans="3:11">
      <c r="C54" s="562"/>
      <c r="D54" s="562"/>
      <c r="E54" s="562"/>
      <c r="F54" s="562"/>
      <c r="G54" s="562"/>
      <c r="H54" s="562"/>
      <c r="I54" s="562"/>
      <c r="J54" s="562"/>
      <c r="K54" s="562"/>
    </row>
    <row r="55" spans="3:11">
      <c r="C55" s="562"/>
      <c r="D55" s="562"/>
      <c r="E55" s="562"/>
      <c r="F55" s="562"/>
      <c r="G55" s="562"/>
      <c r="H55" s="562"/>
      <c r="I55" s="562"/>
      <c r="J55" s="562"/>
      <c r="K55" s="562"/>
    </row>
    <row r="56" spans="3:11">
      <c r="C56" s="562"/>
      <c r="D56" s="562"/>
    </row>
  </sheetData>
  <mergeCells count="11">
    <mergeCell ref="E27:O27"/>
    <mergeCell ref="E28:O28"/>
    <mergeCell ref="E29:O29"/>
    <mergeCell ref="E30:O30"/>
    <mergeCell ref="E31:O31"/>
    <mergeCell ref="N7:O7"/>
    <mergeCell ref="C7:C9"/>
    <mergeCell ref="F7:G7"/>
    <mergeCell ref="H7:I7"/>
    <mergeCell ref="J7:K7"/>
    <mergeCell ref="L7:M7"/>
  </mergeCells>
  <hyperlinks>
    <hyperlink ref="C4" location="Indice!A1" display="Sistemas no peninsulares"/>
  </hyperlink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24 G26 I24 I26 K24 K26 M24 M26" formula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C1:W33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562" customWidth="1"/>
    <col min="2" max="2" width="2.7109375" style="562" customWidth="1"/>
    <col min="3" max="3" width="23.7109375" style="562" customWidth="1"/>
    <col min="4" max="4" width="1.28515625" style="562" customWidth="1"/>
    <col min="5" max="5" width="28.5703125" style="562" customWidth="1"/>
    <col min="6" max="15" width="7.7109375" style="562" customWidth="1"/>
    <col min="16" max="20" width="11.42578125" style="562"/>
    <col min="21" max="21" width="12.28515625" style="562" bestFit="1" customWidth="1"/>
    <col min="22" max="256" width="11.42578125" style="562"/>
    <col min="257" max="257" width="0.140625" style="562" customWidth="1"/>
    <col min="258" max="258" width="2.7109375" style="562" customWidth="1"/>
    <col min="259" max="259" width="15.42578125" style="562" customWidth="1"/>
    <col min="260" max="260" width="1.28515625" style="562" customWidth="1"/>
    <col min="261" max="261" width="28.5703125" style="562" customWidth="1"/>
    <col min="262" max="270" width="7" style="562" customWidth="1"/>
    <col min="271" max="271" width="6.140625" style="562" customWidth="1"/>
    <col min="272" max="512" width="11.42578125" style="562"/>
    <col min="513" max="513" width="0.140625" style="562" customWidth="1"/>
    <col min="514" max="514" width="2.7109375" style="562" customWidth="1"/>
    <col min="515" max="515" width="15.42578125" style="562" customWidth="1"/>
    <col min="516" max="516" width="1.28515625" style="562" customWidth="1"/>
    <col min="517" max="517" width="28.5703125" style="562" customWidth="1"/>
    <col min="518" max="526" width="7" style="562" customWidth="1"/>
    <col min="527" max="527" width="6.140625" style="562" customWidth="1"/>
    <col min="528" max="768" width="11.42578125" style="562"/>
    <col min="769" max="769" width="0.140625" style="562" customWidth="1"/>
    <col min="770" max="770" width="2.7109375" style="562" customWidth="1"/>
    <col min="771" max="771" width="15.42578125" style="562" customWidth="1"/>
    <col min="772" max="772" width="1.28515625" style="562" customWidth="1"/>
    <col min="773" max="773" width="28.5703125" style="562" customWidth="1"/>
    <col min="774" max="782" width="7" style="562" customWidth="1"/>
    <col min="783" max="783" width="6.140625" style="562" customWidth="1"/>
    <col min="784" max="1024" width="11.42578125" style="562"/>
    <col min="1025" max="1025" width="0.140625" style="562" customWidth="1"/>
    <col min="1026" max="1026" width="2.7109375" style="562" customWidth="1"/>
    <col min="1027" max="1027" width="15.42578125" style="562" customWidth="1"/>
    <col min="1028" max="1028" width="1.28515625" style="562" customWidth="1"/>
    <col min="1029" max="1029" width="28.5703125" style="562" customWidth="1"/>
    <col min="1030" max="1038" width="7" style="562" customWidth="1"/>
    <col min="1039" max="1039" width="6.140625" style="562" customWidth="1"/>
    <col min="1040" max="1280" width="11.42578125" style="562"/>
    <col min="1281" max="1281" width="0.140625" style="562" customWidth="1"/>
    <col min="1282" max="1282" width="2.7109375" style="562" customWidth="1"/>
    <col min="1283" max="1283" width="15.42578125" style="562" customWidth="1"/>
    <col min="1284" max="1284" width="1.28515625" style="562" customWidth="1"/>
    <col min="1285" max="1285" width="28.5703125" style="562" customWidth="1"/>
    <col min="1286" max="1294" width="7" style="562" customWidth="1"/>
    <col min="1295" max="1295" width="6.140625" style="562" customWidth="1"/>
    <col min="1296" max="1536" width="11.42578125" style="562"/>
    <col min="1537" max="1537" width="0.140625" style="562" customWidth="1"/>
    <col min="1538" max="1538" width="2.7109375" style="562" customWidth="1"/>
    <col min="1539" max="1539" width="15.42578125" style="562" customWidth="1"/>
    <col min="1540" max="1540" width="1.28515625" style="562" customWidth="1"/>
    <col min="1541" max="1541" width="28.5703125" style="562" customWidth="1"/>
    <col min="1542" max="1550" width="7" style="562" customWidth="1"/>
    <col min="1551" max="1551" width="6.140625" style="562" customWidth="1"/>
    <col min="1552" max="1792" width="11.42578125" style="562"/>
    <col min="1793" max="1793" width="0.140625" style="562" customWidth="1"/>
    <col min="1794" max="1794" width="2.7109375" style="562" customWidth="1"/>
    <col min="1795" max="1795" width="15.42578125" style="562" customWidth="1"/>
    <col min="1796" max="1796" width="1.28515625" style="562" customWidth="1"/>
    <col min="1797" max="1797" width="28.5703125" style="562" customWidth="1"/>
    <col min="1798" max="1806" width="7" style="562" customWidth="1"/>
    <col min="1807" max="1807" width="6.140625" style="562" customWidth="1"/>
    <col min="1808" max="2048" width="11.42578125" style="562"/>
    <col min="2049" max="2049" width="0.140625" style="562" customWidth="1"/>
    <col min="2050" max="2050" width="2.7109375" style="562" customWidth="1"/>
    <col min="2051" max="2051" width="15.42578125" style="562" customWidth="1"/>
    <col min="2052" max="2052" width="1.28515625" style="562" customWidth="1"/>
    <col min="2053" max="2053" width="28.5703125" style="562" customWidth="1"/>
    <col min="2054" max="2062" width="7" style="562" customWidth="1"/>
    <col min="2063" max="2063" width="6.140625" style="562" customWidth="1"/>
    <col min="2064" max="2304" width="11.42578125" style="562"/>
    <col min="2305" max="2305" width="0.140625" style="562" customWidth="1"/>
    <col min="2306" max="2306" width="2.7109375" style="562" customWidth="1"/>
    <col min="2307" max="2307" width="15.42578125" style="562" customWidth="1"/>
    <col min="2308" max="2308" width="1.28515625" style="562" customWidth="1"/>
    <col min="2309" max="2309" width="28.5703125" style="562" customWidth="1"/>
    <col min="2310" max="2318" width="7" style="562" customWidth="1"/>
    <col min="2319" max="2319" width="6.140625" style="562" customWidth="1"/>
    <col min="2320" max="2560" width="11.42578125" style="562"/>
    <col min="2561" max="2561" width="0.140625" style="562" customWidth="1"/>
    <col min="2562" max="2562" width="2.7109375" style="562" customWidth="1"/>
    <col min="2563" max="2563" width="15.42578125" style="562" customWidth="1"/>
    <col min="2564" max="2564" width="1.28515625" style="562" customWidth="1"/>
    <col min="2565" max="2565" width="28.5703125" style="562" customWidth="1"/>
    <col min="2566" max="2574" width="7" style="562" customWidth="1"/>
    <col min="2575" max="2575" width="6.140625" style="562" customWidth="1"/>
    <col min="2576" max="2816" width="11.42578125" style="562"/>
    <col min="2817" max="2817" width="0.140625" style="562" customWidth="1"/>
    <col min="2818" max="2818" width="2.7109375" style="562" customWidth="1"/>
    <col min="2819" max="2819" width="15.42578125" style="562" customWidth="1"/>
    <col min="2820" max="2820" width="1.28515625" style="562" customWidth="1"/>
    <col min="2821" max="2821" width="28.5703125" style="562" customWidth="1"/>
    <col min="2822" max="2830" width="7" style="562" customWidth="1"/>
    <col min="2831" max="2831" width="6.140625" style="562" customWidth="1"/>
    <col min="2832" max="3072" width="11.42578125" style="562"/>
    <col min="3073" max="3073" width="0.140625" style="562" customWidth="1"/>
    <col min="3074" max="3074" width="2.7109375" style="562" customWidth="1"/>
    <col min="3075" max="3075" width="15.42578125" style="562" customWidth="1"/>
    <col min="3076" max="3076" width="1.28515625" style="562" customWidth="1"/>
    <col min="3077" max="3077" width="28.5703125" style="562" customWidth="1"/>
    <col min="3078" max="3086" width="7" style="562" customWidth="1"/>
    <col min="3087" max="3087" width="6.140625" style="562" customWidth="1"/>
    <col min="3088" max="3328" width="11.42578125" style="562"/>
    <col min="3329" max="3329" width="0.140625" style="562" customWidth="1"/>
    <col min="3330" max="3330" width="2.7109375" style="562" customWidth="1"/>
    <col min="3331" max="3331" width="15.42578125" style="562" customWidth="1"/>
    <col min="3332" max="3332" width="1.28515625" style="562" customWidth="1"/>
    <col min="3333" max="3333" width="28.5703125" style="562" customWidth="1"/>
    <col min="3334" max="3342" width="7" style="562" customWidth="1"/>
    <col min="3343" max="3343" width="6.140625" style="562" customWidth="1"/>
    <col min="3344" max="3584" width="11.42578125" style="562"/>
    <col min="3585" max="3585" width="0.140625" style="562" customWidth="1"/>
    <col min="3586" max="3586" width="2.7109375" style="562" customWidth="1"/>
    <col min="3587" max="3587" width="15.42578125" style="562" customWidth="1"/>
    <col min="3588" max="3588" width="1.28515625" style="562" customWidth="1"/>
    <col min="3589" max="3589" width="28.5703125" style="562" customWidth="1"/>
    <col min="3590" max="3598" width="7" style="562" customWidth="1"/>
    <col min="3599" max="3599" width="6.140625" style="562" customWidth="1"/>
    <col min="3600" max="3840" width="11.42578125" style="562"/>
    <col min="3841" max="3841" width="0.140625" style="562" customWidth="1"/>
    <col min="3842" max="3842" width="2.7109375" style="562" customWidth="1"/>
    <col min="3843" max="3843" width="15.42578125" style="562" customWidth="1"/>
    <col min="3844" max="3844" width="1.28515625" style="562" customWidth="1"/>
    <col min="3845" max="3845" width="28.5703125" style="562" customWidth="1"/>
    <col min="3846" max="3854" width="7" style="562" customWidth="1"/>
    <col min="3855" max="3855" width="6.140625" style="562" customWidth="1"/>
    <col min="3856" max="4096" width="11.42578125" style="562"/>
    <col min="4097" max="4097" width="0.140625" style="562" customWidth="1"/>
    <col min="4098" max="4098" width="2.7109375" style="562" customWidth="1"/>
    <col min="4099" max="4099" width="15.42578125" style="562" customWidth="1"/>
    <col min="4100" max="4100" width="1.28515625" style="562" customWidth="1"/>
    <col min="4101" max="4101" width="28.5703125" style="562" customWidth="1"/>
    <col min="4102" max="4110" width="7" style="562" customWidth="1"/>
    <col min="4111" max="4111" width="6.140625" style="562" customWidth="1"/>
    <col min="4112" max="4352" width="11.42578125" style="562"/>
    <col min="4353" max="4353" width="0.140625" style="562" customWidth="1"/>
    <col min="4354" max="4354" width="2.7109375" style="562" customWidth="1"/>
    <col min="4355" max="4355" width="15.42578125" style="562" customWidth="1"/>
    <col min="4356" max="4356" width="1.28515625" style="562" customWidth="1"/>
    <col min="4357" max="4357" width="28.5703125" style="562" customWidth="1"/>
    <col min="4358" max="4366" width="7" style="562" customWidth="1"/>
    <col min="4367" max="4367" width="6.140625" style="562" customWidth="1"/>
    <col min="4368" max="4608" width="11.42578125" style="562"/>
    <col min="4609" max="4609" width="0.140625" style="562" customWidth="1"/>
    <col min="4610" max="4610" width="2.7109375" style="562" customWidth="1"/>
    <col min="4611" max="4611" width="15.42578125" style="562" customWidth="1"/>
    <col min="4612" max="4612" width="1.28515625" style="562" customWidth="1"/>
    <col min="4613" max="4613" width="28.5703125" style="562" customWidth="1"/>
    <col min="4614" max="4622" width="7" style="562" customWidth="1"/>
    <col min="4623" max="4623" width="6.140625" style="562" customWidth="1"/>
    <col min="4624" max="4864" width="11.42578125" style="562"/>
    <col min="4865" max="4865" width="0.140625" style="562" customWidth="1"/>
    <col min="4866" max="4866" width="2.7109375" style="562" customWidth="1"/>
    <col min="4867" max="4867" width="15.42578125" style="562" customWidth="1"/>
    <col min="4868" max="4868" width="1.28515625" style="562" customWidth="1"/>
    <col min="4869" max="4869" width="28.5703125" style="562" customWidth="1"/>
    <col min="4870" max="4878" width="7" style="562" customWidth="1"/>
    <col min="4879" max="4879" width="6.140625" style="562" customWidth="1"/>
    <col min="4880" max="5120" width="11.42578125" style="562"/>
    <col min="5121" max="5121" width="0.140625" style="562" customWidth="1"/>
    <col min="5122" max="5122" width="2.7109375" style="562" customWidth="1"/>
    <col min="5123" max="5123" width="15.42578125" style="562" customWidth="1"/>
    <col min="5124" max="5124" width="1.28515625" style="562" customWidth="1"/>
    <col min="5125" max="5125" width="28.5703125" style="562" customWidth="1"/>
    <col min="5126" max="5134" width="7" style="562" customWidth="1"/>
    <col min="5135" max="5135" width="6.140625" style="562" customWidth="1"/>
    <col min="5136" max="5376" width="11.42578125" style="562"/>
    <col min="5377" max="5377" width="0.140625" style="562" customWidth="1"/>
    <col min="5378" max="5378" width="2.7109375" style="562" customWidth="1"/>
    <col min="5379" max="5379" width="15.42578125" style="562" customWidth="1"/>
    <col min="5380" max="5380" width="1.28515625" style="562" customWidth="1"/>
    <col min="5381" max="5381" width="28.5703125" style="562" customWidth="1"/>
    <col min="5382" max="5390" width="7" style="562" customWidth="1"/>
    <col min="5391" max="5391" width="6.140625" style="562" customWidth="1"/>
    <col min="5392" max="5632" width="11.42578125" style="562"/>
    <col min="5633" max="5633" width="0.140625" style="562" customWidth="1"/>
    <col min="5634" max="5634" width="2.7109375" style="562" customWidth="1"/>
    <col min="5635" max="5635" width="15.42578125" style="562" customWidth="1"/>
    <col min="5636" max="5636" width="1.28515625" style="562" customWidth="1"/>
    <col min="5637" max="5637" width="28.5703125" style="562" customWidth="1"/>
    <col min="5638" max="5646" width="7" style="562" customWidth="1"/>
    <col min="5647" max="5647" width="6.140625" style="562" customWidth="1"/>
    <col min="5648" max="5888" width="11.42578125" style="562"/>
    <col min="5889" max="5889" width="0.140625" style="562" customWidth="1"/>
    <col min="5890" max="5890" width="2.7109375" style="562" customWidth="1"/>
    <col min="5891" max="5891" width="15.42578125" style="562" customWidth="1"/>
    <col min="5892" max="5892" width="1.28515625" style="562" customWidth="1"/>
    <col min="5893" max="5893" width="28.5703125" style="562" customWidth="1"/>
    <col min="5894" max="5902" width="7" style="562" customWidth="1"/>
    <col min="5903" max="5903" width="6.140625" style="562" customWidth="1"/>
    <col min="5904" max="6144" width="11.42578125" style="562"/>
    <col min="6145" max="6145" width="0.140625" style="562" customWidth="1"/>
    <col min="6146" max="6146" width="2.7109375" style="562" customWidth="1"/>
    <col min="6147" max="6147" width="15.42578125" style="562" customWidth="1"/>
    <col min="6148" max="6148" width="1.28515625" style="562" customWidth="1"/>
    <col min="6149" max="6149" width="28.5703125" style="562" customWidth="1"/>
    <col min="6150" max="6158" width="7" style="562" customWidth="1"/>
    <col min="6159" max="6159" width="6.140625" style="562" customWidth="1"/>
    <col min="6160" max="6400" width="11.42578125" style="562"/>
    <col min="6401" max="6401" width="0.140625" style="562" customWidth="1"/>
    <col min="6402" max="6402" width="2.7109375" style="562" customWidth="1"/>
    <col min="6403" max="6403" width="15.42578125" style="562" customWidth="1"/>
    <col min="6404" max="6404" width="1.28515625" style="562" customWidth="1"/>
    <col min="6405" max="6405" width="28.5703125" style="562" customWidth="1"/>
    <col min="6406" max="6414" width="7" style="562" customWidth="1"/>
    <col min="6415" max="6415" width="6.140625" style="562" customWidth="1"/>
    <col min="6416" max="6656" width="11.42578125" style="562"/>
    <col min="6657" max="6657" width="0.140625" style="562" customWidth="1"/>
    <col min="6658" max="6658" width="2.7109375" style="562" customWidth="1"/>
    <col min="6659" max="6659" width="15.42578125" style="562" customWidth="1"/>
    <col min="6660" max="6660" width="1.28515625" style="562" customWidth="1"/>
    <col min="6661" max="6661" width="28.5703125" style="562" customWidth="1"/>
    <col min="6662" max="6670" width="7" style="562" customWidth="1"/>
    <col min="6671" max="6671" width="6.140625" style="562" customWidth="1"/>
    <col min="6672" max="6912" width="11.42578125" style="562"/>
    <col min="6913" max="6913" width="0.140625" style="562" customWidth="1"/>
    <col min="6914" max="6914" width="2.7109375" style="562" customWidth="1"/>
    <col min="6915" max="6915" width="15.42578125" style="562" customWidth="1"/>
    <col min="6916" max="6916" width="1.28515625" style="562" customWidth="1"/>
    <col min="6917" max="6917" width="28.5703125" style="562" customWidth="1"/>
    <col min="6918" max="6926" width="7" style="562" customWidth="1"/>
    <col min="6927" max="6927" width="6.140625" style="562" customWidth="1"/>
    <col min="6928" max="7168" width="11.42578125" style="562"/>
    <col min="7169" max="7169" width="0.140625" style="562" customWidth="1"/>
    <col min="7170" max="7170" width="2.7109375" style="562" customWidth="1"/>
    <col min="7171" max="7171" width="15.42578125" style="562" customWidth="1"/>
    <col min="7172" max="7172" width="1.28515625" style="562" customWidth="1"/>
    <col min="7173" max="7173" width="28.5703125" style="562" customWidth="1"/>
    <col min="7174" max="7182" width="7" style="562" customWidth="1"/>
    <col min="7183" max="7183" width="6.140625" style="562" customWidth="1"/>
    <col min="7184" max="7424" width="11.42578125" style="562"/>
    <col min="7425" max="7425" width="0.140625" style="562" customWidth="1"/>
    <col min="7426" max="7426" width="2.7109375" style="562" customWidth="1"/>
    <col min="7427" max="7427" width="15.42578125" style="562" customWidth="1"/>
    <col min="7428" max="7428" width="1.28515625" style="562" customWidth="1"/>
    <col min="7429" max="7429" width="28.5703125" style="562" customWidth="1"/>
    <col min="7430" max="7438" width="7" style="562" customWidth="1"/>
    <col min="7439" max="7439" width="6.140625" style="562" customWidth="1"/>
    <col min="7440" max="7680" width="11.42578125" style="562"/>
    <col min="7681" max="7681" width="0.140625" style="562" customWidth="1"/>
    <col min="7682" max="7682" width="2.7109375" style="562" customWidth="1"/>
    <col min="7683" max="7683" width="15.42578125" style="562" customWidth="1"/>
    <col min="7684" max="7684" width="1.28515625" style="562" customWidth="1"/>
    <col min="7685" max="7685" width="28.5703125" style="562" customWidth="1"/>
    <col min="7686" max="7694" width="7" style="562" customWidth="1"/>
    <col min="7695" max="7695" width="6.140625" style="562" customWidth="1"/>
    <col min="7696" max="7936" width="11.42578125" style="562"/>
    <col min="7937" max="7937" width="0.140625" style="562" customWidth="1"/>
    <col min="7938" max="7938" width="2.7109375" style="562" customWidth="1"/>
    <col min="7939" max="7939" width="15.42578125" style="562" customWidth="1"/>
    <col min="7940" max="7940" width="1.28515625" style="562" customWidth="1"/>
    <col min="7941" max="7941" width="28.5703125" style="562" customWidth="1"/>
    <col min="7942" max="7950" width="7" style="562" customWidth="1"/>
    <col min="7951" max="7951" width="6.140625" style="562" customWidth="1"/>
    <col min="7952" max="8192" width="11.42578125" style="562"/>
    <col min="8193" max="8193" width="0.140625" style="562" customWidth="1"/>
    <col min="8194" max="8194" width="2.7109375" style="562" customWidth="1"/>
    <col min="8195" max="8195" width="15.42578125" style="562" customWidth="1"/>
    <col min="8196" max="8196" width="1.28515625" style="562" customWidth="1"/>
    <col min="8197" max="8197" width="28.5703125" style="562" customWidth="1"/>
    <col min="8198" max="8206" width="7" style="562" customWidth="1"/>
    <col min="8207" max="8207" width="6.140625" style="562" customWidth="1"/>
    <col min="8208" max="8448" width="11.42578125" style="562"/>
    <col min="8449" max="8449" width="0.140625" style="562" customWidth="1"/>
    <col min="8450" max="8450" width="2.7109375" style="562" customWidth="1"/>
    <col min="8451" max="8451" width="15.42578125" style="562" customWidth="1"/>
    <col min="8452" max="8452" width="1.28515625" style="562" customWidth="1"/>
    <col min="8453" max="8453" width="28.5703125" style="562" customWidth="1"/>
    <col min="8454" max="8462" width="7" style="562" customWidth="1"/>
    <col min="8463" max="8463" width="6.140625" style="562" customWidth="1"/>
    <col min="8464" max="8704" width="11.42578125" style="562"/>
    <col min="8705" max="8705" width="0.140625" style="562" customWidth="1"/>
    <col min="8706" max="8706" width="2.7109375" style="562" customWidth="1"/>
    <col min="8707" max="8707" width="15.42578125" style="562" customWidth="1"/>
    <col min="8708" max="8708" width="1.28515625" style="562" customWidth="1"/>
    <col min="8709" max="8709" width="28.5703125" style="562" customWidth="1"/>
    <col min="8710" max="8718" width="7" style="562" customWidth="1"/>
    <col min="8719" max="8719" width="6.140625" style="562" customWidth="1"/>
    <col min="8720" max="8960" width="11.42578125" style="562"/>
    <col min="8961" max="8961" width="0.140625" style="562" customWidth="1"/>
    <col min="8962" max="8962" width="2.7109375" style="562" customWidth="1"/>
    <col min="8963" max="8963" width="15.42578125" style="562" customWidth="1"/>
    <col min="8964" max="8964" width="1.28515625" style="562" customWidth="1"/>
    <col min="8965" max="8965" width="28.5703125" style="562" customWidth="1"/>
    <col min="8966" max="8974" width="7" style="562" customWidth="1"/>
    <col min="8975" max="8975" width="6.140625" style="562" customWidth="1"/>
    <col min="8976" max="9216" width="11.42578125" style="562"/>
    <col min="9217" max="9217" width="0.140625" style="562" customWidth="1"/>
    <col min="9218" max="9218" width="2.7109375" style="562" customWidth="1"/>
    <col min="9219" max="9219" width="15.42578125" style="562" customWidth="1"/>
    <col min="9220" max="9220" width="1.28515625" style="562" customWidth="1"/>
    <col min="9221" max="9221" width="28.5703125" style="562" customWidth="1"/>
    <col min="9222" max="9230" width="7" style="562" customWidth="1"/>
    <col min="9231" max="9231" width="6.140625" style="562" customWidth="1"/>
    <col min="9232" max="9472" width="11.42578125" style="562"/>
    <col min="9473" max="9473" width="0.140625" style="562" customWidth="1"/>
    <col min="9474" max="9474" width="2.7109375" style="562" customWidth="1"/>
    <col min="9475" max="9475" width="15.42578125" style="562" customWidth="1"/>
    <col min="9476" max="9476" width="1.28515625" style="562" customWidth="1"/>
    <col min="9477" max="9477" width="28.5703125" style="562" customWidth="1"/>
    <col min="9478" max="9486" width="7" style="562" customWidth="1"/>
    <col min="9487" max="9487" width="6.140625" style="562" customWidth="1"/>
    <col min="9488" max="9728" width="11.42578125" style="562"/>
    <col min="9729" max="9729" width="0.140625" style="562" customWidth="1"/>
    <col min="9730" max="9730" width="2.7109375" style="562" customWidth="1"/>
    <col min="9731" max="9731" width="15.42578125" style="562" customWidth="1"/>
    <col min="9732" max="9732" width="1.28515625" style="562" customWidth="1"/>
    <col min="9733" max="9733" width="28.5703125" style="562" customWidth="1"/>
    <col min="9734" max="9742" width="7" style="562" customWidth="1"/>
    <col min="9743" max="9743" width="6.140625" style="562" customWidth="1"/>
    <col min="9744" max="9984" width="11.42578125" style="562"/>
    <col min="9985" max="9985" width="0.140625" style="562" customWidth="1"/>
    <col min="9986" max="9986" width="2.7109375" style="562" customWidth="1"/>
    <col min="9987" max="9987" width="15.42578125" style="562" customWidth="1"/>
    <col min="9988" max="9988" width="1.28515625" style="562" customWidth="1"/>
    <col min="9989" max="9989" width="28.5703125" style="562" customWidth="1"/>
    <col min="9990" max="9998" width="7" style="562" customWidth="1"/>
    <col min="9999" max="9999" width="6.140625" style="562" customWidth="1"/>
    <col min="10000" max="10240" width="11.42578125" style="562"/>
    <col min="10241" max="10241" width="0.140625" style="562" customWidth="1"/>
    <col min="10242" max="10242" width="2.7109375" style="562" customWidth="1"/>
    <col min="10243" max="10243" width="15.42578125" style="562" customWidth="1"/>
    <col min="10244" max="10244" width="1.28515625" style="562" customWidth="1"/>
    <col min="10245" max="10245" width="28.5703125" style="562" customWidth="1"/>
    <col min="10246" max="10254" width="7" style="562" customWidth="1"/>
    <col min="10255" max="10255" width="6.140625" style="562" customWidth="1"/>
    <col min="10256" max="10496" width="11.42578125" style="562"/>
    <col min="10497" max="10497" width="0.140625" style="562" customWidth="1"/>
    <col min="10498" max="10498" width="2.7109375" style="562" customWidth="1"/>
    <col min="10499" max="10499" width="15.42578125" style="562" customWidth="1"/>
    <col min="10500" max="10500" width="1.28515625" style="562" customWidth="1"/>
    <col min="10501" max="10501" width="28.5703125" style="562" customWidth="1"/>
    <col min="10502" max="10510" width="7" style="562" customWidth="1"/>
    <col min="10511" max="10511" width="6.140625" style="562" customWidth="1"/>
    <col min="10512" max="10752" width="11.42578125" style="562"/>
    <col min="10753" max="10753" width="0.140625" style="562" customWidth="1"/>
    <col min="10754" max="10754" width="2.7109375" style="562" customWidth="1"/>
    <col min="10755" max="10755" width="15.42578125" style="562" customWidth="1"/>
    <col min="10756" max="10756" width="1.28515625" style="562" customWidth="1"/>
    <col min="10757" max="10757" width="28.5703125" style="562" customWidth="1"/>
    <col min="10758" max="10766" width="7" style="562" customWidth="1"/>
    <col min="10767" max="10767" width="6.140625" style="562" customWidth="1"/>
    <col min="10768" max="11008" width="11.42578125" style="562"/>
    <col min="11009" max="11009" width="0.140625" style="562" customWidth="1"/>
    <col min="11010" max="11010" width="2.7109375" style="562" customWidth="1"/>
    <col min="11011" max="11011" width="15.42578125" style="562" customWidth="1"/>
    <col min="11012" max="11012" width="1.28515625" style="562" customWidth="1"/>
    <col min="11013" max="11013" width="28.5703125" style="562" customWidth="1"/>
    <col min="11014" max="11022" width="7" style="562" customWidth="1"/>
    <col min="11023" max="11023" width="6.140625" style="562" customWidth="1"/>
    <col min="11024" max="11264" width="11.42578125" style="562"/>
    <col min="11265" max="11265" width="0.140625" style="562" customWidth="1"/>
    <col min="11266" max="11266" width="2.7109375" style="562" customWidth="1"/>
    <col min="11267" max="11267" width="15.42578125" style="562" customWidth="1"/>
    <col min="11268" max="11268" width="1.28515625" style="562" customWidth="1"/>
    <col min="11269" max="11269" width="28.5703125" style="562" customWidth="1"/>
    <col min="11270" max="11278" width="7" style="562" customWidth="1"/>
    <col min="11279" max="11279" width="6.140625" style="562" customWidth="1"/>
    <col min="11280" max="11520" width="11.42578125" style="562"/>
    <col min="11521" max="11521" width="0.140625" style="562" customWidth="1"/>
    <col min="11522" max="11522" width="2.7109375" style="562" customWidth="1"/>
    <col min="11523" max="11523" width="15.42578125" style="562" customWidth="1"/>
    <col min="11524" max="11524" width="1.28515625" style="562" customWidth="1"/>
    <col min="11525" max="11525" width="28.5703125" style="562" customWidth="1"/>
    <col min="11526" max="11534" width="7" style="562" customWidth="1"/>
    <col min="11535" max="11535" width="6.140625" style="562" customWidth="1"/>
    <col min="11536" max="11776" width="11.42578125" style="562"/>
    <col min="11777" max="11777" width="0.140625" style="562" customWidth="1"/>
    <col min="11778" max="11778" width="2.7109375" style="562" customWidth="1"/>
    <col min="11779" max="11779" width="15.42578125" style="562" customWidth="1"/>
    <col min="11780" max="11780" width="1.28515625" style="562" customWidth="1"/>
    <col min="11781" max="11781" width="28.5703125" style="562" customWidth="1"/>
    <col min="11782" max="11790" width="7" style="562" customWidth="1"/>
    <col min="11791" max="11791" width="6.140625" style="562" customWidth="1"/>
    <col min="11792" max="12032" width="11.42578125" style="562"/>
    <col min="12033" max="12033" width="0.140625" style="562" customWidth="1"/>
    <col min="12034" max="12034" width="2.7109375" style="562" customWidth="1"/>
    <col min="12035" max="12035" width="15.42578125" style="562" customWidth="1"/>
    <col min="12036" max="12036" width="1.28515625" style="562" customWidth="1"/>
    <col min="12037" max="12037" width="28.5703125" style="562" customWidth="1"/>
    <col min="12038" max="12046" width="7" style="562" customWidth="1"/>
    <col min="12047" max="12047" width="6.140625" style="562" customWidth="1"/>
    <col min="12048" max="12288" width="11.42578125" style="562"/>
    <col min="12289" max="12289" width="0.140625" style="562" customWidth="1"/>
    <col min="12290" max="12290" width="2.7109375" style="562" customWidth="1"/>
    <col min="12291" max="12291" width="15.42578125" style="562" customWidth="1"/>
    <col min="12292" max="12292" width="1.28515625" style="562" customWidth="1"/>
    <col min="12293" max="12293" width="28.5703125" style="562" customWidth="1"/>
    <col min="12294" max="12302" width="7" style="562" customWidth="1"/>
    <col min="12303" max="12303" width="6.140625" style="562" customWidth="1"/>
    <col min="12304" max="12544" width="11.42578125" style="562"/>
    <col min="12545" max="12545" width="0.140625" style="562" customWidth="1"/>
    <col min="12546" max="12546" width="2.7109375" style="562" customWidth="1"/>
    <col min="12547" max="12547" width="15.42578125" style="562" customWidth="1"/>
    <col min="12548" max="12548" width="1.28515625" style="562" customWidth="1"/>
    <col min="12549" max="12549" width="28.5703125" style="562" customWidth="1"/>
    <col min="12550" max="12558" width="7" style="562" customWidth="1"/>
    <col min="12559" max="12559" width="6.140625" style="562" customWidth="1"/>
    <col min="12560" max="12800" width="11.42578125" style="562"/>
    <col min="12801" max="12801" width="0.140625" style="562" customWidth="1"/>
    <col min="12802" max="12802" width="2.7109375" style="562" customWidth="1"/>
    <col min="12803" max="12803" width="15.42578125" style="562" customWidth="1"/>
    <col min="12804" max="12804" width="1.28515625" style="562" customWidth="1"/>
    <col min="12805" max="12805" width="28.5703125" style="562" customWidth="1"/>
    <col min="12806" max="12814" width="7" style="562" customWidth="1"/>
    <col min="12815" max="12815" width="6.140625" style="562" customWidth="1"/>
    <col min="12816" max="13056" width="11.42578125" style="562"/>
    <col min="13057" max="13057" width="0.140625" style="562" customWidth="1"/>
    <col min="13058" max="13058" width="2.7109375" style="562" customWidth="1"/>
    <col min="13059" max="13059" width="15.42578125" style="562" customWidth="1"/>
    <col min="13060" max="13060" width="1.28515625" style="562" customWidth="1"/>
    <col min="13061" max="13061" width="28.5703125" style="562" customWidth="1"/>
    <col min="13062" max="13070" width="7" style="562" customWidth="1"/>
    <col min="13071" max="13071" width="6.140625" style="562" customWidth="1"/>
    <col min="13072" max="13312" width="11.42578125" style="562"/>
    <col min="13313" max="13313" width="0.140625" style="562" customWidth="1"/>
    <col min="13314" max="13314" width="2.7109375" style="562" customWidth="1"/>
    <col min="13315" max="13315" width="15.42578125" style="562" customWidth="1"/>
    <col min="13316" max="13316" width="1.28515625" style="562" customWidth="1"/>
    <col min="13317" max="13317" width="28.5703125" style="562" customWidth="1"/>
    <col min="13318" max="13326" width="7" style="562" customWidth="1"/>
    <col min="13327" max="13327" width="6.140625" style="562" customWidth="1"/>
    <col min="13328" max="13568" width="11.42578125" style="562"/>
    <col min="13569" max="13569" width="0.140625" style="562" customWidth="1"/>
    <col min="13570" max="13570" width="2.7109375" style="562" customWidth="1"/>
    <col min="13571" max="13571" width="15.42578125" style="562" customWidth="1"/>
    <col min="13572" max="13572" width="1.28515625" style="562" customWidth="1"/>
    <col min="13573" max="13573" width="28.5703125" style="562" customWidth="1"/>
    <col min="13574" max="13582" width="7" style="562" customWidth="1"/>
    <col min="13583" max="13583" width="6.140625" style="562" customWidth="1"/>
    <col min="13584" max="13824" width="11.42578125" style="562"/>
    <col min="13825" max="13825" width="0.140625" style="562" customWidth="1"/>
    <col min="13826" max="13826" width="2.7109375" style="562" customWidth="1"/>
    <col min="13827" max="13827" width="15.42578125" style="562" customWidth="1"/>
    <col min="13828" max="13828" width="1.28515625" style="562" customWidth="1"/>
    <col min="13829" max="13829" width="28.5703125" style="562" customWidth="1"/>
    <col min="13830" max="13838" width="7" style="562" customWidth="1"/>
    <col min="13839" max="13839" width="6.140625" style="562" customWidth="1"/>
    <col min="13840" max="14080" width="11.42578125" style="562"/>
    <col min="14081" max="14081" width="0.140625" style="562" customWidth="1"/>
    <col min="14082" max="14082" width="2.7109375" style="562" customWidth="1"/>
    <col min="14083" max="14083" width="15.42578125" style="562" customWidth="1"/>
    <col min="14084" max="14084" width="1.28515625" style="562" customWidth="1"/>
    <col min="14085" max="14085" width="28.5703125" style="562" customWidth="1"/>
    <col min="14086" max="14094" width="7" style="562" customWidth="1"/>
    <col min="14095" max="14095" width="6.140625" style="562" customWidth="1"/>
    <col min="14096" max="14336" width="11.42578125" style="562"/>
    <col min="14337" max="14337" width="0.140625" style="562" customWidth="1"/>
    <col min="14338" max="14338" width="2.7109375" style="562" customWidth="1"/>
    <col min="14339" max="14339" width="15.42578125" style="562" customWidth="1"/>
    <col min="14340" max="14340" width="1.28515625" style="562" customWidth="1"/>
    <col min="14341" max="14341" width="28.5703125" style="562" customWidth="1"/>
    <col min="14342" max="14350" width="7" style="562" customWidth="1"/>
    <col min="14351" max="14351" width="6.140625" style="562" customWidth="1"/>
    <col min="14352" max="14592" width="11.42578125" style="562"/>
    <col min="14593" max="14593" width="0.140625" style="562" customWidth="1"/>
    <col min="14594" max="14594" width="2.7109375" style="562" customWidth="1"/>
    <col min="14595" max="14595" width="15.42578125" style="562" customWidth="1"/>
    <col min="14596" max="14596" width="1.28515625" style="562" customWidth="1"/>
    <col min="14597" max="14597" width="28.5703125" style="562" customWidth="1"/>
    <col min="14598" max="14606" width="7" style="562" customWidth="1"/>
    <col min="14607" max="14607" width="6.140625" style="562" customWidth="1"/>
    <col min="14608" max="14848" width="11.42578125" style="562"/>
    <col min="14849" max="14849" width="0.140625" style="562" customWidth="1"/>
    <col min="14850" max="14850" width="2.7109375" style="562" customWidth="1"/>
    <col min="14851" max="14851" width="15.42578125" style="562" customWidth="1"/>
    <col min="14852" max="14852" width="1.28515625" style="562" customWidth="1"/>
    <col min="14853" max="14853" width="28.5703125" style="562" customWidth="1"/>
    <col min="14854" max="14862" width="7" style="562" customWidth="1"/>
    <col min="14863" max="14863" width="6.140625" style="562" customWidth="1"/>
    <col min="14864" max="15104" width="11.42578125" style="562"/>
    <col min="15105" max="15105" width="0.140625" style="562" customWidth="1"/>
    <col min="15106" max="15106" width="2.7109375" style="562" customWidth="1"/>
    <col min="15107" max="15107" width="15.42578125" style="562" customWidth="1"/>
    <col min="15108" max="15108" width="1.28515625" style="562" customWidth="1"/>
    <col min="15109" max="15109" width="28.5703125" style="562" customWidth="1"/>
    <col min="15110" max="15118" width="7" style="562" customWidth="1"/>
    <col min="15119" max="15119" width="6.140625" style="562" customWidth="1"/>
    <col min="15120" max="15360" width="11.42578125" style="562"/>
    <col min="15361" max="15361" width="0.140625" style="562" customWidth="1"/>
    <col min="15362" max="15362" width="2.7109375" style="562" customWidth="1"/>
    <col min="15363" max="15363" width="15.42578125" style="562" customWidth="1"/>
    <col min="15364" max="15364" width="1.28515625" style="562" customWidth="1"/>
    <col min="15365" max="15365" width="28.5703125" style="562" customWidth="1"/>
    <col min="15366" max="15374" width="7" style="562" customWidth="1"/>
    <col min="15375" max="15375" width="6.140625" style="562" customWidth="1"/>
    <col min="15376" max="15616" width="11.42578125" style="562"/>
    <col min="15617" max="15617" width="0.140625" style="562" customWidth="1"/>
    <col min="15618" max="15618" width="2.7109375" style="562" customWidth="1"/>
    <col min="15619" max="15619" width="15.42578125" style="562" customWidth="1"/>
    <col min="15620" max="15620" width="1.28515625" style="562" customWidth="1"/>
    <col min="15621" max="15621" width="28.5703125" style="562" customWidth="1"/>
    <col min="15622" max="15630" width="7" style="562" customWidth="1"/>
    <col min="15631" max="15631" width="6.140625" style="562" customWidth="1"/>
    <col min="15632" max="15872" width="11.42578125" style="562"/>
    <col min="15873" max="15873" width="0.140625" style="562" customWidth="1"/>
    <col min="15874" max="15874" width="2.7109375" style="562" customWidth="1"/>
    <col min="15875" max="15875" width="15.42578125" style="562" customWidth="1"/>
    <col min="15876" max="15876" width="1.28515625" style="562" customWidth="1"/>
    <col min="15877" max="15877" width="28.5703125" style="562" customWidth="1"/>
    <col min="15878" max="15886" width="7" style="562" customWidth="1"/>
    <col min="15887" max="15887" width="6.140625" style="562" customWidth="1"/>
    <col min="15888" max="16128" width="11.42578125" style="562"/>
    <col min="16129" max="16129" width="0.140625" style="562" customWidth="1"/>
    <col min="16130" max="16130" width="2.7109375" style="562" customWidth="1"/>
    <col min="16131" max="16131" width="15.42578125" style="562" customWidth="1"/>
    <col min="16132" max="16132" width="1.28515625" style="562" customWidth="1"/>
    <col min="16133" max="16133" width="28.5703125" style="562" customWidth="1"/>
    <col min="16134" max="16142" width="7" style="562" customWidth="1"/>
    <col min="16143" max="16143" width="6.140625" style="562" customWidth="1"/>
    <col min="16144" max="16384" width="11.42578125" style="562"/>
  </cols>
  <sheetData>
    <row r="1" spans="3:23" ht="0.75" customHeight="1"/>
    <row r="2" spans="3:23" ht="21" customHeight="1">
      <c r="O2" s="437" t="s">
        <v>87</v>
      </c>
    </row>
    <row r="3" spans="3:23" ht="15" customHeight="1">
      <c r="O3" s="437" t="s">
        <v>119</v>
      </c>
    </row>
    <row r="4" spans="3:23" ht="20.25" customHeight="1">
      <c r="C4" s="9" t="s">
        <v>318</v>
      </c>
    </row>
    <row r="5" spans="3:23" ht="12.75" customHeight="1"/>
    <row r="6" spans="3:23" ht="13.5" customHeight="1"/>
    <row r="7" spans="3:23" ht="12.75" customHeight="1">
      <c r="C7" s="608" t="s">
        <v>429</v>
      </c>
      <c r="E7" s="535"/>
      <c r="F7" s="632" t="s">
        <v>317</v>
      </c>
      <c r="G7" s="633"/>
      <c r="H7" s="632" t="s">
        <v>36</v>
      </c>
      <c r="I7" s="633"/>
      <c r="J7" s="632" t="s">
        <v>418</v>
      </c>
      <c r="K7" s="633"/>
      <c r="L7" s="632" t="s">
        <v>39</v>
      </c>
      <c r="M7" s="633"/>
      <c r="N7" s="632" t="s">
        <v>32</v>
      </c>
      <c r="O7" s="633"/>
      <c r="Q7" s="116"/>
      <c r="R7" s="116"/>
      <c r="S7" s="116"/>
      <c r="T7" s="116"/>
      <c r="U7" s="116"/>
      <c r="V7" s="116"/>
      <c r="W7" s="116"/>
    </row>
    <row r="8" spans="3:23" ht="12.75">
      <c r="C8" s="608"/>
      <c r="E8" s="536"/>
      <c r="F8" s="537" t="s">
        <v>31</v>
      </c>
      <c r="G8" s="492" t="s">
        <v>320</v>
      </c>
      <c r="H8" s="537" t="s">
        <v>31</v>
      </c>
      <c r="I8" s="492" t="s">
        <v>320</v>
      </c>
      <c r="J8" s="537" t="s">
        <v>31</v>
      </c>
      <c r="K8" s="492" t="s">
        <v>320</v>
      </c>
      <c r="L8" s="537" t="s">
        <v>31</v>
      </c>
      <c r="M8" s="492" t="s">
        <v>320</v>
      </c>
      <c r="N8" s="537" t="s">
        <v>31</v>
      </c>
      <c r="O8" s="492" t="s">
        <v>320</v>
      </c>
      <c r="Q8" s="116"/>
      <c r="R8" s="116"/>
      <c r="S8" s="116"/>
      <c r="T8" s="116"/>
      <c r="U8" s="116"/>
      <c r="V8" s="116"/>
      <c r="W8" s="116"/>
    </row>
    <row r="9" spans="3:23" ht="12.75" customHeight="1">
      <c r="C9" s="608"/>
      <c r="E9" s="55" t="s">
        <v>26</v>
      </c>
      <c r="F9" s="453" t="s">
        <v>0</v>
      </c>
      <c r="G9" s="539" t="s">
        <v>0</v>
      </c>
      <c r="H9" s="453">
        <f>'Data 5'!H120</f>
        <v>2.02</v>
      </c>
      <c r="I9" s="539">
        <f>'Data 5'!I120</f>
        <v>0</v>
      </c>
      <c r="J9" s="453" t="s">
        <v>0</v>
      </c>
      <c r="K9" s="539" t="s">
        <v>0</v>
      </c>
      <c r="L9" s="453" t="s">
        <v>0</v>
      </c>
      <c r="M9" s="539" t="s">
        <v>0</v>
      </c>
      <c r="N9" s="453">
        <f>'Data 5'!H154</f>
        <v>2.02</v>
      </c>
      <c r="O9" s="539">
        <f>'Data 5'!I154</f>
        <v>0</v>
      </c>
      <c r="P9" s="572"/>
      <c r="Q9" s="572"/>
      <c r="R9" s="532"/>
      <c r="S9" s="116"/>
      <c r="T9" s="116"/>
      <c r="U9" s="116"/>
      <c r="V9" s="116"/>
      <c r="W9" s="116"/>
    </row>
    <row r="10" spans="3:23" ht="12.75" customHeight="1">
      <c r="C10" s="15"/>
      <c r="E10" s="55" t="s">
        <v>28</v>
      </c>
      <c r="F10" s="453">
        <f>'Data 5'!H104</f>
        <v>468.4</v>
      </c>
      <c r="G10" s="539">
        <f>'Data 5'!I104</f>
        <v>0</v>
      </c>
      <c r="H10" s="453" t="s">
        <v>0</v>
      </c>
      <c r="I10" s="539" t="s">
        <v>0</v>
      </c>
      <c r="J10" s="453" t="s">
        <v>0</v>
      </c>
      <c r="K10" s="539" t="s">
        <v>0</v>
      </c>
      <c r="L10" s="453" t="s">
        <v>0</v>
      </c>
      <c r="M10" s="539" t="s">
        <v>0</v>
      </c>
      <c r="N10" s="453">
        <f>'Data 5'!H155</f>
        <v>468.4</v>
      </c>
      <c r="O10" s="539">
        <f>'Data 5'!I155</f>
        <v>0</v>
      </c>
      <c r="P10" s="572"/>
      <c r="Q10" s="572"/>
      <c r="R10" s="532"/>
      <c r="T10" s="563"/>
      <c r="U10" s="564"/>
    </row>
    <row r="11" spans="3:23" ht="12.75" customHeight="1">
      <c r="C11" s="15"/>
      <c r="D11" s="116"/>
      <c r="E11" s="392" t="s">
        <v>419</v>
      </c>
      <c r="F11" s="393">
        <f>'Data 5'!H105</f>
        <v>182</v>
      </c>
      <c r="G11" s="394">
        <f>'Data 5'!I105</f>
        <v>0</v>
      </c>
      <c r="H11" s="393">
        <f>'Data 5'!H121</f>
        <v>495.92</v>
      </c>
      <c r="I11" s="394">
        <f>'Data 5'!I121</f>
        <v>-2.2204460492503131E-14</v>
      </c>
      <c r="J11" s="393">
        <f>'Data 5'!H136</f>
        <v>77.52</v>
      </c>
      <c r="K11" s="394">
        <f>'Data 5'!I136</f>
        <v>0</v>
      </c>
      <c r="L11" s="393">
        <f>'Data 5'!H143</f>
        <v>64.64</v>
      </c>
      <c r="M11" s="394">
        <f>'Data 5'!I143</f>
        <v>0</v>
      </c>
      <c r="N11" s="393">
        <f>'Data 5'!H156</f>
        <v>820.08</v>
      </c>
      <c r="O11" s="394">
        <f>'Data 5'!I156</f>
        <v>0</v>
      </c>
      <c r="Q11" s="574"/>
      <c r="S11" s="565"/>
      <c r="T11" s="566"/>
      <c r="U11" s="567"/>
      <c r="V11" s="565"/>
      <c r="W11" s="565"/>
    </row>
    <row r="12" spans="3:23" ht="12.75" customHeight="1">
      <c r="C12" s="116"/>
      <c r="D12" s="116"/>
      <c r="E12" s="392" t="s">
        <v>49</v>
      </c>
      <c r="F12" s="393">
        <f>'Data 5'!H106</f>
        <v>605.4</v>
      </c>
      <c r="G12" s="394">
        <f>'Data 5'!I106</f>
        <v>0</v>
      </c>
      <c r="H12" s="393">
        <f>'Data 5'!H122</f>
        <v>557.1400000000001</v>
      </c>
      <c r="I12" s="394">
        <f>'Data 5'!I122</f>
        <v>0</v>
      </c>
      <c r="J12" s="393">
        <f>'Data 5'!H137</f>
        <v>13.3</v>
      </c>
      <c r="K12" s="394">
        <f>'Data 5'!I137</f>
        <v>0</v>
      </c>
      <c r="L12" s="393">
        <f>'Data 5'!H144</f>
        <v>11.5</v>
      </c>
      <c r="M12" s="394">
        <f>'Data 5'!I144</f>
        <v>0</v>
      </c>
      <c r="N12" s="393">
        <f>'Data 5'!H157</f>
        <v>1187.3399999999999</v>
      </c>
      <c r="O12" s="394">
        <f>'Data 5'!I157</f>
        <v>0</v>
      </c>
      <c r="Q12" s="574"/>
      <c r="T12" s="563"/>
      <c r="U12" s="564"/>
    </row>
    <row r="13" spans="3:23" ht="12.75" customHeight="1">
      <c r="C13" s="15"/>
      <c r="D13" s="116"/>
      <c r="E13" s="392" t="s">
        <v>53</v>
      </c>
      <c r="F13" s="393" t="s">
        <v>0</v>
      </c>
      <c r="G13" s="394" t="s">
        <v>0</v>
      </c>
      <c r="H13" s="393">
        <f>'Data 5'!H123</f>
        <v>482.64</v>
      </c>
      <c r="I13" s="394">
        <f>'Data 5'!I123</f>
        <v>0</v>
      </c>
      <c r="J13" s="393" t="s">
        <v>0</v>
      </c>
      <c r="K13" s="394" t="s">
        <v>0</v>
      </c>
      <c r="L13" s="393" t="s">
        <v>0</v>
      </c>
      <c r="M13" s="394" t="s">
        <v>0</v>
      </c>
      <c r="N13" s="393">
        <f>'Data 5'!H158</f>
        <v>482.64</v>
      </c>
      <c r="O13" s="394">
        <f>'Data 5'!I158</f>
        <v>0</v>
      </c>
      <c r="Q13" s="574"/>
      <c r="T13" s="563"/>
      <c r="U13" s="564"/>
    </row>
    <row r="14" spans="3:23" ht="12.75" customHeight="1">
      <c r="C14" s="15"/>
      <c r="D14" s="116"/>
      <c r="E14" s="55" t="s">
        <v>45</v>
      </c>
      <c r="F14" s="453">
        <f>'Data 5'!H107</f>
        <v>787.4</v>
      </c>
      <c r="G14" s="539">
        <f>'Data 5'!I107</f>
        <v>0</v>
      </c>
      <c r="H14" s="453">
        <f>'Data 5'!H124</f>
        <v>1535.7000000000003</v>
      </c>
      <c r="I14" s="539">
        <f>'Data 5'!I124</f>
        <v>0</v>
      </c>
      <c r="J14" s="453">
        <f>'Data 5'!H138</f>
        <v>90.82</v>
      </c>
      <c r="K14" s="539">
        <f>'Data 5'!I138</f>
        <v>0</v>
      </c>
      <c r="L14" s="453">
        <f>'Data 5'!H145</f>
        <v>76.14</v>
      </c>
      <c r="M14" s="539">
        <f>'Data 5'!I145</f>
        <v>0</v>
      </c>
      <c r="N14" s="453">
        <f>'Data 5'!H159</f>
        <v>2490.06</v>
      </c>
      <c r="O14" s="539">
        <f>'Data 5'!I159</f>
        <v>0</v>
      </c>
      <c r="P14" s="572"/>
      <c r="Q14" s="572"/>
      <c r="R14" s="532"/>
      <c r="T14" s="563"/>
      <c r="U14" s="564"/>
    </row>
    <row r="15" spans="3:23" ht="12.75" customHeight="1">
      <c r="C15" s="15"/>
      <c r="D15" s="116"/>
      <c r="E15" s="55" t="s">
        <v>44</v>
      </c>
      <c r="F15" s="453">
        <f>'Data 5'!H108</f>
        <v>857.95</v>
      </c>
      <c r="G15" s="539">
        <f>'Data 5'!I108</f>
        <v>0</v>
      </c>
      <c r="H15" s="453">
        <f>'Data 5'!H125</f>
        <v>864.2</v>
      </c>
      <c r="I15" s="539">
        <f>'Data 5'!I125</f>
        <v>0</v>
      </c>
      <c r="J15" s="453" t="s">
        <v>0</v>
      </c>
      <c r="K15" s="539" t="s">
        <v>0</v>
      </c>
      <c r="L15" s="453" t="s">
        <v>0</v>
      </c>
      <c r="M15" s="539" t="s">
        <v>0</v>
      </c>
      <c r="N15" s="453">
        <f>'Data 5'!H160</f>
        <v>1722.15</v>
      </c>
      <c r="O15" s="539">
        <f>'Data 5'!I160</f>
        <v>0</v>
      </c>
      <c r="P15" s="572"/>
      <c r="Q15" s="572"/>
      <c r="R15" s="532"/>
      <c r="T15" s="563"/>
      <c r="U15" s="564"/>
    </row>
    <row r="16" spans="3:23" ht="12.75" customHeight="1">
      <c r="C16" s="15"/>
      <c r="D16" s="116"/>
      <c r="E16" s="55" t="s">
        <v>420</v>
      </c>
      <c r="F16" s="453" t="str">
        <f>'Data 5'!H109</f>
        <v>-</v>
      </c>
      <c r="G16" s="539" t="str">
        <f>'Data 5'!I109</f>
        <v>-</v>
      </c>
      <c r="H16" s="453" t="str">
        <f>'Data 5'!H126</f>
        <v>-</v>
      </c>
      <c r="I16" s="539" t="s">
        <v>0</v>
      </c>
      <c r="J16" s="453" t="s">
        <v>0</v>
      </c>
      <c r="K16" s="539" t="s">
        <v>0</v>
      </c>
      <c r="L16" s="453" t="s">
        <v>0</v>
      </c>
      <c r="M16" s="539" t="s">
        <v>0</v>
      </c>
      <c r="N16" s="453" t="str">
        <f>IF('Data 5'!H161=0,"-",'Data 5'!H161)</f>
        <v>-</v>
      </c>
      <c r="O16" s="539" t="str">
        <f>'Data 5'!I161</f>
        <v>-</v>
      </c>
      <c r="Q16" s="574"/>
      <c r="T16" s="563"/>
      <c r="U16" s="564"/>
    </row>
    <row r="17" spans="3:21" ht="12.75" customHeight="1">
      <c r="C17" s="15"/>
      <c r="D17" s="116"/>
      <c r="E17" s="55" t="s">
        <v>69</v>
      </c>
      <c r="F17" s="453" t="s">
        <v>0</v>
      </c>
      <c r="G17" s="539" t="s">
        <v>0</v>
      </c>
      <c r="H17" s="453">
        <f>'Data 5'!H127</f>
        <v>11.39</v>
      </c>
      <c r="I17" s="539">
        <f>'Data 5'!I127</f>
        <v>0</v>
      </c>
      <c r="J17" s="453" t="s">
        <v>0</v>
      </c>
      <c r="K17" s="539" t="s">
        <v>0</v>
      </c>
      <c r="L17" s="453" t="s">
        <v>0</v>
      </c>
      <c r="M17" s="539" t="s">
        <v>0</v>
      </c>
      <c r="N17" s="453">
        <f>'Data 5'!H162</f>
        <v>11.39</v>
      </c>
      <c r="O17" s="539" t="str">
        <f>IF('Data 5'!I162=0,"-",'Data 5'!I162)</f>
        <v>-</v>
      </c>
      <c r="P17" s="572"/>
      <c r="Q17" s="572"/>
      <c r="R17" s="532"/>
      <c r="T17" s="563"/>
      <c r="U17" s="564"/>
    </row>
    <row r="18" spans="3:21" ht="12.75" customHeight="1">
      <c r="C18" s="116"/>
      <c r="D18" s="116"/>
      <c r="E18" s="568" t="s">
        <v>50</v>
      </c>
      <c r="F18" s="453">
        <f>'Data 5'!H110</f>
        <v>3.6374999999999909</v>
      </c>
      <c r="G18" s="539">
        <f>'Data 5'!I110</f>
        <v>-0.27416038382452879</v>
      </c>
      <c r="H18" s="453">
        <f>'Data 5'!H128</f>
        <v>421.71499999999997</v>
      </c>
      <c r="I18" s="539">
        <f>'Data 5'!I128</f>
        <v>103.82551957467379</v>
      </c>
      <c r="J18" s="453" t="s">
        <v>0</v>
      </c>
      <c r="K18" s="539" t="s">
        <v>0</v>
      </c>
      <c r="L18" s="453" t="s">
        <v>0</v>
      </c>
      <c r="M18" s="539" t="s">
        <v>0</v>
      </c>
      <c r="N18" s="453">
        <f>'Data 5'!H163</f>
        <v>425.35249999999996</v>
      </c>
      <c r="O18" s="539">
        <f>'Data 5'!I163</f>
        <v>102.02210902527939</v>
      </c>
      <c r="P18" s="572"/>
      <c r="Q18" s="572"/>
      <c r="R18" s="532"/>
      <c r="T18" s="563"/>
      <c r="U18" s="564"/>
    </row>
    <row r="19" spans="3:21" ht="12.75" customHeight="1">
      <c r="C19" s="116"/>
      <c r="D19" s="116"/>
      <c r="E19" s="568" t="s">
        <v>51</v>
      </c>
      <c r="F19" s="453">
        <f>'Data 5'!H111</f>
        <v>80.225044999999852</v>
      </c>
      <c r="G19" s="539">
        <f>'Data 5'!I111</f>
        <v>0.1835208721587378</v>
      </c>
      <c r="H19" s="453">
        <f>'Data 5'!H129</f>
        <v>167.32556999999963</v>
      </c>
      <c r="I19" s="539">
        <f>'Data 5'!I129</f>
        <v>0</v>
      </c>
      <c r="J19" s="453" t="s">
        <v>0</v>
      </c>
      <c r="K19" s="539" t="s">
        <v>0</v>
      </c>
      <c r="L19" s="539">
        <f>'Data 5'!H146</f>
        <v>5.9700000000000003E-2</v>
      </c>
      <c r="M19" s="539">
        <f>'Data 5'!I146</f>
        <v>0</v>
      </c>
      <c r="N19" s="453">
        <f>'Data 5'!H164</f>
        <v>247.61031499999947</v>
      </c>
      <c r="O19" s="539">
        <f>'Data 5'!I164</f>
        <v>5.9386570589414767E-2</v>
      </c>
      <c r="P19" s="572"/>
      <c r="Q19" s="572"/>
      <c r="R19" s="532"/>
      <c r="T19" s="563"/>
      <c r="U19" s="564"/>
    </row>
    <row r="20" spans="3:21" ht="12.75" customHeight="1">
      <c r="C20" s="116"/>
      <c r="D20" s="116"/>
      <c r="E20" s="568" t="s">
        <v>421</v>
      </c>
      <c r="F20" s="453">
        <f>'Data 5'!H112</f>
        <v>2.13</v>
      </c>
      <c r="G20" s="539">
        <f>'Data 5'!I112</f>
        <v>0</v>
      </c>
      <c r="H20" s="453">
        <f>'Data 5'!H130</f>
        <v>3.6960000000000002</v>
      </c>
      <c r="I20" s="539">
        <f>'Data 5'!I130</f>
        <v>0</v>
      </c>
      <c r="J20" s="453" t="s">
        <v>0</v>
      </c>
      <c r="K20" s="539" t="s">
        <v>0</v>
      </c>
      <c r="L20" s="453" t="s">
        <v>0</v>
      </c>
      <c r="M20" s="539" t="s">
        <v>0</v>
      </c>
      <c r="N20" s="453">
        <f>'Data 5'!H165</f>
        <v>5.8260000000000005</v>
      </c>
      <c r="O20" s="539">
        <f>'Data 5'!I165</f>
        <v>0</v>
      </c>
      <c r="P20" s="572"/>
      <c r="Q20" s="572"/>
      <c r="R20" s="532"/>
      <c r="T20" s="563"/>
      <c r="U20" s="564"/>
    </row>
    <row r="21" spans="3:21" ht="12.75" customHeight="1">
      <c r="C21" s="116"/>
      <c r="D21" s="116"/>
      <c r="E21" s="568" t="s">
        <v>74</v>
      </c>
      <c r="F21" s="453">
        <f>'Data 5'!H113</f>
        <v>10.486999999999998</v>
      </c>
      <c r="G21" s="539">
        <f>'Data 5'!I113</f>
        <v>0</v>
      </c>
      <c r="H21" s="453" t="str">
        <f>'Data 5'!H131</f>
        <v>-</v>
      </c>
      <c r="I21" s="539" t="s">
        <v>0</v>
      </c>
      <c r="J21" s="453" t="s">
        <v>0</v>
      </c>
      <c r="K21" s="539" t="s">
        <v>0</v>
      </c>
      <c r="L21" s="453" t="str">
        <f>'Data 5'!H149</f>
        <v>-</v>
      </c>
      <c r="M21" s="539" t="s">
        <v>0</v>
      </c>
      <c r="N21" s="453">
        <f>'Data 5'!H166</f>
        <v>10.486999999999998</v>
      </c>
      <c r="O21" s="539">
        <f>'Data 5'!I166</f>
        <v>0</v>
      </c>
      <c r="P21" s="572"/>
      <c r="Q21" s="572"/>
      <c r="R21" s="532"/>
      <c r="T21" s="563"/>
      <c r="U21" s="564"/>
    </row>
    <row r="22" spans="3:21" ht="12.75" customHeight="1">
      <c r="C22" s="116"/>
      <c r="D22" s="116"/>
      <c r="E22" s="546" t="s">
        <v>96</v>
      </c>
      <c r="F22" s="453">
        <f>'Data 5'!H114</f>
        <v>37.400000000000006</v>
      </c>
      <c r="G22" s="539">
        <f>'Data 5'!I114</f>
        <v>0</v>
      </c>
      <c r="H22" s="453" t="s">
        <v>0</v>
      </c>
      <c r="I22" s="539" t="s">
        <v>0</v>
      </c>
      <c r="J22" s="453" t="s">
        <v>0</v>
      </c>
      <c r="K22" s="539" t="s">
        <v>0</v>
      </c>
      <c r="L22" s="453">
        <f>'Data 5'!H147</f>
        <v>1.0840000000000001</v>
      </c>
      <c r="M22" s="539">
        <f>'Data 5'!I147</f>
        <v>0</v>
      </c>
      <c r="N22" s="453">
        <f>'Data 5'!H167</f>
        <v>38.484000000000009</v>
      </c>
      <c r="O22" s="539">
        <f>'Data 5'!I167</f>
        <v>0</v>
      </c>
      <c r="P22" s="572"/>
      <c r="Q22" s="572"/>
      <c r="R22" s="532"/>
      <c r="T22" s="563"/>
      <c r="U22" s="564"/>
    </row>
    <row r="23" spans="3:21" ht="12.75" customHeight="1">
      <c r="C23" s="116"/>
      <c r="D23" s="116"/>
      <c r="E23" s="546" t="s">
        <v>97</v>
      </c>
      <c r="F23" s="453">
        <f>'Data 5'!H115</f>
        <v>37.400000000000006</v>
      </c>
      <c r="G23" s="539">
        <f>'Data 5'!I115</f>
        <v>0</v>
      </c>
      <c r="H23" s="453" t="s">
        <v>0</v>
      </c>
      <c r="I23" s="539" t="s">
        <v>0</v>
      </c>
      <c r="J23" s="453" t="s">
        <v>0</v>
      </c>
      <c r="K23" s="539" t="s">
        <v>0</v>
      </c>
      <c r="L23" s="453">
        <f>'Data 5'!H148</f>
        <v>1.0840000000000001</v>
      </c>
      <c r="M23" s="539">
        <f>'Data 5'!I148</f>
        <v>0</v>
      </c>
      <c r="N23" s="453">
        <f>'Data 5'!H168</f>
        <v>38.484000000000009</v>
      </c>
      <c r="O23" s="539">
        <f>'Data 5'!I168</f>
        <v>0</v>
      </c>
      <c r="P23" s="572"/>
      <c r="Q23" s="572"/>
      <c r="R23" s="532"/>
      <c r="T23" s="563"/>
      <c r="U23" s="564"/>
    </row>
    <row r="24" spans="3:21" ht="16.149999999999999" customHeight="1">
      <c r="C24" s="116"/>
      <c r="D24" s="116"/>
      <c r="E24" s="59" t="s">
        <v>32</v>
      </c>
      <c r="F24" s="317">
        <f>SUM(F9:F10,F14:F23)</f>
        <v>2285.0295449999999</v>
      </c>
      <c r="G24" s="521">
        <f>'Data 5'!I116</f>
        <v>5.9941548630648711E-3</v>
      </c>
      <c r="H24" s="317">
        <f>SUM(H9:H10,H14:H23)</f>
        <v>3006.0465699999995</v>
      </c>
      <c r="I24" s="521">
        <f>'Data 5'!I132</f>
        <v>7.6960651458954477</v>
      </c>
      <c r="J24" s="317">
        <f>SUM(J9:J10,J14:J23)</f>
        <v>90.82</v>
      </c>
      <c r="K24" s="521">
        <f>'Data 5'!I139</f>
        <v>0</v>
      </c>
      <c r="L24" s="317">
        <f>SUM(L9:L10,L14:L23)</f>
        <v>78.367700000000013</v>
      </c>
      <c r="M24" s="521">
        <f>'Data 5'!I150</f>
        <v>0</v>
      </c>
      <c r="N24" s="317">
        <f>SUM(N9:N10,N14:N23)</f>
        <v>5460.2638150000012</v>
      </c>
      <c r="O24" s="521">
        <f>'Data 5'!I169</f>
        <v>4.0979824639997497</v>
      </c>
      <c r="P24" s="573"/>
      <c r="Q24" s="573"/>
      <c r="R24" s="532"/>
    </row>
    <row r="25" spans="3:21" ht="12.75" customHeight="1">
      <c r="E25" s="636" t="s">
        <v>422</v>
      </c>
      <c r="F25" s="636"/>
      <c r="G25" s="636"/>
      <c r="H25" s="636"/>
      <c r="I25" s="636"/>
      <c r="J25" s="636"/>
      <c r="K25" s="636"/>
      <c r="L25" s="636"/>
      <c r="M25" s="636"/>
      <c r="N25" s="636"/>
      <c r="O25" s="636"/>
    </row>
    <row r="26" spans="3:21" ht="12.75" customHeight="1">
      <c r="E26" s="637" t="s">
        <v>423</v>
      </c>
      <c r="F26" s="637"/>
      <c r="G26" s="637"/>
      <c r="H26" s="637"/>
      <c r="I26" s="637"/>
      <c r="J26" s="637"/>
      <c r="K26" s="637"/>
      <c r="L26" s="637"/>
      <c r="M26" s="637"/>
      <c r="N26" s="637"/>
      <c r="O26" s="637"/>
    </row>
    <row r="27" spans="3:21" ht="12.75"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3:21" ht="12.75"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  <row r="29" spans="3:21" ht="12.75">
      <c r="L29" s="116"/>
      <c r="M29" s="116"/>
      <c r="N29" s="116"/>
    </row>
    <row r="30" spans="3:21" ht="12.75">
      <c r="L30" s="116"/>
      <c r="M30" s="116"/>
      <c r="N30" s="116"/>
    </row>
    <row r="31" spans="3:21" ht="12.75">
      <c r="L31" s="116"/>
      <c r="M31" s="116"/>
      <c r="N31" s="116"/>
    </row>
    <row r="32" spans="3:21">
      <c r="C32" s="569"/>
      <c r="D32" s="565"/>
      <c r="O32" s="565"/>
    </row>
    <row r="33" spans="12:14">
      <c r="L33" s="565"/>
      <c r="M33" s="565"/>
      <c r="N33" s="565"/>
    </row>
  </sheetData>
  <mergeCells count="8">
    <mergeCell ref="E25:O25"/>
    <mergeCell ref="E26:O26"/>
    <mergeCell ref="C7:C9"/>
    <mergeCell ref="F7:G7"/>
    <mergeCell ref="H7:I7"/>
    <mergeCell ref="J7:K7"/>
    <mergeCell ref="L7:M7"/>
    <mergeCell ref="N7:O7"/>
  </mergeCells>
  <hyperlinks>
    <hyperlink ref="C4" location="Indice!A1" display="Sistemas no peninsulares"/>
  </hyperlinks>
  <printOptions horizontalCentered="1" verticalCentered="1"/>
  <pageMargins left="0.39370078740157483" right="0.75" top="0.39370078740157483" bottom="1" header="0" footer="0"/>
  <pageSetup paperSize="9" orientation="landscape" r:id="rId1"/>
  <headerFooter alignWithMargins="0"/>
  <ignoredErrors>
    <ignoredError sqref="G24 I24 K24 M24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7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10" width="11.42578125" style="167" customWidth="1"/>
    <col min="11" max="12" width="11.42578125" style="167"/>
    <col min="13" max="13" width="11.42578125" style="167" customWidth="1"/>
    <col min="14" max="16384" width="11.42578125" style="167"/>
  </cols>
  <sheetData>
    <row r="1" spans="3:13" ht="0.6" customHeight="1"/>
    <row r="2" spans="3:13" ht="21" customHeight="1">
      <c r="M2" s="337" t="s">
        <v>87</v>
      </c>
    </row>
    <row r="3" spans="3:13" ht="15" customHeight="1">
      <c r="M3" s="337" t="s">
        <v>119</v>
      </c>
    </row>
    <row r="4" spans="3:13" ht="19.899999999999999" customHeight="1">
      <c r="C4" s="9" t="s">
        <v>318</v>
      </c>
    </row>
    <row r="5" spans="3:13" ht="12.6" customHeight="1"/>
    <row r="7" spans="3:13" ht="12.75" customHeight="1">
      <c r="C7" s="624" t="s">
        <v>376</v>
      </c>
      <c r="E7" s="169"/>
      <c r="F7" s="638" t="s">
        <v>317</v>
      </c>
      <c r="G7" s="638"/>
      <c r="H7" s="638" t="s">
        <v>36</v>
      </c>
      <c r="I7" s="638"/>
      <c r="J7" s="638" t="s">
        <v>42</v>
      </c>
      <c r="K7" s="638"/>
      <c r="L7" s="639" t="s">
        <v>39</v>
      </c>
      <c r="M7" s="639"/>
    </row>
    <row r="8" spans="3:13">
      <c r="C8" s="624"/>
      <c r="E8" s="170"/>
      <c r="F8" s="171" t="s">
        <v>1</v>
      </c>
      <c r="G8" s="171" t="s">
        <v>138</v>
      </c>
      <c r="H8" s="171" t="s">
        <v>1</v>
      </c>
      <c r="I8" s="171" t="s">
        <v>138</v>
      </c>
      <c r="J8" s="171" t="s">
        <v>1</v>
      </c>
      <c r="K8" s="171" t="s">
        <v>138</v>
      </c>
      <c r="L8" s="171" t="s">
        <v>1</v>
      </c>
      <c r="M8" s="171" t="s">
        <v>138</v>
      </c>
    </row>
    <row r="9" spans="3:13">
      <c r="C9" s="179"/>
      <c r="E9" s="28">
        <v>2014</v>
      </c>
      <c r="F9" s="342">
        <f>'Data 5'!D21</f>
        <v>5577.4774850000013</v>
      </c>
      <c r="G9" s="402">
        <v>-1.5775032119824006</v>
      </c>
      <c r="H9" s="342">
        <f>'Data 5'!D38</f>
        <v>8495.1168259999995</v>
      </c>
      <c r="I9" s="402">
        <v>-0.13168015884179596</v>
      </c>
      <c r="J9" s="342">
        <f>'Data 5'!D46</f>
        <v>212.24515700000001</v>
      </c>
      <c r="K9" s="402">
        <v>5.0901023982207638</v>
      </c>
      <c r="L9" s="342">
        <f>'Data 5'!D58</f>
        <v>209.79891500000005</v>
      </c>
      <c r="M9" s="402">
        <v>6.1102928972478487E-2</v>
      </c>
    </row>
    <row r="10" spans="3:13">
      <c r="E10" s="28">
        <v>2015</v>
      </c>
      <c r="F10" s="342">
        <f>'Data 5'!E21</f>
        <v>5787.9691429999984</v>
      </c>
      <c r="G10" s="402">
        <f>((F10/F9)-1)*100</f>
        <v>3.7739580046013854</v>
      </c>
      <c r="H10" s="342">
        <f>'Data 5'!E38</f>
        <v>8633.2133389999981</v>
      </c>
      <c r="I10" s="402">
        <f>((H10/H9)-1)*100</f>
        <v>1.6255987507710623</v>
      </c>
      <c r="J10" s="342">
        <f>'Data 5'!E46</f>
        <v>204.02309000000002</v>
      </c>
      <c r="K10" s="402">
        <f>((J10/J9)-1)*100</f>
        <v>-3.8738537624205871</v>
      </c>
      <c r="L10" s="342">
        <f>'Data 5'!E58</f>
        <v>213.20155599999998</v>
      </c>
      <c r="M10" s="402">
        <f>((L10/L9)-1)*100</f>
        <v>1.621858244595753</v>
      </c>
    </row>
    <row r="11" spans="3:13">
      <c r="E11" s="28">
        <v>2016</v>
      </c>
      <c r="F11" s="342">
        <f>'Data 5'!F21</f>
        <v>5823.1906910000007</v>
      </c>
      <c r="G11" s="402">
        <f t="shared" ref="G11:I13" si="0">((F11/F10)-1)*100</f>
        <v>0.60853033473060592</v>
      </c>
      <c r="H11" s="342">
        <f>'Data 5'!F38</f>
        <v>8744.1025090000003</v>
      </c>
      <c r="I11" s="402">
        <f t="shared" si="0"/>
        <v>1.2844483930342321</v>
      </c>
      <c r="J11" s="342">
        <f>'Data 5'!F46</f>
        <v>210.68093599999997</v>
      </c>
      <c r="K11" s="402">
        <f t="shared" ref="K11" si="1">((J11/J10)-1)*100</f>
        <v>3.2632806414214954</v>
      </c>
      <c r="L11" s="342">
        <f>'Data 5'!F58</f>
        <v>208.28599</v>
      </c>
      <c r="M11" s="402">
        <f t="shared" ref="M11" si="2">((L11/L10)-1)*100</f>
        <v>-2.305595743400668</v>
      </c>
    </row>
    <row r="12" spans="3:13">
      <c r="E12" s="28">
        <v>2017</v>
      </c>
      <c r="F12" s="342">
        <f>'Data 5'!G21</f>
        <v>6016.4160159999992</v>
      </c>
      <c r="G12" s="402">
        <f t="shared" si="0"/>
        <v>3.3182036318789354</v>
      </c>
      <c r="H12" s="342">
        <f>'Data 5'!G38</f>
        <v>8931.0630249999995</v>
      </c>
      <c r="I12" s="402">
        <f t="shared" si="0"/>
        <v>2.1381327106763326</v>
      </c>
      <c r="J12" s="342">
        <f>'Data 5'!G46</f>
        <v>202.86082999999999</v>
      </c>
      <c r="K12" s="402">
        <f t="shared" ref="K12" si="3">((J12/J11)-1)*100</f>
        <v>-3.711824215552173</v>
      </c>
      <c r="L12" s="342">
        <f>'Data 5'!G58</f>
        <v>210.42507800000001</v>
      </c>
      <c r="M12" s="402">
        <f t="shared" ref="M12" si="4">((L12/L11)-1)*100</f>
        <v>1.0269956227012766</v>
      </c>
    </row>
    <row r="13" spans="3:13">
      <c r="E13" s="345">
        <v>2018</v>
      </c>
      <c r="F13" s="401">
        <f>'Data 5'!H21</f>
        <v>6052.2512239999996</v>
      </c>
      <c r="G13" s="403">
        <f t="shared" si="0"/>
        <v>0.5956238382568646</v>
      </c>
      <c r="H13" s="401">
        <f>'Data 5'!H38</f>
        <v>8840.0187610000012</v>
      </c>
      <c r="I13" s="403">
        <f t="shared" si="0"/>
        <v>-1.0194112811111711</v>
      </c>
      <c r="J13" s="401">
        <f>'Data 5'!H46</f>
        <v>207.356224</v>
      </c>
      <c r="K13" s="403">
        <f t="shared" ref="K13" si="5">((J13/J12)-1)*100</f>
        <v>2.2159990176516597</v>
      </c>
      <c r="L13" s="401">
        <f>'Data 5'!H58</f>
        <v>212.94905599999998</v>
      </c>
      <c r="M13" s="403">
        <f t="shared" ref="M13" si="6">((L13/L12)-1)*100</f>
        <v>1.1994663487780555</v>
      </c>
    </row>
    <row r="14" spans="3:13">
      <c r="E14" s="176"/>
      <c r="F14" s="176"/>
      <c r="G14" s="176"/>
      <c r="H14" s="176"/>
      <c r="I14" s="176"/>
      <c r="J14" s="176"/>
      <c r="K14" s="177"/>
      <c r="L14" s="177"/>
      <c r="M14" s="177"/>
    </row>
    <row r="17" spans="6:6">
      <c r="F17" s="434"/>
    </row>
  </sheetData>
  <mergeCells count="5">
    <mergeCell ref="F7:G7"/>
    <mergeCell ref="H7:I7"/>
    <mergeCell ref="J7:K7"/>
    <mergeCell ref="L7:M7"/>
    <mergeCell ref="C7:C8"/>
  </mergeCells>
  <hyperlinks>
    <hyperlink ref="C4" location="Indice!A1" display="Sistemas no peninsulares"/>
  </hyperlinks>
  <pageMargins left="0.7" right="0.7" top="0.75" bottom="0.75" header="0.3" footer="0.3"/>
  <pageSetup paperSize="9" orientation="portrait" r:id="rId1"/>
  <ignoredErrors>
    <ignoredError sqref="H10:H13 J10:J13 L10:L13" formula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337" t="s">
        <v>87</v>
      </c>
    </row>
    <row r="3" spans="3:5" ht="15" customHeight="1">
      <c r="E3" s="337" t="s">
        <v>119</v>
      </c>
    </row>
    <row r="4" spans="3:5" s="181" customFormat="1" ht="19.899999999999999" customHeight="1">
      <c r="C4" s="168" t="s">
        <v>318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377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140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337" t="s">
        <v>87</v>
      </c>
    </row>
    <row r="3" spans="3:5" ht="15" customHeight="1">
      <c r="E3" s="337" t="s">
        <v>119</v>
      </c>
    </row>
    <row r="4" spans="3:5" s="181" customFormat="1" ht="19.899999999999999" customHeight="1">
      <c r="C4" s="168" t="s">
        <v>318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378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179" t="s">
        <v>140</v>
      </c>
      <c r="E10" s="186"/>
    </row>
    <row r="11" spans="3:5" s="181" customFormat="1" ht="12.75" customHeight="1">
      <c r="E11" s="186"/>
    </row>
    <row r="12" spans="3:5" s="181" customFormat="1" ht="12.75" customHeight="1">
      <c r="C12" s="179"/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337" t="s">
        <v>87</v>
      </c>
    </row>
    <row r="3" spans="3:5" ht="15" customHeight="1">
      <c r="E3" s="337" t="s">
        <v>119</v>
      </c>
    </row>
    <row r="4" spans="3:5" s="181" customFormat="1" ht="19.899999999999999" customHeight="1">
      <c r="C4" s="168" t="s">
        <v>318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379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140</v>
      </c>
      <c r="E11" s="186"/>
    </row>
    <row r="12" spans="3:5" s="181" customFormat="1" ht="12.75" customHeight="1"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105.7109375" style="180" customWidth="1"/>
    <col min="6" max="16384" width="11.42578125" style="180"/>
  </cols>
  <sheetData>
    <row r="1" spans="3:5" ht="0.6" customHeight="1"/>
    <row r="2" spans="3:5" ht="21" customHeight="1">
      <c r="E2" s="337" t="s">
        <v>87</v>
      </c>
    </row>
    <row r="3" spans="3:5" ht="15" customHeight="1">
      <c r="E3" s="337" t="s">
        <v>119</v>
      </c>
    </row>
    <row r="4" spans="3:5" s="181" customFormat="1" ht="19.899999999999999" customHeight="1">
      <c r="C4" s="168" t="s">
        <v>318</v>
      </c>
      <c r="D4" s="168"/>
    </row>
    <row r="5" spans="3:5" s="181" customFormat="1" ht="12.6" customHeight="1">
      <c r="C5" s="182"/>
      <c r="D5" s="183"/>
    </row>
    <row r="6" spans="3:5" s="181" customFormat="1" ht="13.5" customHeight="1">
      <c r="C6" s="182"/>
      <c r="D6" s="184"/>
      <c r="E6" s="185"/>
    </row>
    <row r="7" spans="3:5" s="181" customFormat="1" ht="12.75" customHeight="1">
      <c r="C7" s="624" t="s">
        <v>381</v>
      </c>
      <c r="E7" s="186"/>
    </row>
    <row r="8" spans="3:5" s="181" customFormat="1" ht="12.75" customHeight="1">
      <c r="C8" s="624"/>
      <c r="E8" s="186"/>
    </row>
    <row r="9" spans="3:5" s="181" customFormat="1" ht="12.75" customHeight="1">
      <c r="C9" s="624"/>
      <c r="E9" s="186"/>
    </row>
    <row r="10" spans="3:5" s="181" customFormat="1" ht="12.75" customHeight="1">
      <c r="C10" s="624"/>
      <c r="E10" s="186"/>
    </row>
    <row r="11" spans="3:5" s="181" customFormat="1" ht="12.75" customHeight="1">
      <c r="C11" s="179" t="s">
        <v>140</v>
      </c>
      <c r="E11" s="186"/>
    </row>
    <row r="12" spans="3:5" s="181" customFormat="1" ht="12.75" customHeight="1">
      <c r="D12" s="184"/>
      <c r="E12" s="186"/>
    </row>
    <row r="13" spans="3:5" s="181" customFormat="1" ht="12.75" customHeight="1">
      <c r="C13" s="182"/>
      <c r="D13" s="184"/>
      <c r="E13" s="186"/>
    </row>
    <row r="14" spans="3:5" s="181" customFormat="1" ht="12.75" customHeight="1">
      <c r="C14" s="182"/>
      <c r="D14" s="184"/>
      <c r="E14" s="186"/>
    </row>
    <row r="15" spans="3:5" s="181" customFormat="1" ht="12.75" customHeight="1">
      <c r="C15" s="182"/>
      <c r="D15" s="184"/>
      <c r="E15" s="186"/>
    </row>
    <row r="16" spans="3:5" s="181" customFormat="1" ht="12.75" customHeight="1">
      <c r="C16" s="182"/>
      <c r="D16" s="184"/>
      <c r="E16" s="186"/>
    </row>
    <row r="17" spans="3:5" s="181" customFormat="1" ht="12.75" customHeight="1">
      <c r="C17" s="182"/>
      <c r="D17" s="184"/>
      <c r="E17" s="186"/>
    </row>
    <row r="18" spans="3:5" s="181" customFormat="1" ht="12.75" customHeight="1">
      <c r="C18" s="182"/>
      <c r="D18" s="184"/>
      <c r="E18" s="186"/>
    </row>
    <row r="19" spans="3:5" s="181" customFormat="1" ht="12.75" customHeight="1">
      <c r="C19" s="182"/>
      <c r="D19" s="184"/>
      <c r="E19" s="186"/>
    </row>
    <row r="20" spans="3:5" s="181" customFormat="1" ht="12.75" customHeight="1">
      <c r="C20" s="182"/>
      <c r="D20" s="184"/>
      <c r="E20" s="186"/>
    </row>
    <row r="21" spans="3:5" s="181" customFormat="1" ht="12.75" customHeight="1">
      <c r="C21" s="182"/>
      <c r="D21" s="184"/>
      <c r="E21" s="186"/>
    </row>
    <row r="22" spans="3:5">
      <c r="E22" s="297"/>
    </row>
    <row r="23" spans="3:5">
      <c r="E23" s="297"/>
    </row>
    <row r="24" spans="3:5">
      <c r="E24" s="297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11.42578125" style="167" customWidth="1"/>
    <col min="6" max="6" width="11.42578125" style="167"/>
    <col min="7" max="7" width="11.42578125" style="167" customWidth="1"/>
    <col min="8" max="8" width="11.42578125" style="167"/>
    <col min="9" max="9" width="12.7109375" style="167" customWidth="1"/>
    <col min="10" max="16384" width="11.42578125" style="167"/>
  </cols>
  <sheetData>
    <row r="1" spans="3:11" ht="0.6" customHeight="1"/>
    <row r="2" spans="3:11" ht="21" customHeight="1">
      <c r="I2" s="349" t="s">
        <v>87</v>
      </c>
    </row>
    <row r="3" spans="3:11" ht="15" customHeight="1">
      <c r="I3" s="349" t="s">
        <v>119</v>
      </c>
    </row>
    <row r="4" spans="3:11" ht="19.899999999999999" customHeight="1">
      <c r="C4" s="168" t="s">
        <v>318</v>
      </c>
    </row>
    <row r="5" spans="3:11" ht="12.6" customHeight="1"/>
    <row r="7" spans="3:11" ht="12.75" customHeight="1">
      <c r="C7" s="624" t="s">
        <v>388</v>
      </c>
      <c r="E7" s="169"/>
      <c r="F7" s="627" t="s">
        <v>317</v>
      </c>
      <c r="G7" s="627" t="s">
        <v>36</v>
      </c>
      <c r="H7" s="239"/>
      <c r="I7" s="239"/>
    </row>
    <row r="8" spans="3:11" ht="12.75" customHeight="1">
      <c r="C8" s="624"/>
      <c r="E8" s="170"/>
      <c r="F8" s="628"/>
      <c r="G8" s="628"/>
      <c r="H8" s="171" t="s">
        <v>42</v>
      </c>
      <c r="I8" s="171" t="s">
        <v>39</v>
      </c>
    </row>
    <row r="9" spans="3:11">
      <c r="C9" s="624"/>
      <c r="E9" s="28" t="s">
        <v>2</v>
      </c>
      <c r="F9" s="402">
        <f>'Data 5'!L331</f>
        <v>-8.5521946439359517</v>
      </c>
      <c r="G9" s="402">
        <f>'Data 5'!M331</f>
        <v>1.3254477054789104</v>
      </c>
      <c r="H9" s="402">
        <f>'Data 5'!N331</f>
        <v>2.1607271391621552E-2</v>
      </c>
      <c r="I9" s="402">
        <f>'Data 5'!O331</f>
        <v>-2.0589885165528399</v>
      </c>
      <c r="J9" s="434"/>
      <c r="K9" s="475"/>
    </row>
    <row r="10" spans="3:11">
      <c r="C10" s="624"/>
      <c r="E10" s="28" t="s">
        <v>3</v>
      </c>
      <c r="F10" s="402">
        <f>'Data 5'!L332</f>
        <v>15.67075875185029</v>
      </c>
      <c r="G10" s="402">
        <f>'Data 5'!M332</f>
        <v>2.5885900331449552</v>
      </c>
      <c r="H10" s="402">
        <f>'Data 5'!N332</f>
        <v>8.7456087587352691</v>
      </c>
      <c r="I10" s="402">
        <f>'Data 5'!O332</f>
        <v>9.1497368813712612</v>
      </c>
      <c r="J10" s="434"/>
      <c r="K10" s="475"/>
    </row>
    <row r="11" spans="3:11">
      <c r="C11" s="16" t="s">
        <v>140</v>
      </c>
      <c r="E11" s="28" t="s">
        <v>4</v>
      </c>
      <c r="F11" s="402">
        <f>'Data 5'!L333</f>
        <v>12.918957904452544</v>
      </c>
      <c r="G11" s="402">
        <f>'Data 5'!M333</f>
        <v>-0.92672931851902618</v>
      </c>
      <c r="H11" s="402">
        <f>'Data 5'!N333</f>
        <v>7.5360731009107562</v>
      </c>
      <c r="I11" s="402">
        <f>'Data 5'!O333</f>
        <v>1.350950194437095</v>
      </c>
      <c r="J11" s="434"/>
      <c r="K11" s="475"/>
    </row>
    <row r="12" spans="3:11">
      <c r="C12" s="16"/>
      <c r="E12" s="28" t="s">
        <v>5</v>
      </c>
      <c r="F12" s="402">
        <f>'Data 5'!L334</f>
        <v>2.7970879793132175</v>
      </c>
      <c r="G12" s="402">
        <f>'Data 5'!M334</f>
        <v>-0.34178130349010738</v>
      </c>
      <c r="H12" s="402">
        <f>'Data 5'!N334</f>
        <v>9.2101679451956677</v>
      </c>
      <c r="I12" s="402">
        <f>'Data 5'!O334</f>
        <v>5.1209833739317423</v>
      </c>
      <c r="J12" s="434"/>
      <c r="K12" s="475"/>
    </row>
    <row r="13" spans="3:11">
      <c r="C13" s="16"/>
      <c r="E13" s="28" t="s">
        <v>6</v>
      </c>
      <c r="F13" s="402">
        <f>'Data 5'!L335</f>
        <v>-1.3321095490273271</v>
      </c>
      <c r="G13" s="402">
        <f>'Data 5'!M335</f>
        <v>-1.7911123287797093</v>
      </c>
      <c r="H13" s="402">
        <f>'Data 5'!N335</f>
        <v>-0.96254097825689833</v>
      </c>
      <c r="I13" s="402">
        <f>'Data 5'!O335</f>
        <v>0.30187658995186606</v>
      </c>
      <c r="J13" s="434"/>
      <c r="K13" s="475"/>
    </row>
    <row r="14" spans="3:11">
      <c r="C14" s="16"/>
      <c r="E14" s="28" t="s">
        <v>7</v>
      </c>
      <c r="F14" s="402">
        <f>'Data 5'!L336</f>
        <v>-7.7358065836865775</v>
      </c>
      <c r="G14" s="402">
        <f>'Data 5'!M336</f>
        <v>-3.1150618859366652</v>
      </c>
      <c r="H14" s="402">
        <f>'Data 5'!N336</f>
        <v>-6.9136273695382444</v>
      </c>
      <c r="I14" s="402">
        <f>'Data 5'!O336</f>
        <v>-5.5145519049360159</v>
      </c>
      <c r="J14" s="434"/>
      <c r="K14" s="475"/>
    </row>
    <row r="15" spans="3:11">
      <c r="C15" s="16"/>
      <c r="E15" s="28" t="s">
        <v>8</v>
      </c>
      <c r="F15" s="402">
        <f>'Data 5'!L337</f>
        <v>1.1459596906085112</v>
      </c>
      <c r="G15" s="402">
        <f>'Data 5'!M337</f>
        <v>-1.4020038585577987</v>
      </c>
      <c r="H15" s="402">
        <f>'Data 5'!N337</f>
        <v>-2.3739590194050808</v>
      </c>
      <c r="I15" s="402">
        <f>'Data 5'!O337</f>
        <v>-2.8921776435521074</v>
      </c>
      <c r="J15" s="434"/>
      <c r="K15" s="475"/>
    </row>
    <row r="16" spans="3:11">
      <c r="C16" s="16"/>
      <c r="E16" s="28" t="s">
        <v>9</v>
      </c>
      <c r="F16" s="402">
        <f>'Data 5'!L338</f>
        <v>-0.40729415337026342</v>
      </c>
      <c r="G16" s="402">
        <f>'Data 5'!M338</f>
        <v>-3.0536632462584534</v>
      </c>
      <c r="H16" s="402">
        <f>'Data 5'!N338</f>
        <v>-5.1499619325609984</v>
      </c>
      <c r="I16" s="402">
        <f>'Data 5'!O338</f>
        <v>3.0530570694008441</v>
      </c>
      <c r="J16" s="434"/>
      <c r="K16" s="475"/>
    </row>
    <row r="17" spans="3:11">
      <c r="C17" s="16"/>
      <c r="E17" s="28" t="s">
        <v>10</v>
      </c>
      <c r="F17" s="402">
        <f>'Data 5'!L339</f>
        <v>7.6258952924098455</v>
      </c>
      <c r="G17" s="402">
        <f>'Data 5'!M339</f>
        <v>0.76137586905338228</v>
      </c>
      <c r="H17" s="402">
        <f>'Data 5'!N339</f>
        <v>5.2308817430260612</v>
      </c>
      <c r="I17" s="402">
        <f>'Data 5'!O339</f>
        <v>8.963915317753024</v>
      </c>
      <c r="J17" s="434"/>
      <c r="K17" s="475"/>
    </row>
    <row r="18" spans="3:11">
      <c r="C18" s="16"/>
      <c r="E18" s="28" t="s">
        <v>11</v>
      </c>
      <c r="F18" s="402">
        <f>'Data 5'!L340</f>
        <v>5.815678691680759E-2</v>
      </c>
      <c r="G18" s="402">
        <f>'Data 5'!M340</f>
        <v>-1.424797956721191</v>
      </c>
      <c r="H18" s="402">
        <f>'Data 5'!N340</f>
        <v>11.835811400629614</v>
      </c>
      <c r="I18" s="402">
        <f>'Data 5'!O340</f>
        <v>1.0968562445399233</v>
      </c>
      <c r="J18" s="434"/>
      <c r="K18" s="475"/>
    </row>
    <row r="19" spans="3:11">
      <c r="C19" s="16"/>
      <c r="E19" s="28" t="s">
        <v>12</v>
      </c>
      <c r="F19" s="402">
        <f>'Data 5'!L341</f>
        <v>-1.765582341446259</v>
      </c>
      <c r="G19" s="402">
        <f>'Data 5'!M341</f>
        <v>-3.090754693626363</v>
      </c>
      <c r="H19" s="402">
        <f>'Data 5'!N341</f>
        <v>6.1807673195607649</v>
      </c>
      <c r="I19" s="402">
        <f>'Data 5'!O341</f>
        <v>1.2622041374816595</v>
      </c>
      <c r="J19" s="434"/>
      <c r="K19" s="475"/>
    </row>
    <row r="20" spans="3:11">
      <c r="E20" s="174" t="s">
        <v>13</v>
      </c>
      <c r="F20" s="411">
        <f>'Data 5'!L342</f>
        <v>-8.1886434323735102</v>
      </c>
      <c r="G20" s="411">
        <f>'Data 5'!M342</f>
        <v>-1.227765370618461</v>
      </c>
      <c r="H20" s="411">
        <f>'Data 5'!N342</f>
        <v>-3.17477059618122</v>
      </c>
      <c r="I20" s="411">
        <f>'Data 5'!O342</f>
        <v>-3.5211821425002787</v>
      </c>
      <c r="J20" s="434"/>
      <c r="K20" s="475"/>
    </row>
    <row r="21" spans="3:11">
      <c r="E21" s="176" t="s">
        <v>334</v>
      </c>
      <c r="F21" s="177"/>
      <c r="G21" s="177"/>
      <c r="H21" s="177"/>
      <c r="I21" s="177"/>
      <c r="K21" s="475"/>
    </row>
  </sheetData>
  <mergeCells count="3">
    <mergeCell ref="C7:C10"/>
    <mergeCell ref="F7:F8"/>
    <mergeCell ref="G7:G8"/>
  </mergeCells>
  <hyperlinks>
    <hyperlink ref="C4" location="Indice!A1" display="Sistemas no peninsulare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S51"/>
  <sheetViews>
    <sheetView showOutlineSymbols="0" zoomScaleNormal="100" workbookViewId="0">
      <selection activeCell="B2" sqref="B2"/>
    </sheetView>
  </sheetViews>
  <sheetFormatPr baseColWidth="10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31.42578125" style="494" customWidth="1"/>
    <col min="6" max="6" width="10.7109375" style="511" customWidth="1"/>
    <col min="7" max="7" width="10.7109375" style="494" customWidth="1"/>
    <col min="8" max="8" width="10.7109375" style="511" customWidth="1"/>
    <col min="9" max="9" width="10.7109375" style="494" customWidth="1"/>
    <col min="10" max="10" width="10.7109375" style="511" customWidth="1"/>
    <col min="11" max="11" width="10.7109375" style="494" customWidth="1"/>
    <col min="12" max="246" width="11.42578125" style="494"/>
    <col min="247" max="247" width="0.140625" style="494" customWidth="1"/>
    <col min="248" max="248" width="2.7109375" style="494" customWidth="1"/>
    <col min="249" max="249" width="15.42578125" style="494" customWidth="1"/>
    <col min="250" max="250" width="1.28515625" style="494" customWidth="1"/>
    <col min="251" max="251" width="27.7109375" style="494" customWidth="1"/>
    <col min="252" max="252" width="6.7109375" style="494" customWidth="1"/>
    <col min="253" max="253" width="1.5703125" style="494" customWidth="1"/>
    <col min="254" max="254" width="10.5703125" style="494" customWidth="1"/>
    <col min="255" max="255" width="5.85546875" style="494" customWidth="1"/>
    <col min="256" max="256" width="1.5703125" style="494" customWidth="1"/>
    <col min="257" max="257" width="10.5703125" style="494" customWidth="1"/>
    <col min="258" max="258" width="6.7109375" style="494" customWidth="1"/>
    <col min="259" max="259" width="1.5703125" style="494" customWidth="1"/>
    <col min="260" max="260" width="10.5703125" style="494" customWidth="1"/>
    <col min="261" max="261" width="9.7109375" style="494" customWidth="1"/>
    <col min="262" max="262" width="13.28515625" style="494" bestFit="1" customWidth="1"/>
    <col min="263" max="263" width="7.7109375" style="494" customWidth="1"/>
    <col min="264" max="264" width="11.42578125" style="494"/>
    <col min="265" max="265" width="13.28515625" style="494" bestFit="1" customWidth="1"/>
    <col min="266" max="502" width="11.42578125" style="494"/>
    <col min="503" max="503" width="0.140625" style="494" customWidth="1"/>
    <col min="504" max="504" width="2.7109375" style="494" customWidth="1"/>
    <col min="505" max="505" width="15.42578125" style="494" customWidth="1"/>
    <col min="506" max="506" width="1.28515625" style="494" customWidth="1"/>
    <col min="507" max="507" width="27.7109375" style="494" customWidth="1"/>
    <col min="508" max="508" width="6.7109375" style="494" customWidth="1"/>
    <col min="509" max="509" width="1.5703125" style="494" customWidth="1"/>
    <col min="510" max="510" width="10.5703125" style="494" customWidth="1"/>
    <col min="511" max="511" width="5.85546875" style="494" customWidth="1"/>
    <col min="512" max="512" width="1.5703125" style="494" customWidth="1"/>
    <col min="513" max="513" width="10.5703125" style="494" customWidth="1"/>
    <col min="514" max="514" width="6.7109375" style="494" customWidth="1"/>
    <col min="515" max="515" width="1.5703125" style="494" customWidth="1"/>
    <col min="516" max="516" width="10.5703125" style="494" customWidth="1"/>
    <col min="517" max="517" width="9.7109375" style="494" customWidth="1"/>
    <col min="518" max="518" width="13.28515625" style="494" bestFit="1" customWidth="1"/>
    <col min="519" max="519" width="7.7109375" style="494" customWidth="1"/>
    <col min="520" max="520" width="11.42578125" style="494"/>
    <col min="521" max="521" width="13.28515625" style="494" bestFit="1" customWidth="1"/>
    <col min="522" max="758" width="11.42578125" style="494"/>
    <col min="759" max="759" width="0.140625" style="494" customWidth="1"/>
    <col min="760" max="760" width="2.7109375" style="494" customWidth="1"/>
    <col min="761" max="761" width="15.42578125" style="494" customWidth="1"/>
    <col min="762" max="762" width="1.28515625" style="494" customWidth="1"/>
    <col min="763" max="763" width="27.7109375" style="494" customWidth="1"/>
    <col min="764" max="764" width="6.7109375" style="494" customWidth="1"/>
    <col min="765" max="765" width="1.5703125" style="494" customWidth="1"/>
    <col min="766" max="766" width="10.5703125" style="494" customWidth="1"/>
    <col min="767" max="767" width="5.85546875" style="494" customWidth="1"/>
    <col min="768" max="768" width="1.5703125" style="494" customWidth="1"/>
    <col min="769" max="769" width="10.5703125" style="494" customWidth="1"/>
    <col min="770" max="770" width="6.7109375" style="494" customWidth="1"/>
    <col min="771" max="771" width="1.5703125" style="494" customWidth="1"/>
    <col min="772" max="772" width="10.5703125" style="494" customWidth="1"/>
    <col min="773" max="773" width="9.7109375" style="494" customWidth="1"/>
    <col min="774" max="774" width="13.28515625" style="494" bestFit="1" customWidth="1"/>
    <col min="775" max="775" width="7.7109375" style="494" customWidth="1"/>
    <col min="776" max="776" width="11.42578125" style="494"/>
    <col min="777" max="777" width="13.28515625" style="494" bestFit="1" customWidth="1"/>
    <col min="778" max="1014" width="11.42578125" style="494"/>
    <col min="1015" max="1015" width="0.140625" style="494" customWidth="1"/>
    <col min="1016" max="1016" width="2.7109375" style="494" customWidth="1"/>
    <col min="1017" max="1017" width="15.42578125" style="494" customWidth="1"/>
    <col min="1018" max="1018" width="1.28515625" style="494" customWidth="1"/>
    <col min="1019" max="1019" width="27.7109375" style="494" customWidth="1"/>
    <col min="1020" max="1020" width="6.7109375" style="494" customWidth="1"/>
    <col min="1021" max="1021" width="1.5703125" style="494" customWidth="1"/>
    <col min="1022" max="1022" width="10.5703125" style="494" customWidth="1"/>
    <col min="1023" max="1023" width="5.85546875" style="494" customWidth="1"/>
    <col min="1024" max="1024" width="1.5703125" style="494" customWidth="1"/>
    <col min="1025" max="1025" width="10.5703125" style="494" customWidth="1"/>
    <col min="1026" max="1026" width="6.7109375" style="494" customWidth="1"/>
    <col min="1027" max="1027" width="1.5703125" style="494" customWidth="1"/>
    <col min="1028" max="1028" width="10.5703125" style="494" customWidth="1"/>
    <col min="1029" max="1029" width="9.7109375" style="494" customWidth="1"/>
    <col min="1030" max="1030" width="13.28515625" style="494" bestFit="1" customWidth="1"/>
    <col min="1031" max="1031" width="7.7109375" style="494" customWidth="1"/>
    <col min="1032" max="1032" width="11.42578125" style="494"/>
    <col min="1033" max="1033" width="13.28515625" style="494" bestFit="1" customWidth="1"/>
    <col min="1034" max="1270" width="11.42578125" style="494"/>
    <col min="1271" max="1271" width="0.140625" style="494" customWidth="1"/>
    <col min="1272" max="1272" width="2.7109375" style="494" customWidth="1"/>
    <col min="1273" max="1273" width="15.42578125" style="494" customWidth="1"/>
    <col min="1274" max="1274" width="1.28515625" style="494" customWidth="1"/>
    <col min="1275" max="1275" width="27.7109375" style="494" customWidth="1"/>
    <col min="1276" max="1276" width="6.7109375" style="494" customWidth="1"/>
    <col min="1277" max="1277" width="1.5703125" style="494" customWidth="1"/>
    <col min="1278" max="1278" width="10.5703125" style="494" customWidth="1"/>
    <col min="1279" max="1279" width="5.85546875" style="494" customWidth="1"/>
    <col min="1280" max="1280" width="1.5703125" style="494" customWidth="1"/>
    <col min="1281" max="1281" width="10.5703125" style="494" customWidth="1"/>
    <col min="1282" max="1282" width="6.7109375" style="494" customWidth="1"/>
    <col min="1283" max="1283" width="1.5703125" style="494" customWidth="1"/>
    <col min="1284" max="1284" width="10.5703125" style="494" customWidth="1"/>
    <col min="1285" max="1285" width="9.7109375" style="494" customWidth="1"/>
    <col min="1286" max="1286" width="13.28515625" style="494" bestFit="1" customWidth="1"/>
    <col min="1287" max="1287" width="7.7109375" style="494" customWidth="1"/>
    <col min="1288" max="1288" width="11.42578125" style="494"/>
    <col min="1289" max="1289" width="13.28515625" style="494" bestFit="1" customWidth="1"/>
    <col min="1290" max="1526" width="11.42578125" style="494"/>
    <col min="1527" max="1527" width="0.140625" style="494" customWidth="1"/>
    <col min="1528" max="1528" width="2.7109375" style="494" customWidth="1"/>
    <col min="1529" max="1529" width="15.42578125" style="494" customWidth="1"/>
    <col min="1530" max="1530" width="1.28515625" style="494" customWidth="1"/>
    <col min="1531" max="1531" width="27.7109375" style="494" customWidth="1"/>
    <col min="1532" max="1532" width="6.7109375" style="494" customWidth="1"/>
    <col min="1533" max="1533" width="1.5703125" style="494" customWidth="1"/>
    <col min="1534" max="1534" width="10.5703125" style="494" customWidth="1"/>
    <col min="1535" max="1535" width="5.85546875" style="494" customWidth="1"/>
    <col min="1536" max="1536" width="1.5703125" style="494" customWidth="1"/>
    <col min="1537" max="1537" width="10.5703125" style="494" customWidth="1"/>
    <col min="1538" max="1538" width="6.7109375" style="494" customWidth="1"/>
    <col min="1539" max="1539" width="1.5703125" style="494" customWidth="1"/>
    <col min="1540" max="1540" width="10.5703125" style="494" customWidth="1"/>
    <col min="1541" max="1541" width="9.7109375" style="494" customWidth="1"/>
    <col min="1542" max="1542" width="13.28515625" style="494" bestFit="1" customWidth="1"/>
    <col min="1543" max="1543" width="7.7109375" style="494" customWidth="1"/>
    <col min="1544" max="1544" width="11.42578125" style="494"/>
    <col min="1545" max="1545" width="13.28515625" style="494" bestFit="1" customWidth="1"/>
    <col min="1546" max="1782" width="11.42578125" style="494"/>
    <col min="1783" max="1783" width="0.140625" style="494" customWidth="1"/>
    <col min="1784" max="1784" width="2.7109375" style="494" customWidth="1"/>
    <col min="1785" max="1785" width="15.42578125" style="494" customWidth="1"/>
    <col min="1786" max="1786" width="1.28515625" style="494" customWidth="1"/>
    <col min="1787" max="1787" width="27.7109375" style="494" customWidth="1"/>
    <col min="1788" max="1788" width="6.7109375" style="494" customWidth="1"/>
    <col min="1789" max="1789" width="1.5703125" style="494" customWidth="1"/>
    <col min="1790" max="1790" width="10.5703125" style="494" customWidth="1"/>
    <col min="1791" max="1791" width="5.85546875" style="494" customWidth="1"/>
    <col min="1792" max="1792" width="1.5703125" style="494" customWidth="1"/>
    <col min="1793" max="1793" width="10.5703125" style="494" customWidth="1"/>
    <col min="1794" max="1794" width="6.7109375" style="494" customWidth="1"/>
    <col min="1795" max="1795" width="1.5703125" style="494" customWidth="1"/>
    <col min="1796" max="1796" width="10.5703125" style="494" customWidth="1"/>
    <col min="1797" max="1797" width="9.7109375" style="494" customWidth="1"/>
    <col min="1798" max="1798" width="13.28515625" style="494" bestFit="1" customWidth="1"/>
    <col min="1799" max="1799" width="7.7109375" style="494" customWidth="1"/>
    <col min="1800" max="1800" width="11.42578125" style="494"/>
    <col min="1801" max="1801" width="13.28515625" style="494" bestFit="1" customWidth="1"/>
    <col min="1802" max="2038" width="11.42578125" style="494"/>
    <col min="2039" max="2039" width="0.140625" style="494" customWidth="1"/>
    <col min="2040" max="2040" width="2.7109375" style="494" customWidth="1"/>
    <col min="2041" max="2041" width="15.42578125" style="494" customWidth="1"/>
    <col min="2042" max="2042" width="1.28515625" style="494" customWidth="1"/>
    <col min="2043" max="2043" width="27.7109375" style="494" customWidth="1"/>
    <col min="2044" max="2044" width="6.7109375" style="494" customWidth="1"/>
    <col min="2045" max="2045" width="1.5703125" style="494" customWidth="1"/>
    <col min="2046" max="2046" width="10.5703125" style="494" customWidth="1"/>
    <col min="2047" max="2047" width="5.85546875" style="494" customWidth="1"/>
    <col min="2048" max="2048" width="1.5703125" style="494" customWidth="1"/>
    <col min="2049" max="2049" width="10.5703125" style="494" customWidth="1"/>
    <col min="2050" max="2050" width="6.7109375" style="494" customWidth="1"/>
    <col min="2051" max="2051" width="1.5703125" style="494" customWidth="1"/>
    <col min="2052" max="2052" width="10.5703125" style="494" customWidth="1"/>
    <col min="2053" max="2053" width="9.7109375" style="494" customWidth="1"/>
    <col min="2054" max="2054" width="13.28515625" style="494" bestFit="1" customWidth="1"/>
    <col min="2055" max="2055" width="7.7109375" style="494" customWidth="1"/>
    <col min="2056" max="2056" width="11.42578125" style="494"/>
    <col min="2057" max="2057" width="13.28515625" style="494" bestFit="1" customWidth="1"/>
    <col min="2058" max="2294" width="11.42578125" style="494"/>
    <col min="2295" max="2295" width="0.140625" style="494" customWidth="1"/>
    <col min="2296" max="2296" width="2.7109375" style="494" customWidth="1"/>
    <col min="2297" max="2297" width="15.42578125" style="494" customWidth="1"/>
    <col min="2298" max="2298" width="1.28515625" style="494" customWidth="1"/>
    <col min="2299" max="2299" width="27.7109375" style="494" customWidth="1"/>
    <col min="2300" max="2300" width="6.7109375" style="494" customWidth="1"/>
    <col min="2301" max="2301" width="1.5703125" style="494" customWidth="1"/>
    <col min="2302" max="2302" width="10.5703125" style="494" customWidth="1"/>
    <col min="2303" max="2303" width="5.85546875" style="494" customWidth="1"/>
    <col min="2304" max="2304" width="1.5703125" style="494" customWidth="1"/>
    <col min="2305" max="2305" width="10.5703125" style="494" customWidth="1"/>
    <col min="2306" max="2306" width="6.7109375" style="494" customWidth="1"/>
    <col min="2307" max="2307" width="1.5703125" style="494" customWidth="1"/>
    <col min="2308" max="2308" width="10.5703125" style="494" customWidth="1"/>
    <col min="2309" max="2309" width="9.7109375" style="494" customWidth="1"/>
    <col min="2310" max="2310" width="13.28515625" style="494" bestFit="1" customWidth="1"/>
    <col min="2311" max="2311" width="7.7109375" style="494" customWidth="1"/>
    <col min="2312" max="2312" width="11.42578125" style="494"/>
    <col min="2313" max="2313" width="13.28515625" style="494" bestFit="1" customWidth="1"/>
    <col min="2314" max="2550" width="11.42578125" style="494"/>
    <col min="2551" max="2551" width="0.140625" style="494" customWidth="1"/>
    <col min="2552" max="2552" width="2.7109375" style="494" customWidth="1"/>
    <col min="2553" max="2553" width="15.42578125" style="494" customWidth="1"/>
    <col min="2554" max="2554" width="1.28515625" style="494" customWidth="1"/>
    <col min="2555" max="2555" width="27.7109375" style="494" customWidth="1"/>
    <col min="2556" max="2556" width="6.7109375" style="494" customWidth="1"/>
    <col min="2557" max="2557" width="1.5703125" style="494" customWidth="1"/>
    <col min="2558" max="2558" width="10.5703125" style="494" customWidth="1"/>
    <col min="2559" max="2559" width="5.85546875" style="494" customWidth="1"/>
    <col min="2560" max="2560" width="1.5703125" style="494" customWidth="1"/>
    <col min="2561" max="2561" width="10.5703125" style="494" customWidth="1"/>
    <col min="2562" max="2562" width="6.7109375" style="494" customWidth="1"/>
    <col min="2563" max="2563" width="1.5703125" style="494" customWidth="1"/>
    <col min="2564" max="2564" width="10.5703125" style="494" customWidth="1"/>
    <col min="2565" max="2565" width="9.7109375" style="494" customWidth="1"/>
    <col min="2566" max="2566" width="13.28515625" style="494" bestFit="1" customWidth="1"/>
    <col min="2567" max="2567" width="7.7109375" style="494" customWidth="1"/>
    <col min="2568" max="2568" width="11.42578125" style="494"/>
    <col min="2569" max="2569" width="13.28515625" style="494" bestFit="1" customWidth="1"/>
    <col min="2570" max="2806" width="11.42578125" style="494"/>
    <col min="2807" max="2807" width="0.140625" style="494" customWidth="1"/>
    <col min="2808" max="2808" width="2.7109375" style="494" customWidth="1"/>
    <col min="2809" max="2809" width="15.42578125" style="494" customWidth="1"/>
    <col min="2810" max="2810" width="1.28515625" style="494" customWidth="1"/>
    <col min="2811" max="2811" width="27.7109375" style="494" customWidth="1"/>
    <col min="2812" max="2812" width="6.7109375" style="494" customWidth="1"/>
    <col min="2813" max="2813" width="1.5703125" style="494" customWidth="1"/>
    <col min="2814" max="2814" width="10.5703125" style="494" customWidth="1"/>
    <col min="2815" max="2815" width="5.85546875" style="494" customWidth="1"/>
    <col min="2816" max="2816" width="1.5703125" style="494" customWidth="1"/>
    <col min="2817" max="2817" width="10.5703125" style="494" customWidth="1"/>
    <col min="2818" max="2818" width="6.7109375" style="494" customWidth="1"/>
    <col min="2819" max="2819" width="1.5703125" style="494" customWidth="1"/>
    <col min="2820" max="2820" width="10.5703125" style="494" customWidth="1"/>
    <col min="2821" max="2821" width="9.7109375" style="494" customWidth="1"/>
    <col min="2822" max="2822" width="13.28515625" style="494" bestFit="1" customWidth="1"/>
    <col min="2823" max="2823" width="7.7109375" style="494" customWidth="1"/>
    <col min="2824" max="2824" width="11.42578125" style="494"/>
    <col min="2825" max="2825" width="13.28515625" style="494" bestFit="1" customWidth="1"/>
    <col min="2826" max="3062" width="11.42578125" style="494"/>
    <col min="3063" max="3063" width="0.140625" style="494" customWidth="1"/>
    <col min="3064" max="3064" width="2.7109375" style="494" customWidth="1"/>
    <col min="3065" max="3065" width="15.42578125" style="494" customWidth="1"/>
    <col min="3066" max="3066" width="1.28515625" style="494" customWidth="1"/>
    <col min="3067" max="3067" width="27.7109375" style="494" customWidth="1"/>
    <col min="3068" max="3068" width="6.7109375" style="494" customWidth="1"/>
    <col min="3069" max="3069" width="1.5703125" style="494" customWidth="1"/>
    <col min="3070" max="3070" width="10.5703125" style="494" customWidth="1"/>
    <col min="3071" max="3071" width="5.85546875" style="494" customWidth="1"/>
    <col min="3072" max="3072" width="1.5703125" style="494" customWidth="1"/>
    <col min="3073" max="3073" width="10.5703125" style="494" customWidth="1"/>
    <col min="3074" max="3074" width="6.7109375" style="494" customWidth="1"/>
    <col min="3075" max="3075" width="1.5703125" style="494" customWidth="1"/>
    <col min="3076" max="3076" width="10.5703125" style="494" customWidth="1"/>
    <col min="3077" max="3077" width="9.7109375" style="494" customWidth="1"/>
    <col min="3078" max="3078" width="13.28515625" style="494" bestFit="1" customWidth="1"/>
    <col min="3079" max="3079" width="7.7109375" style="494" customWidth="1"/>
    <col min="3080" max="3080" width="11.42578125" style="494"/>
    <col min="3081" max="3081" width="13.28515625" style="494" bestFit="1" customWidth="1"/>
    <col min="3082" max="3318" width="11.42578125" style="494"/>
    <col min="3319" max="3319" width="0.140625" style="494" customWidth="1"/>
    <col min="3320" max="3320" width="2.7109375" style="494" customWidth="1"/>
    <col min="3321" max="3321" width="15.42578125" style="494" customWidth="1"/>
    <col min="3322" max="3322" width="1.28515625" style="494" customWidth="1"/>
    <col min="3323" max="3323" width="27.7109375" style="494" customWidth="1"/>
    <col min="3324" max="3324" width="6.7109375" style="494" customWidth="1"/>
    <col min="3325" max="3325" width="1.5703125" style="494" customWidth="1"/>
    <col min="3326" max="3326" width="10.5703125" style="494" customWidth="1"/>
    <col min="3327" max="3327" width="5.85546875" style="494" customWidth="1"/>
    <col min="3328" max="3328" width="1.5703125" style="494" customWidth="1"/>
    <col min="3329" max="3329" width="10.5703125" style="494" customWidth="1"/>
    <col min="3330" max="3330" width="6.7109375" style="494" customWidth="1"/>
    <col min="3331" max="3331" width="1.5703125" style="494" customWidth="1"/>
    <col min="3332" max="3332" width="10.5703125" style="494" customWidth="1"/>
    <col min="3333" max="3333" width="9.7109375" style="494" customWidth="1"/>
    <col min="3334" max="3334" width="13.28515625" style="494" bestFit="1" customWidth="1"/>
    <col min="3335" max="3335" width="7.7109375" style="494" customWidth="1"/>
    <col min="3336" max="3336" width="11.42578125" style="494"/>
    <col min="3337" max="3337" width="13.28515625" style="494" bestFit="1" customWidth="1"/>
    <col min="3338" max="3574" width="11.42578125" style="494"/>
    <col min="3575" max="3575" width="0.140625" style="494" customWidth="1"/>
    <col min="3576" max="3576" width="2.7109375" style="494" customWidth="1"/>
    <col min="3577" max="3577" width="15.42578125" style="494" customWidth="1"/>
    <col min="3578" max="3578" width="1.28515625" style="494" customWidth="1"/>
    <col min="3579" max="3579" width="27.7109375" style="494" customWidth="1"/>
    <col min="3580" max="3580" width="6.7109375" style="494" customWidth="1"/>
    <col min="3581" max="3581" width="1.5703125" style="494" customWidth="1"/>
    <col min="3582" max="3582" width="10.5703125" style="494" customWidth="1"/>
    <col min="3583" max="3583" width="5.85546875" style="494" customWidth="1"/>
    <col min="3584" max="3584" width="1.5703125" style="494" customWidth="1"/>
    <col min="3585" max="3585" width="10.5703125" style="494" customWidth="1"/>
    <col min="3586" max="3586" width="6.7109375" style="494" customWidth="1"/>
    <col min="3587" max="3587" width="1.5703125" style="494" customWidth="1"/>
    <col min="3588" max="3588" width="10.5703125" style="494" customWidth="1"/>
    <col min="3589" max="3589" width="9.7109375" style="494" customWidth="1"/>
    <col min="3590" max="3590" width="13.28515625" style="494" bestFit="1" customWidth="1"/>
    <col min="3591" max="3591" width="7.7109375" style="494" customWidth="1"/>
    <col min="3592" max="3592" width="11.42578125" style="494"/>
    <col min="3593" max="3593" width="13.28515625" style="494" bestFit="1" customWidth="1"/>
    <col min="3594" max="3830" width="11.42578125" style="494"/>
    <col min="3831" max="3831" width="0.140625" style="494" customWidth="1"/>
    <col min="3832" max="3832" width="2.7109375" style="494" customWidth="1"/>
    <col min="3833" max="3833" width="15.42578125" style="494" customWidth="1"/>
    <col min="3834" max="3834" width="1.28515625" style="494" customWidth="1"/>
    <col min="3835" max="3835" width="27.7109375" style="494" customWidth="1"/>
    <col min="3836" max="3836" width="6.7109375" style="494" customWidth="1"/>
    <col min="3837" max="3837" width="1.5703125" style="494" customWidth="1"/>
    <col min="3838" max="3838" width="10.5703125" style="494" customWidth="1"/>
    <col min="3839" max="3839" width="5.85546875" style="494" customWidth="1"/>
    <col min="3840" max="3840" width="1.5703125" style="494" customWidth="1"/>
    <col min="3841" max="3841" width="10.5703125" style="494" customWidth="1"/>
    <col min="3842" max="3842" width="6.7109375" style="494" customWidth="1"/>
    <col min="3843" max="3843" width="1.5703125" style="494" customWidth="1"/>
    <col min="3844" max="3844" width="10.5703125" style="494" customWidth="1"/>
    <col min="3845" max="3845" width="9.7109375" style="494" customWidth="1"/>
    <col min="3846" max="3846" width="13.28515625" style="494" bestFit="1" customWidth="1"/>
    <col min="3847" max="3847" width="7.7109375" style="494" customWidth="1"/>
    <col min="3848" max="3848" width="11.42578125" style="494"/>
    <col min="3849" max="3849" width="13.28515625" style="494" bestFit="1" customWidth="1"/>
    <col min="3850" max="4086" width="11.42578125" style="494"/>
    <col min="4087" max="4087" width="0.140625" style="494" customWidth="1"/>
    <col min="4088" max="4088" width="2.7109375" style="494" customWidth="1"/>
    <col min="4089" max="4089" width="15.42578125" style="494" customWidth="1"/>
    <col min="4090" max="4090" width="1.28515625" style="494" customWidth="1"/>
    <col min="4091" max="4091" width="27.7109375" style="494" customWidth="1"/>
    <col min="4092" max="4092" width="6.7109375" style="494" customWidth="1"/>
    <col min="4093" max="4093" width="1.5703125" style="494" customWidth="1"/>
    <col min="4094" max="4094" width="10.5703125" style="494" customWidth="1"/>
    <col min="4095" max="4095" width="5.85546875" style="494" customWidth="1"/>
    <col min="4096" max="4096" width="1.5703125" style="494" customWidth="1"/>
    <col min="4097" max="4097" width="10.5703125" style="494" customWidth="1"/>
    <col min="4098" max="4098" width="6.7109375" style="494" customWidth="1"/>
    <col min="4099" max="4099" width="1.5703125" style="494" customWidth="1"/>
    <col min="4100" max="4100" width="10.5703125" style="494" customWidth="1"/>
    <col min="4101" max="4101" width="9.7109375" style="494" customWidth="1"/>
    <col min="4102" max="4102" width="13.28515625" style="494" bestFit="1" customWidth="1"/>
    <col min="4103" max="4103" width="7.7109375" style="494" customWidth="1"/>
    <col min="4104" max="4104" width="11.42578125" style="494"/>
    <col min="4105" max="4105" width="13.28515625" style="494" bestFit="1" customWidth="1"/>
    <col min="4106" max="4342" width="11.42578125" style="494"/>
    <col min="4343" max="4343" width="0.140625" style="494" customWidth="1"/>
    <col min="4344" max="4344" width="2.7109375" style="494" customWidth="1"/>
    <col min="4345" max="4345" width="15.42578125" style="494" customWidth="1"/>
    <col min="4346" max="4346" width="1.28515625" style="494" customWidth="1"/>
    <col min="4347" max="4347" width="27.7109375" style="494" customWidth="1"/>
    <col min="4348" max="4348" width="6.7109375" style="494" customWidth="1"/>
    <col min="4349" max="4349" width="1.5703125" style="494" customWidth="1"/>
    <col min="4350" max="4350" width="10.5703125" style="494" customWidth="1"/>
    <col min="4351" max="4351" width="5.85546875" style="494" customWidth="1"/>
    <col min="4352" max="4352" width="1.5703125" style="494" customWidth="1"/>
    <col min="4353" max="4353" width="10.5703125" style="494" customWidth="1"/>
    <col min="4354" max="4354" width="6.7109375" style="494" customWidth="1"/>
    <col min="4355" max="4355" width="1.5703125" style="494" customWidth="1"/>
    <col min="4356" max="4356" width="10.5703125" style="494" customWidth="1"/>
    <col min="4357" max="4357" width="9.7109375" style="494" customWidth="1"/>
    <col min="4358" max="4358" width="13.28515625" style="494" bestFit="1" customWidth="1"/>
    <col min="4359" max="4359" width="7.7109375" style="494" customWidth="1"/>
    <col min="4360" max="4360" width="11.42578125" style="494"/>
    <col min="4361" max="4361" width="13.28515625" style="494" bestFit="1" customWidth="1"/>
    <col min="4362" max="4598" width="11.42578125" style="494"/>
    <col min="4599" max="4599" width="0.140625" style="494" customWidth="1"/>
    <col min="4600" max="4600" width="2.7109375" style="494" customWidth="1"/>
    <col min="4601" max="4601" width="15.42578125" style="494" customWidth="1"/>
    <col min="4602" max="4602" width="1.28515625" style="494" customWidth="1"/>
    <col min="4603" max="4603" width="27.7109375" style="494" customWidth="1"/>
    <col min="4604" max="4604" width="6.7109375" style="494" customWidth="1"/>
    <col min="4605" max="4605" width="1.5703125" style="494" customWidth="1"/>
    <col min="4606" max="4606" width="10.5703125" style="494" customWidth="1"/>
    <col min="4607" max="4607" width="5.85546875" style="494" customWidth="1"/>
    <col min="4608" max="4608" width="1.5703125" style="494" customWidth="1"/>
    <col min="4609" max="4609" width="10.5703125" style="494" customWidth="1"/>
    <col min="4610" max="4610" width="6.7109375" style="494" customWidth="1"/>
    <col min="4611" max="4611" width="1.5703125" style="494" customWidth="1"/>
    <col min="4612" max="4612" width="10.5703125" style="494" customWidth="1"/>
    <col min="4613" max="4613" width="9.7109375" style="494" customWidth="1"/>
    <col min="4614" max="4614" width="13.28515625" style="494" bestFit="1" customWidth="1"/>
    <col min="4615" max="4615" width="7.7109375" style="494" customWidth="1"/>
    <col min="4616" max="4616" width="11.42578125" style="494"/>
    <col min="4617" max="4617" width="13.28515625" style="494" bestFit="1" customWidth="1"/>
    <col min="4618" max="4854" width="11.42578125" style="494"/>
    <col min="4855" max="4855" width="0.140625" style="494" customWidth="1"/>
    <col min="4856" max="4856" width="2.7109375" style="494" customWidth="1"/>
    <col min="4857" max="4857" width="15.42578125" style="494" customWidth="1"/>
    <col min="4858" max="4858" width="1.28515625" style="494" customWidth="1"/>
    <col min="4859" max="4859" width="27.7109375" style="494" customWidth="1"/>
    <col min="4860" max="4860" width="6.7109375" style="494" customWidth="1"/>
    <col min="4861" max="4861" width="1.5703125" style="494" customWidth="1"/>
    <col min="4862" max="4862" width="10.5703125" style="494" customWidth="1"/>
    <col min="4863" max="4863" width="5.85546875" style="494" customWidth="1"/>
    <col min="4864" max="4864" width="1.5703125" style="494" customWidth="1"/>
    <col min="4865" max="4865" width="10.5703125" style="494" customWidth="1"/>
    <col min="4866" max="4866" width="6.7109375" style="494" customWidth="1"/>
    <col min="4867" max="4867" width="1.5703125" style="494" customWidth="1"/>
    <col min="4868" max="4868" width="10.5703125" style="494" customWidth="1"/>
    <col min="4869" max="4869" width="9.7109375" style="494" customWidth="1"/>
    <col min="4870" max="4870" width="13.28515625" style="494" bestFit="1" customWidth="1"/>
    <col min="4871" max="4871" width="7.7109375" style="494" customWidth="1"/>
    <col min="4872" max="4872" width="11.42578125" style="494"/>
    <col min="4873" max="4873" width="13.28515625" style="494" bestFit="1" customWidth="1"/>
    <col min="4874" max="5110" width="11.42578125" style="494"/>
    <col min="5111" max="5111" width="0.140625" style="494" customWidth="1"/>
    <col min="5112" max="5112" width="2.7109375" style="494" customWidth="1"/>
    <col min="5113" max="5113" width="15.42578125" style="494" customWidth="1"/>
    <col min="5114" max="5114" width="1.28515625" style="494" customWidth="1"/>
    <col min="5115" max="5115" width="27.7109375" style="494" customWidth="1"/>
    <col min="5116" max="5116" width="6.7109375" style="494" customWidth="1"/>
    <col min="5117" max="5117" width="1.5703125" style="494" customWidth="1"/>
    <col min="5118" max="5118" width="10.5703125" style="494" customWidth="1"/>
    <col min="5119" max="5119" width="5.85546875" style="494" customWidth="1"/>
    <col min="5120" max="5120" width="1.5703125" style="494" customWidth="1"/>
    <col min="5121" max="5121" width="10.5703125" style="494" customWidth="1"/>
    <col min="5122" max="5122" width="6.7109375" style="494" customWidth="1"/>
    <col min="5123" max="5123" width="1.5703125" style="494" customWidth="1"/>
    <col min="5124" max="5124" width="10.5703125" style="494" customWidth="1"/>
    <col min="5125" max="5125" width="9.7109375" style="494" customWidth="1"/>
    <col min="5126" max="5126" width="13.28515625" style="494" bestFit="1" customWidth="1"/>
    <col min="5127" max="5127" width="7.7109375" style="494" customWidth="1"/>
    <col min="5128" max="5128" width="11.42578125" style="494"/>
    <col min="5129" max="5129" width="13.28515625" style="494" bestFit="1" customWidth="1"/>
    <col min="5130" max="5366" width="11.42578125" style="494"/>
    <col min="5367" max="5367" width="0.140625" style="494" customWidth="1"/>
    <col min="5368" max="5368" width="2.7109375" style="494" customWidth="1"/>
    <col min="5369" max="5369" width="15.42578125" style="494" customWidth="1"/>
    <col min="5370" max="5370" width="1.28515625" style="494" customWidth="1"/>
    <col min="5371" max="5371" width="27.7109375" style="494" customWidth="1"/>
    <col min="5372" max="5372" width="6.7109375" style="494" customWidth="1"/>
    <col min="5373" max="5373" width="1.5703125" style="494" customWidth="1"/>
    <col min="5374" max="5374" width="10.5703125" style="494" customWidth="1"/>
    <col min="5375" max="5375" width="5.85546875" style="494" customWidth="1"/>
    <col min="5376" max="5376" width="1.5703125" style="494" customWidth="1"/>
    <col min="5377" max="5377" width="10.5703125" style="494" customWidth="1"/>
    <col min="5378" max="5378" width="6.7109375" style="494" customWidth="1"/>
    <col min="5379" max="5379" width="1.5703125" style="494" customWidth="1"/>
    <col min="5380" max="5380" width="10.5703125" style="494" customWidth="1"/>
    <col min="5381" max="5381" width="9.7109375" style="494" customWidth="1"/>
    <col min="5382" max="5382" width="13.28515625" style="494" bestFit="1" customWidth="1"/>
    <col min="5383" max="5383" width="7.7109375" style="494" customWidth="1"/>
    <col min="5384" max="5384" width="11.42578125" style="494"/>
    <col min="5385" max="5385" width="13.28515625" style="494" bestFit="1" customWidth="1"/>
    <col min="5386" max="5622" width="11.42578125" style="494"/>
    <col min="5623" max="5623" width="0.140625" style="494" customWidth="1"/>
    <col min="5624" max="5624" width="2.7109375" style="494" customWidth="1"/>
    <col min="5625" max="5625" width="15.42578125" style="494" customWidth="1"/>
    <col min="5626" max="5626" width="1.28515625" style="494" customWidth="1"/>
    <col min="5627" max="5627" width="27.7109375" style="494" customWidth="1"/>
    <col min="5628" max="5628" width="6.7109375" style="494" customWidth="1"/>
    <col min="5629" max="5629" width="1.5703125" style="494" customWidth="1"/>
    <col min="5630" max="5630" width="10.5703125" style="494" customWidth="1"/>
    <col min="5631" max="5631" width="5.85546875" style="494" customWidth="1"/>
    <col min="5632" max="5632" width="1.5703125" style="494" customWidth="1"/>
    <col min="5633" max="5633" width="10.5703125" style="494" customWidth="1"/>
    <col min="5634" max="5634" width="6.7109375" style="494" customWidth="1"/>
    <col min="5635" max="5635" width="1.5703125" style="494" customWidth="1"/>
    <col min="5636" max="5636" width="10.5703125" style="494" customWidth="1"/>
    <col min="5637" max="5637" width="9.7109375" style="494" customWidth="1"/>
    <col min="5638" max="5638" width="13.28515625" style="494" bestFit="1" customWidth="1"/>
    <col min="5639" max="5639" width="7.7109375" style="494" customWidth="1"/>
    <col min="5640" max="5640" width="11.42578125" style="494"/>
    <col min="5641" max="5641" width="13.28515625" style="494" bestFit="1" customWidth="1"/>
    <col min="5642" max="5878" width="11.42578125" style="494"/>
    <col min="5879" max="5879" width="0.140625" style="494" customWidth="1"/>
    <col min="5880" max="5880" width="2.7109375" style="494" customWidth="1"/>
    <col min="5881" max="5881" width="15.42578125" style="494" customWidth="1"/>
    <col min="5882" max="5882" width="1.28515625" style="494" customWidth="1"/>
    <col min="5883" max="5883" width="27.7109375" style="494" customWidth="1"/>
    <col min="5884" max="5884" width="6.7109375" style="494" customWidth="1"/>
    <col min="5885" max="5885" width="1.5703125" style="494" customWidth="1"/>
    <col min="5886" max="5886" width="10.5703125" style="494" customWidth="1"/>
    <col min="5887" max="5887" width="5.85546875" style="494" customWidth="1"/>
    <col min="5888" max="5888" width="1.5703125" style="494" customWidth="1"/>
    <col min="5889" max="5889" width="10.5703125" style="494" customWidth="1"/>
    <col min="5890" max="5890" width="6.7109375" style="494" customWidth="1"/>
    <col min="5891" max="5891" width="1.5703125" style="494" customWidth="1"/>
    <col min="5892" max="5892" width="10.5703125" style="494" customWidth="1"/>
    <col min="5893" max="5893" width="9.7109375" style="494" customWidth="1"/>
    <col min="5894" max="5894" width="13.28515625" style="494" bestFit="1" customWidth="1"/>
    <col min="5895" max="5895" width="7.7109375" style="494" customWidth="1"/>
    <col min="5896" max="5896" width="11.42578125" style="494"/>
    <col min="5897" max="5897" width="13.28515625" style="494" bestFit="1" customWidth="1"/>
    <col min="5898" max="6134" width="11.42578125" style="494"/>
    <col min="6135" max="6135" width="0.140625" style="494" customWidth="1"/>
    <col min="6136" max="6136" width="2.7109375" style="494" customWidth="1"/>
    <col min="6137" max="6137" width="15.42578125" style="494" customWidth="1"/>
    <col min="6138" max="6138" width="1.28515625" style="494" customWidth="1"/>
    <col min="6139" max="6139" width="27.7109375" style="494" customWidth="1"/>
    <col min="6140" max="6140" width="6.7109375" style="494" customWidth="1"/>
    <col min="6141" max="6141" width="1.5703125" style="494" customWidth="1"/>
    <col min="6142" max="6142" width="10.5703125" style="494" customWidth="1"/>
    <col min="6143" max="6143" width="5.85546875" style="494" customWidth="1"/>
    <col min="6144" max="6144" width="1.5703125" style="494" customWidth="1"/>
    <col min="6145" max="6145" width="10.5703125" style="494" customWidth="1"/>
    <col min="6146" max="6146" width="6.7109375" style="494" customWidth="1"/>
    <col min="6147" max="6147" width="1.5703125" style="494" customWidth="1"/>
    <col min="6148" max="6148" width="10.5703125" style="494" customWidth="1"/>
    <col min="6149" max="6149" width="9.7109375" style="494" customWidth="1"/>
    <col min="6150" max="6150" width="13.28515625" style="494" bestFit="1" customWidth="1"/>
    <col min="6151" max="6151" width="7.7109375" style="494" customWidth="1"/>
    <col min="6152" max="6152" width="11.42578125" style="494"/>
    <col min="6153" max="6153" width="13.28515625" style="494" bestFit="1" customWidth="1"/>
    <col min="6154" max="6390" width="11.42578125" style="494"/>
    <col min="6391" max="6391" width="0.140625" style="494" customWidth="1"/>
    <col min="6392" max="6392" width="2.7109375" style="494" customWidth="1"/>
    <col min="6393" max="6393" width="15.42578125" style="494" customWidth="1"/>
    <col min="6394" max="6394" width="1.28515625" style="494" customWidth="1"/>
    <col min="6395" max="6395" width="27.7109375" style="494" customWidth="1"/>
    <col min="6396" max="6396" width="6.7109375" style="494" customWidth="1"/>
    <col min="6397" max="6397" width="1.5703125" style="494" customWidth="1"/>
    <col min="6398" max="6398" width="10.5703125" style="494" customWidth="1"/>
    <col min="6399" max="6399" width="5.85546875" style="494" customWidth="1"/>
    <col min="6400" max="6400" width="1.5703125" style="494" customWidth="1"/>
    <col min="6401" max="6401" width="10.5703125" style="494" customWidth="1"/>
    <col min="6402" max="6402" width="6.7109375" style="494" customWidth="1"/>
    <col min="6403" max="6403" width="1.5703125" style="494" customWidth="1"/>
    <col min="6404" max="6404" width="10.5703125" style="494" customWidth="1"/>
    <col min="6405" max="6405" width="9.7109375" style="494" customWidth="1"/>
    <col min="6406" max="6406" width="13.28515625" style="494" bestFit="1" customWidth="1"/>
    <col min="6407" max="6407" width="7.7109375" style="494" customWidth="1"/>
    <col min="6408" max="6408" width="11.42578125" style="494"/>
    <col min="6409" max="6409" width="13.28515625" style="494" bestFit="1" customWidth="1"/>
    <col min="6410" max="6646" width="11.42578125" style="494"/>
    <col min="6647" max="6647" width="0.140625" style="494" customWidth="1"/>
    <col min="6648" max="6648" width="2.7109375" style="494" customWidth="1"/>
    <col min="6649" max="6649" width="15.42578125" style="494" customWidth="1"/>
    <col min="6650" max="6650" width="1.28515625" style="494" customWidth="1"/>
    <col min="6651" max="6651" width="27.7109375" style="494" customWidth="1"/>
    <col min="6652" max="6652" width="6.7109375" style="494" customWidth="1"/>
    <col min="6653" max="6653" width="1.5703125" style="494" customWidth="1"/>
    <col min="6654" max="6654" width="10.5703125" style="494" customWidth="1"/>
    <col min="6655" max="6655" width="5.85546875" style="494" customWidth="1"/>
    <col min="6656" max="6656" width="1.5703125" style="494" customWidth="1"/>
    <col min="6657" max="6657" width="10.5703125" style="494" customWidth="1"/>
    <col min="6658" max="6658" width="6.7109375" style="494" customWidth="1"/>
    <col min="6659" max="6659" width="1.5703125" style="494" customWidth="1"/>
    <col min="6660" max="6660" width="10.5703125" style="494" customWidth="1"/>
    <col min="6661" max="6661" width="9.7109375" style="494" customWidth="1"/>
    <col min="6662" max="6662" width="13.28515625" style="494" bestFit="1" customWidth="1"/>
    <col min="6663" max="6663" width="7.7109375" style="494" customWidth="1"/>
    <col min="6664" max="6664" width="11.42578125" style="494"/>
    <col min="6665" max="6665" width="13.28515625" style="494" bestFit="1" customWidth="1"/>
    <col min="6666" max="6902" width="11.42578125" style="494"/>
    <col min="6903" max="6903" width="0.140625" style="494" customWidth="1"/>
    <col min="6904" max="6904" width="2.7109375" style="494" customWidth="1"/>
    <col min="6905" max="6905" width="15.42578125" style="494" customWidth="1"/>
    <col min="6906" max="6906" width="1.28515625" style="494" customWidth="1"/>
    <col min="6907" max="6907" width="27.7109375" style="494" customWidth="1"/>
    <col min="6908" max="6908" width="6.7109375" style="494" customWidth="1"/>
    <col min="6909" max="6909" width="1.5703125" style="494" customWidth="1"/>
    <col min="6910" max="6910" width="10.5703125" style="494" customWidth="1"/>
    <col min="6911" max="6911" width="5.85546875" style="494" customWidth="1"/>
    <col min="6912" max="6912" width="1.5703125" style="494" customWidth="1"/>
    <col min="6913" max="6913" width="10.5703125" style="494" customWidth="1"/>
    <col min="6914" max="6914" width="6.7109375" style="494" customWidth="1"/>
    <col min="6915" max="6915" width="1.5703125" style="494" customWidth="1"/>
    <col min="6916" max="6916" width="10.5703125" style="494" customWidth="1"/>
    <col min="6917" max="6917" width="9.7109375" style="494" customWidth="1"/>
    <col min="6918" max="6918" width="13.28515625" style="494" bestFit="1" customWidth="1"/>
    <col min="6919" max="6919" width="7.7109375" style="494" customWidth="1"/>
    <col min="6920" max="6920" width="11.42578125" style="494"/>
    <col min="6921" max="6921" width="13.28515625" style="494" bestFit="1" customWidth="1"/>
    <col min="6922" max="7158" width="11.42578125" style="494"/>
    <col min="7159" max="7159" width="0.140625" style="494" customWidth="1"/>
    <col min="7160" max="7160" width="2.7109375" style="494" customWidth="1"/>
    <col min="7161" max="7161" width="15.42578125" style="494" customWidth="1"/>
    <col min="7162" max="7162" width="1.28515625" style="494" customWidth="1"/>
    <col min="7163" max="7163" width="27.7109375" style="494" customWidth="1"/>
    <col min="7164" max="7164" width="6.7109375" style="494" customWidth="1"/>
    <col min="7165" max="7165" width="1.5703125" style="494" customWidth="1"/>
    <col min="7166" max="7166" width="10.5703125" style="494" customWidth="1"/>
    <col min="7167" max="7167" width="5.85546875" style="494" customWidth="1"/>
    <col min="7168" max="7168" width="1.5703125" style="494" customWidth="1"/>
    <col min="7169" max="7169" width="10.5703125" style="494" customWidth="1"/>
    <col min="7170" max="7170" width="6.7109375" style="494" customWidth="1"/>
    <col min="7171" max="7171" width="1.5703125" style="494" customWidth="1"/>
    <col min="7172" max="7172" width="10.5703125" style="494" customWidth="1"/>
    <col min="7173" max="7173" width="9.7109375" style="494" customWidth="1"/>
    <col min="7174" max="7174" width="13.28515625" style="494" bestFit="1" customWidth="1"/>
    <col min="7175" max="7175" width="7.7109375" style="494" customWidth="1"/>
    <col min="7176" max="7176" width="11.42578125" style="494"/>
    <col min="7177" max="7177" width="13.28515625" style="494" bestFit="1" customWidth="1"/>
    <col min="7178" max="7414" width="11.42578125" style="494"/>
    <col min="7415" max="7415" width="0.140625" style="494" customWidth="1"/>
    <col min="7416" max="7416" width="2.7109375" style="494" customWidth="1"/>
    <col min="7417" max="7417" width="15.42578125" style="494" customWidth="1"/>
    <col min="7418" max="7418" width="1.28515625" style="494" customWidth="1"/>
    <col min="7419" max="7419" width="27.7109375" style="494" customWidth="1"/>
    <col min="7420" max="7420" width="6.7109375" style="494" customWidth="1"/>
    <col min="7421" max="7421" width="1.5703125" style="494" customWidth="1"/>
    <col min="7422" max="7422" width="10.5703125" style="494" customWidth="1"/>
    <col min="7423" max="7423" width="5.85546875" style="494" customWidth="1"/>
    <col min="7424" max="7424" width="1.5703125" style="494" customWidth="1"/>
    <col min="7425" max="7425" width="10.5703125" style="494" customWidth="1"/>
    <col min="7426" max="7426" width="6.7109375" style="494" customWidth="1"/>
    <col min="7427" max="7427" width="1.5703125" style="494" customWidth="1"/>
    <col min="7428" max="7428" width="10.5703125" style="494" customWidth="1"/>
    <col min="7429" max="7429" width="9.7109375" style="494" customWidth="1"/>
    <col min="7430" max="7430" width="13.28515625" style="494" bestFit="1" customWidth="1"/>
    <col min="7431" max="7431" width="7.7109375" style="494" customWidth="1"/>
    <col min="7432" max="7432" width="11.42578125" style="494"/>
    <col min="7433" max="7433" width="13.28515625" style="494" bestFit="1" customWidth="1"/>
    <col min="7434" max="7670" width="11.42578125" style="494"/>
    <col min="7671" max="7671" width="0.140625" style="494" customWidth="1"/>
    <col min="7672" max="7672" width="2.7109375" style="494" customWidth="1"/>
    <col min="7673" max="7673" width="15.42578125" style="494" customWidth="1"/>
    <col min="7674" max="7674" width="1.28515625" style="494" customWidth="1"/>
    <col min="7675" max="7675" width="27.7109375" style="494" customWidth="1"/>
    <col min="7676" max="7676" width="6.7109375" style="494" customWidth="1"/>
    <col min="7677" max="7677" width="1.5703125" style="494" customWidth="1"/>
    <col min="7678" max="7678" width="10.5703125" style="494" customWidth="1"/>
    <col min="7679" max="7679" width="5.85546875" style="494" customWidth="1"/>
    <col min="7680" max="7680" width="1.5703125" style="494" customWidth="1"/>
    <col min="7681" max="7681" width="10.5703125" style="494" customWidth="1"/>
    <col min="7682" max="7682" width="6.7109375" style="494" customWidth="1"/>
    <col min="7683" max="7683" width="1.5703125" style="494" customWidth="1"/>
    <col min="7684" max="7684" width="10.5703125" style="494" customWidth="1"/>
    <col min="7685" max="7685" width="9.7109375" style="494" customWidth="1"/>
    <col min="7686" max="7686" width="13.28515625" style="494" bestFit="1" customWidth="1"/>
    <col min="7687" max="7687" width="7.7109375" style="494" customWidth="1"/>
    <col min="7688" max="7688" width="11.42578125" style="494"/>
    <col min="7689" max="7689" width="13.28515625" style="494" bestFit="1" customWidth="1"/>
    <col min="7690" max="7926" width="11.42578125" style="494"/>
    <col min="7927" max="7927" width="0.140625" style="494" customWidth="1"/>
    <col min="7928" max="7928" width="2.7109375" style="494" customWidth="1"/>
    <col min="7929" max="7929" width="15.42578125" style="494" customWidth="1"/>
    <col min="7930" max="7930" width="1.28515625" style="494" customWidth="1"/>
    <col min="7931" max="7931" width="27.7109375" style="494" customWidth="1"/>
    <col min="7932" max="7932" width="6.7109375" style="494" customWidth="1"/>
    <col min="7933" max="7933" width="1.5703125" style="494" customWidth="1"/>
    <col min="7934" max="7934" width="10.5703125" style="494" customWidth="1"/>
    <col min="7935" max="7935" width="5.85546875" style="494" customWidth="1"/>
    <col min="7936" max="7936" width="1.5703125" style="494" customWidth="1"/>
    <col min="7937" max="7937" width="10.5703125" style="494" customWidth="1"/>
    <col min="7938" max="7938" width="6.7109375" style="494" customWidth="1"/>
    <col min="7939" max="7939" width="1.5703125" style="494" customWidth="1"/>
    <col min="7940" max="7940" width="10.5703125" style="494" customWidth="1"/>
    <col min="7941" max="7941" width="9.7109375" style="494" customWidth="1"/>
    <col min="7942" max="7942" width="13.28515625" style="494" bestFit="1" customWidth="1"/>
    <col min="7943" max="7943" width="7.7109375" style="494" customWidth="1"/>
    <col min="7944" max="7944" width="11.42578125" style="494"/>
    <col min="7945" max="7945" width="13.28515625" style="494" bestFit="1" customWidth="1"/>
    <col min="7946" max="8182" width="11.42578125" style="494"/>
    <col min="8183" max="8183" width="0.140625" style="494" customWidth="1"/>
    <col min="8184" max="8184" width="2.7109375" style="494" customWidth="1"/>
    <col min="8185" max="8185" width="15.42578125" style="494" customWidth="1"/>
    <col min="8186" max="8186" width="1.28515625" style="494" customWidth="1"/>
    <col min="8187" max="8187" width="27.7109375" style="494" customWidth="1"/>
    <col min="8188" max="8188" width="6.7109375" style="494" customWidth="1"/>
    <col min="8189" max="8189" width="1.5703125" style="494" customWidth="1"/>
    <col min="8190" max="8190" width="10.5703125" style="494" customWidth="1"/>
    <col min="8191" max="8191" width="5.85546875" style="494" customWidth="1"/>
    <col min="8192" max="8192" width="1.5703125" style="494" customWidth="1"/>
    <col min="8193" max="8193" width="10.5703125" style="494" customWidth="1"/>
    <col min="8194" max="8194" width="6.7109375" style="494" customWidth="1"/>
    <col min="8195" max="8195" width="1.5703125" style="494" customWidth="1"/>
    <col min="8196" max="8196" width="10.5703125" style="494" customWidth="1"/>
    <col min="8197" max="8197" width="9.7109375" style="494" customWidth="1"/>
    <col min="8198" max="8198" width="13.28515625" style="494" bestFit="1" customWidth="1"/>
    <col min="8199" max="8199" width="7.7109375" style="494" customWidth="1"/>
    <col min="8200" max="8200" width="11.42578125" style="494"/>
    <col min="8201" max="8201" width="13.28515625" style="494" bestFit="1" customWidth="1"/>
    <col min="8202" max="8438" width="11.42578125" style="494"/>
    <col min="8439" max="8439" width="0.140625" style="494" customWidth="1"/>
    <col min="8440" max="8440" width="2.7109375" style="494" customWidth="1"/>
    <col min="8441" max="8441" width="15.42578125" style="494" customWidth="1"/>
    <col min="8442" max="8442" width="1.28515625" style="494" customWidth="1"/>
    <col min="8443" max="8443" width="27.7109375" style="494" customWidth="1"/>
    <col min="8444" max="8444" width="6.7109375" style="494" customWidth="1"/>
    <col min="8445" max="8445" width="1.5703125" style="494" customWidth="1"/>
    <col min="8446" max="8446" width="10.5703125" style="494" customWidth="1"/>
    <col min="8447" max="8447" width="5.85546875" style="494" customWidth="1"/>
    <col min="8448" max="8448" width="1.5703125" style="494" customWidth="1"/>
    <col min="8449" max="8449" width="10.5703125" style="494" customWidth="1"/>
    <col min="8450" max="8450" width="6.7109375" style="494" customWidth="1"/>
    <col min="8451" max="8451" width="1.5703125" style="494" customWidth="1"/>
    <col min="8452" max="8452" width="10.5703125" style="494" customWidth="1"/>
    <col min="8453" max="8453" width="9.7109375" style="494" customWidth="1"/>
    <col min="8454" max="8454" width="13.28515625" style="494" bestFit="1" customWidth="1"/>
    <col min="8455" max="8455" width="7.7109375" style="494" customWidth="1"/>
    <col min="8456" max="8456" width="11.42578125" style="494"/>
    <col min="8457" max="8457" width="13.28515625" style="494" bestFit="1" customWidth="1"/>
    <col min="8458" max="8694" width="11.42578125" style="494"/>
    <col min="8695" max="8695" width="0.140625" style="494" customWidth="1"/>
    <col min="8696" max="8696" width="2.7109375" style="494" customWidth="1"/>
    <col min="8697" max="8697" width="15.42578125" style="494" customWidth="1"/>
    <col min="8698" max="8698" width="1.28515625" style="494" customWidth="1"/>
    <col min="8699" max="8699" width="27.7109375" style="494" customWidth="1"/>
    <col min="8700" max="8700" width="6.7109375" style="494" customWidth="1"/>
    <col min="8701" max="8701" width="1.5703125" style="494" customWidth="1"/>
    <col min="8702" max="8702" width="10.5703125" style="494" customWidth="1"/>
    <col min="8703" max="8703" width="5.85546875" style="494" customWidth="1"/>
    <col min="8704" max="8704" width="1.5703125" style="494" customWidth="1"/>
    <col min="8705" max="8705" width="10.5703125" style="494" customWidth="1"/>
    <col min="8706" max="8706" width="6.7109375" style="494" customWidth="1"/>
    <col min="8707" max="8707" width="1.5703125" style="494" customWidth="1"/>
    <col min="8708" max="8708" width="10.5703125" style="494" customWidth="1"/>
    <col min="8709" max="8709" width="9.7109375" style="494" customWidth="1"/>
    <col min="8710" max="8710" width="13.28515625" style="494" bestFit="1" customWidth="1"/>
    <col min="8711" max="8711" width="7.7109375" style="494" customWidth="1"/>
    <col min="8712" max="8712" width="11.42578125" style="494"/>
    <col min="8713" max="8713" width="13.28515625" style="494" bestFit="1" customWidth="1"/>
    <col min="8714" max="8950" width="11.42578125" style="494"/>
    <col min="8951" max="8951" width="0.140625" style="494" customWidth="1"/>
    <col min="8952" max="8952" width="2.7109375" style="494" customWidth="1"/>
    <col min="8953" max="8953" width="15.42578125" style="494" customWidth="1"/>
    <col min="8954" max="8954" width="1.28515625" style="494" customWidth="1"/>
    <col min="8955" max="8955" width="27.7109375" style="494" customWidth="1"/>
    <col min="8956" max="8956" width="6.7109375" style="494" customWidth="1"/>
    <col min="8957" max="8957" width="1.5703125" style="494" customWidth="1"/>
    <col min="8958" max="8958" width="10.5703125" style="494" customWidth="1"/>
    <col min="8959" max="8959" width="5.85546875" style="494" customWidth="1"/>
    <col min="8960" max="8960" width="1.5703125" style="494" customWidth="1"/>
    <col min="8961" max="8961" width="10.5703125" style="494" customWidth="1"/>
    <col min="8962" max="8962" width="6.7109375" style="494" customWidth="1"/>
    <col min="8963" max="8963" width="1.5703125" style="494" customWidth="1"/>
    <col min="8964" max="8964" width="10.5703125" style="494" customWidth="1"/>
    <col min="8965" max="8965" width="9.7109375" style="494" customWidth="1"/>
    <col min="8966" max="8966" width="13.28515625" style="494" bestFit="1" customWidth="1"/>
    <col min="8967" max="8967" width="7.7109375" style="494" customWidth="1"/>
    <col min="8968" max="8968" width="11.42578125" style="494"/>
    <col min="8969" max="8969" width="13.28515625" style="494" bestFit="1" customWidth="1"/>
    <col min="8970" max="9206" width="11.42578125" style="494"/>
    <col min="9207" max="9207" width="0.140625" style="494" customWidth="1"/>
    <col min="9208" max="9208" width="2.7109375" style="494" customWidth="1"/>
    <col min="9209" max="9209" width="15.42578125" style="494" customWidth="1"/>
    <col min="9210" max="9210" width="1.28515625" style="494" customWidth="1"/>
    <col min="9211" max="9211" width="27.7109375" style="494" customWidth="1"/>
    <col min="9212" max="9212" width="6.7109375" style="494" customWidth="1"/>
    <col min="9213" max="9213" width="1.5703125" style="494" customWidth="1"/>
    <col min="9214" max="9214" width="10.5703125" style="494" customWidth="1"/>
    <col min="9215" max="9215" width="5.85546875" style="494" customWidth="1"/>
    <col min="9216" max="9216" width="1.5703125" style="494" customWidth="1"/>
    <col min="9217" max="9217" width="10.5703125" style="494" customWidth="1"/>
    <col min="9218" max="9218" width="6.7109375" style="494" customWidth="1"/>
    <col min="9219" max="9219" width="1.5703125" style="494" customWidth="1"/>
    <col min="9220" max="9220" width="10.5703125" style="494" customWidth="1"/>
    <col min="9221" max="9221" width="9.7109375" style="494" customWidth="1"/>
    <col min="9222" max="9222" width="13.28515625" style="494" bestFit="1" customWidth="1"/>
    <col min="9223" max="9223" width="7.7109375" style="494" customWidth="1"/>
    <col min="9224" max="9224" width="11.42578125" style="494"/>
    <col min="9225" max="9225" width="13.28515625" style="494" bestFit="1" customWidth="1"/>
    <col min="9226" max="9462" width="11.42578125" style="494"/>
    <col min="9463" max="9463" width="0.140625" style="494" customWidth="1"/>
    <col min="9464" max="9464" width="2.7109375" style="494" customWidth="1"/>
    <col min="9465" max="9465" width="15.42578125" style="494" customWidth="1"/>
    <col min="9466" max="9466" width="1.28515625" style="494" customWidth="1"/>
    <col min="9467" max="9467" width="27.7109375" style="494" customWidth="1"/>
    <col min="9468" max="9468" width="6.7109375" style="494" customWidth="1"/>
    <col min="9469" max="9469" width="1.5703125" style="494" customWidth="1"/>
    <col min="9470" max="9470" width="10.5703125" style="494" customWidth="1"/>
    <col min="9471" max="9471" width="5.85546875" style="494" customWidth="1"/>
    <col min="9472" max="9472" width="1.5703125" style="494" customWidth="1"/>
    <col min="9473" max="9473" width="10.5703125" style="494" customWidth="1"/>
    <col min="9474" max="9474" width="6.7109375" style="494" customWidth="1"/>
    <col min="9475" max="9475" width="1.5703125" style="494" customWidth="1"/>
    <col min="9476" max="9476" width="10.5703125" style="494" customWidth="1"/>
    <col min="9477" max="9477" width="9.7109375" style="494" customWidth="1"/>
    <col min="9478" max="9478" width="13.28515625" style="494" bestFit="1" customWidth="1"/>
    <col min="9479" max="9479" width="7.7109375" style="494" customWidth="1"/>
    <col min="9480" max="9480" width="11.42578125" style="494"/>
    <col min="9481" max="9481" width="13.28515625" style="494" bestFit="1" customWidth="1"/>
    <col min="9482" max="9718" width="11.42578125" style="494"/>
    <col min="9719" max="9719" width="0.140625" style="494" customWidth="1"/>
    <col min="9720" max="9720" width="2.7109375" style="494" customWidth="1"/>
    <col min="9721" max="9721" width="15.42578125" style="494" customWidth="1"/>
    <col min="9722" max="9722" width="1.28515625" style="494" customWidth="1"/>
    <col min="9723" max="9723" width="27.7109375" style="494" customWidth="1"/>
    <col min="9724" max="9724" width="6.7109375" style="494" customWidth="1"/>
    <col min="9725" max="9725" width="1.5703125" style="494" customWidth="1"/>
    <col min="9726" max="9726" width="10.5703125" style="494" customWidth="1"/>
    <col min="9727" max="9727" width="5.85546875" style="494" customWidth="1"/>
    <col min="9728" max="9728" width="1.5703125" style="494" customWidth="1"/>
    <col min="9729" max="9729" width="10.5703125" style="494" customWidth="1"/>
    <col min="9730" max="9730" width="6.7109375" style="494" customWidth="1"/>
    <col min="9731" max="9731" width="1.5703125" style="494" customWidth="1"/>
    <col min="9732" max="9732" width="10.5703125" style="494" customWidth="1"/>
    <col min="9733" max="9733" width="9.7109375" style="494" customWidth="1"/>
    <col min="9734" max="9734" width="13.28515625" style="494" bestFit="1" customWidth="1"/>
    <col min="9735" max="9735" width="7.7109375" style="494" customWidth="1"/>
    <col min="9736" max="9736" width="11.42578125" style="494"/>
    <col min="9737" max="9737" width="13.28515625" style="494" bestFit="1" customWidth="1"/>
    <col min="9738" max="9974" width="11.42578125" style="494"/>
    <col min="9975" max="9975" width="0.140625" style="494" customWidth="1"/>
    <col min="9976" max="9976" width="2.7109375" style="494" customWidth="1"/>
    <col min="9977" max="9977" width="15.42578125" style="494" customWidth="1"/>
    <col min="9978" max="9978" width="1.28515625" style="494" customWidth="1"/>
    <col min="9979" max="9979" width="27.7109375" style="494" customWidth="1"/>
    <col min="9980" max="9980" width="6.7109375" style="494" customWidth="1"/>
    <col min="9981" max="9981" width="1.5703125" style="494" customWidth="1"/>
    <col min="9982" max="9982" width="10.5703125" style="494" customWidth="1"/>
    <col min="9983" max="9983" width="5.85546875" style="494" customWidth="1"/>
    <col min="9984" max="9984" width="1.5703125" style="494" customWidth="1"/>
    <col min="9985" max="9985" width="10.5703125" style="494" customWidth="1"/>
    <col min="9986" max="9986" width="6.7109375" style="494" customWidth="1"/>
    <col min="9987" max="9987" width="1.5703125" style="494" customWidth="1"/>
    <col min="9988" max="9988" width="10.5703125" style="494" customWidth="1"/>
    <col min="9989" max="9989" width="9.7109375" style="494" customWidth="1"/>
    <col min="9990" max="9990" width="13.28515625" style="494" bestFit="1" customWidth="1"/>
    <col min="9991" max="9991" width="7.7109375" style="494" customWidth="1"/>
    <col min="9992" max="9992" width="11.42578125" style="494"/>
    <col min="9993" max="9993" width="13.28515625" style="494" bestFit="1" customWidth="1"/>
    <col min="9994" max="10230" width="11.42578125" style="494"/>
    <col min="10231" max="10231" width="0.140625" style="494" customWidth="1"/>
    <col min="10232" max="10232" width="2.7109375" style="494" customWidth="1"/>
    <col min="10233" max="10233" width="15.42578125" style="494" customWidth="1"/>
    <col min="10234" max="10234" width="1.28515625" style="494" customWidth="1"/>
    <col min="10235" max="10235" width="27.7109375" style="494" customWidth="1"/>
    <col min="10236" max="10236" width="6.7109375" style="494" customWidth="1"/>
    <col min="10237" max="10237" width="1.5703125" style="494" customWidth="1"/>
    <col min="10238" max="10238" width="10.5703125" style="494" customWidth="1"/>
    <col min="10239" max="10239" width="5.85546875" style="494" customWidth="1"/>
    <col min="10240" max="10240" width="1.5703125" style="494" customWidth="1"/>
    <col min="10241" max="10241" width="10.5703125" style="494" customWidth="1"/>
    <col min="10242" max="10242" width="6.7109375" style="494" customWidth="1"/>
    <col min="10243" max="10243" width="1.5703125" style="494" customWidth="1"/>
    <col min="10244" max="10244" width="10.5703125" style="494" customWidth="1"/>
    <col min="10245" max="10245" width="9.7109375" style="494" customWidth="1"/>
    <col min="10246" max="10246" width="13.28515625" style="494" bestFit="1" customWidth="1"/>
    <col min="10247" max="10247" width="7.7109375" style="494" customWidth="1"/>
    <col min="10248" max="10248" width="11.42578125" style="494"/>
    <col min="10249" max="10249" width="13.28515625" style="494" bestFit="1" customWidth="1"/>
    <col min="10250" max="10486" width="11.42578125" style="494"/>
    <col min="10487" max="10487" width="0.140625" style="494" customWidth="1"/>
    <col min="10488" max="10488" width="2.7109375" style="494" customWidth="1"/>
    <col min="10489" max="10489" width="15.42578125" style="494" customWidth="1"/>
    <col min="10490" max="10490" width="1.28515625" style="494" customWidth="1"/>
    <col min="10491" max="10491" width="27.7109375" style="494" customWidth="1"/>
    <col min="10492" max="10492" width="6.7109375" style="494" customWidth="1"/>
    <col min="10493" max="10493" width="1.5703125" style="494" customWidth="1"/>
    <col min="10494" max="10494" width="10.5703125" style="494" customWidth="1"/>
    <col min="10495" max="10495" width="5.85546875" style="494" customWidth="1"/>
    <col min="10496" max="10496" width="1.5703125" style="494" customWidth="1"/>
    <col min="10497" max="10497" width="10.5703125" style="494" customWidth="1"/>
    <col min="10498" max="10498" width="6.7109375" style="494" customWidth="1"/>
    <col min="10499" max="10499" width="1.5703125" style="494" customWidth="1"/>
    <col min="10500" max="10500" width="10.5703125" style="494" customWidth="1"/>
    <col min="10501" max="10501" width="9.7109375" style="494" customWidth="1"/>
    <col min="10502" max="10502" width="13.28515625" style="494" bestFit="1" customWidth="1"/>
    <col min="10503" max="10503" width="7.7109375" style="494" customWidth="1"/>
    <col min="10504" max="10504" width="11.42578125" style="494"/>
    <col min="10505" max="10505" width="13.28515625" style="494" bestFit="1" customWidth="1"/>
    <col min="10506" max="10742" width="11.42578125" style="494"/>
    <col min="10743" max="10743" width="0.140625" style="494" customWidth="1"/>
    <col min="10744" max="10744" width="2.7109375" style="494" customWidth="1"/>
    <col min="10745" max="10745" width="15.42578125" style="494" customWidth="1"/>
    <col min="10746" max="10746" width="1.28515625" style="494" customWidth="1"/>
    <col min="10747" max="10747" width="27.7109375" style="494" customWidth="1"/>
    <col min="10748" max="10748" width="6.7109375" style="494" customWidth="1"/>
    <col min="10749" max="10749" width="1.5703125" style="494" customWidth="1"/>
    <col min="10750" max="10750" width="10.5703125" style="494" customWidth="1"/>
    <col min="10751" max="10751" width="5.85546875" style="494" customWidth="1"/>
    <col min="10752" max="10752" width="1.5703125" style="494" customWidth="1"/>
    <col min="10753" max="10753" width="10.5703125" style="494" customWidth="1"/>
    <col min="10754" max="10754" width="6.7109375" style="494" customWidth="1"/>
    <col min="10755" max="10755" width="1.5703125" style="494" customWidth="1"/>
    <col min="10756" max="10756" width="10.5703125" style="494" customWidth="1"/>
    <col min="10757" max="10757" width="9.7109375" style="494" customWidth="1"/>
    <col min="10758" max="10758" width="13.28515625" style="494" bestFit="1" customWidth="1"/>
    <col min="10759" max="10759" width="7.7109375" style="494" customWidth="1"/>
    <col min="10760" max="10760" width="11.42578125" style="494"/>
    <col min="10761" max="10761" width="13.28515625" style="494" bestFit="1" customWidth="1"/>
    <col min="10762" max="10998" width="11.42578125" style="494"/>
    <col min="10999" max="10999" width="0.140625" style="494" customWidth="1"/>
    <col min="11000" max="11000" width="2.7109375" style="494" customWidth="1"/>
    <col min="11001" max="11001" width="15.42578125" style="494" customWidth="1"/>
    <col min="11002" max="11002" width="1.28515625" style="494" customWidth="1"/>
    <col min="11003" max="11003" width="27.7109375" style="494" customWidth="1"/>
    <col min="11004" max="11004" width="6.7109375" style="494" customWidth="1"/>
    <col min="11005" max="11005" width="1.5703125" style="494" customWidth="1"/>
    <col min="11006" max="11006" width="10.5703125" style="494" customWidth="1"/>
    <col min="11007" max="11007" width="5.85546875" style="494" customWidth="1"/>
    <col min="11008" max="11008" width="1.5703125" style="494" customWidth="1"/>
    <col min="11009" max="11009" width="10.5703125" style="494" customWidth="1"/>
    <col min="11010" max="11010" width="6.7109375" style="494" customWidth="1"/>
    <col min="11011" max="11011" width="1.5703125" style="494" customWidth="1"/>
    <col min="11012" max="11012" width="10.5703125" style="494" customWidth="1"/>
    <col min="11013" max="11013" width="9.7109375" style="494" customWidth="1"/>
    <col min="11014" max="11014" width="13.28515625" style="494" bestFit="1" customWidth="1"/>
    <col min="11015" max="11015" width="7.7109375" style="494" customWidth="1"/>
    <col min="11016" max="11016" width="11.42578125" style="494"/>
    <col min="11017" max="11017" width="13.28515625" style="494" bestFit="1" customWidth="1"/>
    <col min="11018" max="11254" width="11.42578125" style="494"/>
    <col min="11255" max="11255" width="0.140625" style="494" customWidth="1"/>
    <col min="11256" max="11256" width="2.7109375" style="494" customWidth="1"/>
    <col min="11257" max="11257" width="15.42578125" style="494" customWidth="1"/>
    <col min="11258" max="11258" width="1.28515625" style="494" customWidth="1"/>
    <col min="11259" max="11259" width="27.7109375" style="494" customWidth="1"/>
    <col min="11260" max="11260" width="6.7109375" style="494" customWidth="1"/>
    <col min="11261" max="11261" width="1.5703125" style="494" customWidth="1"/>
    <col min="11262" max="11262" width="10.5703125" style="494" customWidth="1"/>
    <col min="11263" max="11263" width="5.85546875" style="494" customWidth="1"/>
    <col min="11264" max="11264" width="1.5703125" style="494" customWidth="1"/>
    <col min="11265" max="11265" width="10.5703125" style="494" customWidth="1"/>
    <col min="11266" max="11266" width="6.7109375" style="494" customWidth="1"/>
    <col min="11267" max="11267" width="1.5703125" style="494" customWidth="1"/>
    <col min="11268" max="11268" width="10.5703125" style="494" customWidth="1"/>
    <col min="11269" max="11269" width="9.7109375" style="494" customWidth="1"/>
    <col min="11270" max="11270" width="13.28515625" style="494" bestFit="1" customWidth="1"/>
    <col min="11271" max="11271" width="7.7109375" style="494" customWidth="1"/>
    <col min="11272" max="11272" width="11.42578125" style="494"/>
    <col min="11273" max="11273" width="13.28515625" style="494" bestFit="1" customWidth="1"/>
    <col min="11274" max="11510" width="11.42578125" style="494"/>
    <col min="11511" max="11511" width="0.140625" style="494" customWidth="1"/>
    <col min="11512" max="11512" width="2.7109375" style="494" customWidth="1"/>
    <col min="11513" max="11513" width="15.42578125" style="494" customWidth="1"/>
    <col min="11514" max="11514" width="1.28515625" style="494" customWidth="1"/>
    <col min="11515" max="11515" width="27.7109375" style="494" customWidth="1"/>
    <col min="11516" max="11516" width="6.7109375" style="494" customWidth="1"/>
    <col min="11517" max="11517" width="1.5703125" style="494" customWidth="1"/>
    <col min="11518" max="11518" width="10.5703125" style="494" customWidth="1"/>
    <col min="11519" max="11519" width="5.85546875" style="494" customWidth="1"/>
    <col min="11520" max="11520" width="1.5703125" style="494" customWidth="1"/>
    <col min="11521" max="11521" width="10.5703125" style="494" customWidth="1"/>
    <col min="11522" max="11522" width="6.7109375" style="494" customWidth="1"/>
    <col min="11523" max="11523" width="1.5703125" style="494" customWidth="1"/>
    <col min="11524" max="11524" width="10.5703125" style="494" customWidth="1"/>
    <col min="11525" max="11525" width="9.7109375" style="494" customWidth="1"/>
    <col min="11526" max="11526" width="13.28515625" style="494" bestFit="1" customWidth="1"/>
    <col min="11527" max="11527" width="7.7109375" style="494" customWidth="1"/>
    <col min="11528" max="11528" width="11.42578125" style="494"/>
    <col min="11529" max="11529" width="13.28515625" style="494" bestFit="1" customWidth="1"/>
    <col min="11530" max="11766" width="11.42578125" style="494"/>
    <col min="11767" max="11767" width="0.140625" style="494" customWidth="1"/>
    <col min="11768" max="11768" width="2.7109375" style="494" customWidth="1"/>
    <col min="11769" max="11769" width="15.42578125" style="494" customWidth="1"/>
    <col min="11770" max="11770" width="1.28515625" style="494" customWidth="1"/>
    <col min="11771" max="11771" width="27.7109375" style="494" customWidth="1"/>
    <col min="11772" max="11772" width="6.7109375" style="494" customWidth="1"/>
    <col min="11773" max="11773" width="1.5703125" style="494" customWidth="1"/>
    <col min="11774" max="11774" width="10.5703125" style="494" customWidth="1"/>
    <col min="11775" max="11775" width="5.85546875" style="494" customWidth="1"/>
    <col min="11776" max="11776" width="1.5703125" style="494" customWidth="1"/>
    <col min="11777" max="11777" width="10.5703125" style="494" customWidth="1"/>
    <col min="11778" max="11778" width="6.7109375" style="494" customWidth="1"/>
    <col min="11779" max="11779" width="1.5703125" style="494" customWidth="1"/>
    <col min="11780" max="11780" width="10.5703125" style="494" customWidth="1"/>
    <col min="11781" max="11781" width="9.7109375" style="494" customWidth="1"/>
    <col min="11782" max="11782" width="13.28515625" style="494" bestFit="1" customWidth="1"/>
    <col min="11783" max="11783" width="7.7109375" style="494" customWidth="1"/>
    <col min="11784" max="11784" width="11.42578125" style="494"/>
    <col min="11785" max="11785" width="13.28515625" style="494" bestFit="1" customWidth="1"/>
    <col min="11786" max="12022" width="11.42578125" style="494"/>
    <col min="12023" max="12023" width="0.140625" style="494" customWidth="1"/>
    <col min="12024" max="12024" width="2.7109375" style="494" customWidth="1"/>
    <col min="12025" max="12025" width="15.42578125" style="494" customWidth="1"/>
    <col min="12026" max="12026" width="1.28515625" style="494" customWidth="1"/>
    <col min="12027" max="12027" width="27.7109375" style="494" customWidth="1"/>
    <col min="12028" max="12028" width="6.7109375" style="494" customWidth="1"/>
    <col min="12029" max="12029" width="1.5703125" style="494" customWidth="1"/>
    <col min="12030" max="12030" width="10.5703125" style="494" customWidth="1"/>
    <col min="12031" max="12031" width="5.85546875" style="494" customWidth="1"/>
    <col min="12032" max="12032" width="1.5703125" style="494" customWidth="1"/>
    <col min="12033" max="12033" width="10.5703125" style="494" customWidth="1"/>
    <col min="12034" max="12034" width="6.7109375" style="494" customWidth="1"/>
    <col min="12035" max="12035" width="1.5703125" style="494" customWidth="1"/>
    <col min="12036" max="12036" width="10.5703125" style="494" customWidth="1"/>
    <col min="12037" max="12037" width="9.7109375" style="494" customWidth="1"/>
    <col min="12038" max="12038" width="13.28515625" style="494" bestFit="1" customWidth="1"/>
    <col min="12039" max="12039" width="7.7109375" style="494" customWidth="1"/>
    <col min="12040" max="12040" width="11.42578125" style="494"/>
    <col min="12041" max="12041" width="13.28515625" style="494" bestFit="1" customWidth="1"/>
    <col min="12042" max="12278" width="11.42578125" style="494"/>
    <col min="12279" max="12279" width="0.140625" style="494" customWidth="1"/>
    <col min="12280" max="12280" width="2.7109375" style="494" customWidth="1"/>
    <col min="12281" max="12281" width="15.42578125" style="494" customWidth="1"/>
    <col min="12282" max="12282" width="1.28515625" style="494" customWidth="1"/>
    <col min="12283" max="12283" width="27.7109375" style="494" customWidth="1"/>
    <col min="12284" max="12284" width="6.7109375" style="494" customWidth="1"/>
    <col min="12285" max="12285" width="1.5703125" style="494" customWidth="1"/>
    <col min="12286" max="12286" width="10.5703125" style="494" customWidth="1"/>
    <col min="12287" max="12287" width="5.85546875" style="494" customWidth="1"/>
    <col min="12288" max="12288" width="1.5703125" style="494" customWidth="1"/>
    <col min="12289" max="12289" width="10.5703125" style="494" customWidth="1"/>
    <col min="12290" max="12290" width="6.7109375" style="494" customWidth="1"/>
    <col min="12291" max="12291" width="1.5703125" style="494" customWidth="1"/>
    <col min="12292" max="12292" width="10.5703125" style="494" customWidth="1"/>
    <col min="12293" max="12293" width="9.7109375" style="494" customWidth="1"/>
    <col min="12294" max="12294" width="13.28515625" style="494" bestFit="1" customWidth="1"/>
    <col min="12295" max="12295" width="7.7109375" style="494" customWidth="1"/>
    <col min="12296" max="12296" width="11.42578125" style="494"/>
    <col min="12297" max="12297" width="13.28515625" style="494" bestFit="1" customWidth="1"/>
    <col min="12298" max="12534" width="11.42578125" style="494"/>
    <col min="12535" max="12535" width="0.140625" style="494" customWidth="1"/>
    <col min="12536" max="12536" width="2.7109375" style="494" customWidth="1"/>
    <col min="12537" max="12537" width="15.42578125" style="494" customWidth="1"/>
    <col min="12538" max="12538" width="1.28515625" style="494" customWidth="1"/>
    <col min="12539" max="12539" width="27.7109375" style="494" customWidth="1"/>
    <col min="12540" max="12540" width="6.7109375" style="494" customWidth="1"/>
    <col min="12541" max="12541" width="1.5703125" style="494" customWidth="1"/>
    <col min="12542" max="12542" width="10.5703125" style="494" customWidth="1"/>
    <col min="12543" max="12543" width="5.85546875" style="494" customWidth="1"/>
    <col min="12544" max="12544" width="1.5703125" style="494" customWidth="1"/>
    <col min="12545" max="12545" width="10.5703125" style="494" customWidth="1"/>
    <col min="12546" max="12546" width="6.7109375" style="494" customWidth="1"/>
    <col min="12547" max="12547" width="1.5703125" style="494" customWidth="1"/>
    <col min="12548" max="12548" width="10.5703125" style="494" customWidth="1"/>
    <col min="12549" max="12549" width="9.7109375" style="494" customWidth="1"/>
    <col min="12550" max="12550" width="13.28515625" style="494" bestFit="1" customWidth="1"/>
    <col min="12551" max="12551" width="7.7109375" style="494" customWidth="1"/>
    <col min="12552" max="12552" width="11.42578125" style="494"/>
    <col min="12553" max="12553" width="13.28515625" style="494" bestFit="1" customWidth="1"/>
    <col min="12554" max="12790" width="11.42578125" style="494"/>
    <col min="12791" max="12791" width="0.140625" style="494" customWidth="1"/>
    <col min="12792" max="12792" width="2.7109375" style="494" customWidth="1"/>
    <col min="12793" max="12793" width="15.42578125" style="494" customWidth="1"/>
    <col min="12794" max="12794" width="1.28515625" style="494" customWidth="1"/>
    <col min="12795" max="12795" width="27.7109375" style="494" customWidth="1"/>
    <col min="12796" max="12796" width="6.7109375" style="494" customWidth="1"/>
    <col min="12797" max="12797" width="1.5703125" style="494" customWidth="1"/>
    <col min="12798" max="12798" width="10.5703125" style="494" customWidth="1"/>
    <col min="12799" max="12799" width="5.85546875" style="494" customWidth="1"/>
    <col min="12800" max="12800" width="1.5703125" style="494" customWidth="1"/>
    <col min="12801" max="12801" width="10.5703125" style="494" customWidth="1"/>
    <col min="12802" max="12802" width="6.7109375" style="494" customWidth="1"/>
    <col min="12803" max="12803" width="1.5703125" style="494" customWidth="1"/>
    <col min="12804" max="12804" width="10.5703125" style="494" customWidth="1"/>
    <col min="12805" max="12805" width="9.7109375" style="494" customWidth="1"/>
    <col min="12806" max="12806" width="13.28515625" style="494" bestFit="1" customWidth="1"/>
    <col min="12807" max="12807" width="7.7109375" style="494" customWidth="1"/>
    <col min="12808" max="12808" width="11.42578125" style="494"/>
    <col min="12809" max="12809" width="13.28515625" style="494" bestFit="1" customWidth="1"/>
    <col min="12810" max="13046" width="11.42578125" style="494"/>
    <col min="13047" max="13047" width="0.140625" style="494" customWidth="1"/>
    <col min="13048" max="13048" width="2.7109375" style="494" customWidth="1"/>
    <col min="13049" max="13049" width="15.42578125" style="494" customWidth="1"/>
    <col min="13050" max="13050" width="1.28515625" style="494" customWidth="1"/>
    <col min="13051" max="13051" width="27.7109375" style="494" customWidth="1"/>
    <col min="13052" max="13052" width="6.7109375" style="494" customWidth="1"/>
    <col min="13053" max="13053" width="1.5703125" style="494" customWidth="1"/>
    <col min="13054" max="13054" width="10.5703125" style="494" customWidth="1"/>
    <col min="13055" max="13055" width="5.85546875" style="494" customWidth="1"/>
    <col min="13056" max="13056" width="1.5703125" style="494" customWidth="1"/>
    <col min="13057" max="13057" width="10.5703125" style="494" customWidth="1"/>
    <col min="13058" max="13058" width="6.7109375" style="494" customWidth="1"/>
    <col min="13059" max="13059" width="1.5703125" style="494" customWidth="1"/>
    <col min="13060" max="13060" width="10.5703125" style="494" customWidth="1"/>
    <col min="13061" max="13061" width="9.7109375" style="494" customWidth="1"/>
    <col min="13062" max="13062" width="13.28515625" style="494" bestFit="1" customWidth="1"/>
    <col min="13063" max="13063" width="7.7109375" style="494" customWidth="1"/>
    <col min="13064" max="13064" width="11.42578125" style="494"/>
    <col min="13065" max="13065" width="13.28515625" style="494" bestFit="1" customWidth="1"/>
    <col min="13066" max="13302" width="11.42578125" style="494"/>
    <col min="13303" max="13303" width="0.140625" style="494" customWidth="1"/>
    <col min="13304" max="13304" width="2.7109375" style="494" customWidth="1"/>
    <col min="13305" max="13305" width="15.42578125" style="494" customWidth="1"/>
    <col min="13306" max="13306" width="1.28515625" style="494" customWidth="1"/>
    <col min="13307" max="13307" width="27.7109375" style="494" customWidth="1"/>
    <col min="13308" max="13308" width="6.7109375" style="494" customWidth="1"/>
    <col min="13309" max="13309" width="1.5703125" style="494" customWidth="1"/>
    <col min="13310" max="13310" width="10.5703125" style="494" customWidth="1"/>
    <col min="13311" max="13311" width="5.85546875" style="494" customWidth="1"/>
    <col min="13312" max="13312" width="1.5703125" style="494" customWidth="1"/>
    <col min="13313" max="13313" width="10.5703125" style="494" customWidth="1"/>
    <col min="13314" max="13314" width="6.7109375" style="494" customWidth="1"/>
    <col min="13315" max="13315" width="1.5703125" style="494" customWidth="1"/>
    <col min="13316" max="13316" width="10.5703125" style="494" customWidth="1"/>
    <col min="13317" max="13317" width="9.7109375" style="494" customWidth="1"/>
    <col min="13318" max="13318" width="13.28515625" style="494" bestFit="1" customWidth="1"/>
    <col min="13319" max="13319" width="7.7109375" style="494" customWidth="1"/>
    <col min="13320" max="13320" width="11.42578125" style="494"/>
    <col min="13321" max="13321" width="13.28515625" style="494" bestFit="1" customWidth="1"/>
    <col min="13322" max="13558" width="11.42578125" style="494"/>
    <col min="13559" max="13559" width="0.140625" style="494" customWidth="1"/>
    <col min="13560" max="13560" width="2.7109375" style="494" customWidth="1"/>
    <col min="13561" max="13561" width="15.42578125" style="494" customWidth="1"/>
    <col min="13562" max="13562" width="1.28515625" style="494" customWidth="1"/>
    <col min="13563" max="13563" width="27.7109375" style="494" customWidth="1"/>
    <col min="13564" max="13564" width="6.7109375" style="494" customWidth="1"/>
    <col min="13565" max="13565" width="1.5703125" style="494" customWidth="1"/>
    <col min="13566" max="13566" width="10.5703125" style="494" customWidth="1"/>
    <col min="13567" max="13567" width="5.85546875" style="494" customWidth="1"/>
    <col min="13568" max="13568" width="1.5703125" style="494" customWidth="1"/>
    <col min="13569" max="13569" width="10.5703125" style="494" customWidth="1"/>
    <col min="13570" max="13570" width="6.7109375" style="494" customWidth="1"/>
    <col min="13571" max="13571" width="1.5703125" style="494" customWidth="1"/>
    <col min="13572" max="13572" width="10.5703125" style="494" customWidth="1"/>
    <col min="13573" max="13573" width="9.7109375" style="494" customWidth="1"/>
    <col min="13574" max="13574" width="13.28515625" style="494" bestFit="1" customWidth="1"/>
    <col min="13575" max="13575" width="7.7109375" style="494" customWidth="1"/>
    <col min="13576" max="13576" width="11.42578125" style="494"/>
    <col min="13577" max="13577" width="13.28515625" style="494" bestFit="1" customWidth="1"/>
    <col min="13578" max="13814" width="11.42578125" style="494"/>
    <col min="13815" max="13815" width="0.140625" style="494" customWidth="1"/>
    <col min="13816" max="13816" width="2.7109375" style="494" customWidth="1"/>
    <col min="13817" max="13817" width="15.42578125" style="494" customWidth="1"/>
    <col min="13818" max="13818" width="1.28515625" style="494" customWidth="1"/>
    <col min="13819" max="13819" width="27.7109375" style="494" customWidth="1"/>
    <col min="13820" max="13820" width="6.7109375" style="494" customWidth="1"/>
    <col min="13821" max="13821" width="1.5703125" style="494" customWidth="1"/>
    <col min="13822" max="13822" width="10.5703125" style="494" customWidth="1"/>
    <col min="13823" max="13823" width="5.85546875" style="494" customWidth="1"/>
    <col min="13824" max="13824" width="1.5703125" style="494" customWidth="1"/>
    <col min="13825" max="13825" width="10.5703125" style="494" customWidth="1"/>
    <col min="13826" max="13826" width="6.7109375" style="494" customWidth="1"/>
    <col min="13827" max="13827" width="1.5703125" style="494" customWidth="1"/>
    <col min="13828" max="13828" width="10.5703125" style="494" customWidth="1"/>
    <col min="13829" max="13829" width="9.7109375" style="494" customWidth="1"/>
    <col min="13830" max="13830" width="13.28515625" style="494" bestFit="1" customWidth="1"/>
    <col min="13831" max="13831" width="7.7109375" style="494" customWidth="1"/>
    <col min="13832" max="13832" width="11.42578125" style="494"/>
    <col min="13833" max="13833" width="13.28515625" style="494" bestFit="1" customWidth="1"/>
    <col min="13834" max="14070" width="11.42578125" style="494"/>
    <col min="14071" max="14071" width="0.140625" style="494" customWidth="1"/>
    <col min="14072" max="14072" width="2.7109375" style="494" customWidth="1"/>
    <col min="14073" max="14073" width="15.42578125" style="494" customWidth="1"/>
    <col min="14074" max="14074" width="1.28515625" style="494" customWidth="1"/>
    <col min="14075" max="14075" width="27.7109375" style="494" customWidth="1"/>
    <col min="14076" max="14076" width="6.7109375" style="494" customWidth="1"/>
    <col min="14077" max="14077" width="1.5703125" style="494" customWidth="1"/>
    <col min="14078" max="14078" width="10.5703125" style="494" customWidth="1"/>
    <col min="14079" max="14079" width="5.85546875" style="494" customWidth="1"/>
    <col min="14080" max="14080" width="1.5703125" style="494" customWidth="1"/>
    <col min="14081" max="14081" width="10.5703125" style="494" customWidth="1"/>
    <col min="14082" max="14082" width="6.7109375" style="494" customWidth="1"/>
    <col min="14083" max="14083" width="1.5703125" style="494" customWidth="1"/>
    <col min="14084" max="14084" width="10.5703125" style="494" customWidth="1"/>
    <col min="14085" max="14085" width="9.7109375" style="494" customWidth="1"/>
    <col min="14086" max="14086" width="13.28515625" style="494" bestFit="1" customWidth="1"/>
    <col min="14087" max="14087" width="7.7109375" style="494" customWidth="1"/>
    <col min="14088" max="14088" width="11.42578125" style="494"/>
    <col min="14089" max="14089" width="13.28515625" style="494" bestFit="1" customWidth="1"/>
    <col min="14090" max="14326" width="11.42578125" style="494"/>
    <col min="14327" max="14327" width="0.140625" style="494" customWidth="1"/>
    <col min="14328" max="14328" width="2.7109375" style="494" customWidth="1"/>
    <col min="14329" max="14329" width="15.42578125" style="494" customWidth="1"/>
    <col min="14330" max="14330" width="1.28515625" style="494" customWidth="1"/>
    <col min="14331" max="14331" width="27.7109375" style="494" customWidth="1"/>
    <col min="14332" max="14332" width="6.7109375" style="494" customWidth="1"/>
    <col min="14333" max="14333" width="1.5703125" style="494" customWidth="1"/>
    <col min="14334" max="14334" width="10.5703125" style="494" customWidth="1"/>
    <col min="14335" max="14335" width="5.85546875" style="494" customWidth="1"/>
    <col min="14336" max="14336" width="1.5703125" style="494" customWidth="1"/>
    <col min="14337" max="14337" width="10.5703125" style="494" customWidth="1"/>
    <col min="14338" max="14338" width="6.7109375" style="494" customWidth="1"/>
    <col min="14339" max="14339" width="1.5703125" style="494" customWidth="1"/>
    <col min="14340" max="14340" width="10.5703125" style="494" customWidth="1"/>
    <col min="14341" max="14341" width="9.7109375" style="494" customWidth="1"/>
    <col min="14342" max="14342" width="13.28515625" style="494" bestFit="1" customWidth="1"/>
    <col min="14343" max="14343" width="7.7109375" style="494" customWidth="1"/>
    <col min="14344" max="14344" width="11.42578125" style="494"/>
    <col min="14345" max="14345" width="13.28515625" style="494" bestFit="1" customWidth="1"/>
    <col min="14346" max="14582" width="11.42578125" style="494"/>
    <col min="14583" max="14583" width="0.140625" style="494" customWidth="1"/>
    <col min="14584" max="14584" width="2.7109375" style="494" customWidth="1"/>
    <col min="14585" max="14585" width="15.42578125" style="494" customWidth="1"/>
    <col min="14586" max="14586" width="1.28515625" style="494" customWidth="1"/>
    <col min="14587" max="14587" width="27.7109375" style="494" customWidth="1"/>
    <col min="14588" max="14588" width="6.7109375" style="494" customWidth="1"/>
    <col min="14589" max="14589" width="1.5703125" style="494" customWidth="1"/>
    <col min="14590" max="14590" width="10.5703125" style="494" customWidth="1"/>
    <col min="14591" max="14591" width="5.85546875" style="494" customWidth="1"/>
    <col min="14592" max="14592" width="1.5703125" style="494" customWidth="1"/>
    <col min="14593" max="14593" width="10.5703125" style="494" customWidth="1"/>
    <col min="14594" max="14594" width="6.7109375" style="494" customWidth="1"/>
    <col min="14595" max="14595" width="1.5703125" style="494" customWidth="1"/>
    <col min="14596" max="14596" width="10.5703125" style="494" customWidth="1"/>
    <col min="14597" max="14597" width="9.7109375" style="494" customWidth="1"/>
    <col min="14598" max="14598" width="13.28515625" style="494" bestFit="1" customWidth="1"/>
    <col min="14599" max="14599" width="7.7109375" style="494" customWidth="1"/>
    <col min="14600" max="14600" width="11.42578125" style="494"/>
    <col min="14601" max="14601" width="13.28515625" style="494" bestFit="1" customWidth="1"/>
    <col min="14602" max="14838" width="11.42578125" style="494"/>
    <col min="14839" max="14839" width="0.140625" style="494" customWidth="1"/>
    <col min="14840" max="14840" width="2.7109375" style="494" customWidth="1"/>
    <col min="14841" max="14841" width="15.42578125" style="494" customWidth="1"/>
    <col min="14842" max="14842" width="1.28515625" style="494" customWidth="1"/>
    <col min="14843" max="14843" width="27.7109375" style="494" customWidth="1"/>
    <col min="14844" max="14844" width="6.7109375" style="494" customWidth="1"/>
    <col min="14845" max="14845" width="1.5703125" style="494" customWidth="1"/>
    <col min="14846" max="14846" width="10.5703125" style="494" customWidth="1"/>
    <col min="14847" max="14847" width="5.85546875" style="494" customWidth="1"/>
    <col min="14848" max="14848" width="1.5703125" style="494" customWidth="1"/>
    <col min="14849" max="14849" width="10.5703125" style="494" customWidth="1"/>
    <col min="14850" max="14850" width="6.7109375" style="494" customWidth="1"/>
    <col min="14851" max="14851" width="1.5703125" style="494" customWidth="1"/>
    <col min="14852" max="14852" width="10.5703125" style="494" customWidth="1"/>
    <col min="14853" max="14853" width="9.7109375" style="494" customWidth="1"/>
    <col min="14854" max="14854" width="13.28515625" style="494" bestFit="1" customWidth="1"/>
    <col min="14855" max="14855" width="7.7109375" style="494" customWidth="1"/>
    <col min="14856" max="14856" width="11.42578125" style="494"/>
    <col min="14857" max="14857" width="13.28515625" style="494" bestFit="1" customWidth="1"/>
    <col min="14858" max="15094" width="11.42578125" style="494"/>
    <col min="15095" max="15095" width="0.140625" style="494" customWidth="1"/>
    <col min="15096" max="15096" width="2.7109375" style="494" customWidth="1"/>
    <col min="15097" max="15097" width="15.42578125" style="494" customWidth="1"/>
    <col min="15098" max="15098" width="1.28515625" style="494" customWidth="1"/>
    <col min="15099" max="15099" width="27.7109375" style="494" customWidth="1"/>
    <col min="15100" max="15100" width="6.7109375" style="494" customWidth="1"/>
    <col min="15101" max="15101" width="1.5703125" style="494" customWidth="1"/>
    <col min="15102" max="15102" width="10.5703125" style="494" customWidth="1"/>
    <col min="15103" max="15103" width="5.85546875" style="494" customWidth="1"/>
    <col min="15104" max="15104" width="1.5703125" style="494" customWidth="1"/>
    <col min="15105" max="15105" width="10.5703125" style="494" customWidth="1"/>
    <col min="15106" max="15106" width="6.7109375" style="494" customWidth="1"/>
    <col min="15107" max="15107" width="1.5703125" style="494" customWidth="1"/>
    <col min="15108" max="15108" width="10.5703125" style="494" customWidth="1"/>
    <col min="15109" max="15109" width="9.7109375" style="494" customWidth="1"/>
    <col min="15110" max="15110" width="13.28515625" style="494" bestFit="1" customWidth="1"/>
    <col min="15111" max="15111" width="7.7109375" style="494" customWidth="1"/>
    <col min="15112" max="15112" width="11.42578125" style="494"/>
    <col min="15113" max="15113" width="13.28515625" style="494" bestFit="1" customWidth="1"/>
    <col min="15114" max="15350" width="11.42578125" style="494"/>
    <col min="15351" max="15351" width="0.140625" style="494" customWidth="1"/>
    <col min="15352" max="15352" width="2.7109375" style="494" customWidth="1"/>
    <col min="15353" max="15353" width="15.42578125" style="494" customWidth="1"/>
    <col min="15354" max="15354" width="1.28515625" style="494" customWidth="1"/>
    <col min="15355" max="15355" width="27.7109375" style="494" customWidth="1"/>
    <col min="15356" max="15356" width="6.7109375" style="494" customWidth="1"/>
    <col min="15357" max="15357" width="1.5703125" style="494" customWidth="1"/>
    <col min="15358" max="15358" width="10.5703125" style="494" customWidth="1"/>
    <col min="15359" max="15359" width="5.85546875" style="494" customWidth="1"/>
    <col min="15360" max="15360" width="1.5703125" style="494" customWidth="1"/>
    <col min="15361" max="15361" width="10.5703125" style="494" customWidth="1"/>
    <col min="15362" max="15362" width="6.7109375" style="494" customWidth="1"/>
    <col min="15363" max="15363" width="1.5703125" style="494" customWidth="1"/>
    <col min="15364" max="15364" width="10.5703125" style="494" customWidth="1"/>
    <col min="15365" max="15365" width="9.7109375" style="494" customWidth="1"/>
    <col min="15366" max="15366" width="13.28515625" style="494" bestFit="1" customWidth="1"/>
    <col min="15367" max="15367" width="7.7109375" style="494" customWidth="1"/>
    <col min="15368" max="15368" width="11.42578125" style="494"/>
    <col min="15369" max="15369" width="13.28515625" style="494" bestFit="1" customWidth="1"/>
    <col min="15370" max="15606" width="11.42578125" style="494"/>
    <col min="15607" max="15607" width="0.140625" style="494" customWidth="1"/>
    <col min="15608" max="15608" width="2.7109375" style="494" customWidth="1"/>
    <col min="15609" max="15609" width="15.42578125" style="494" customWidth="1"/>
    <col min="15610" max="15610" width="1.28515625" style="494" customWidth="1"/>
    <col min="15611" max="15611" width="27.7109375" style="494" customWidth="1"/>
    <col min="15612" max="15612" width="6.7109375" style="494" customWidth="1"/>
    <col min="15613" max="15613" width="1.5703125" style="494" customWidth="1"/>
    <col min="15614" max="15614" width="10.5703125" style="494" customWidth="1"/>
    <col min="15615" max="15615" width="5.85546875" style="494" customWidth="1"/>
    <col min="15616" max="15616" width="1.5703125" style="494" customWidth="1"/>
    <col min="15617" max="15617" width="10.5703125" style="494" customWidth="1"/>
    <col min="15618" max="15618" width="6.7109375" style="494" customWidth="1"/>
    <col min="15619" max="15619" width="1.5703125" style="494" customWidth="1"/>
    <col min="15620" max="15620" width="10.5703125" style="494" customWidth="1"/>
    <col min="15621" max="15621" width="9.7109375" style="494" customWidth="1"/>
    <col min="15622" max="15622" width="13.28515625" style="494" bestFit="1" customWidth="1"/>
    <col min="15623" max="15623" width="7.7109375" style="494" customWidth="1"/>
    <col min="15624" max="15624" width="11.42578125" style="494"/>
    <col min="15625" max="15625" width="13.28515625" style="494" bestFit="1" customWidth="1"/>
    <col min="15626" max="15862" width="11.42578125" style="494"/>
    <col min="15863" max="15863" width="0.140625" style="494" customWidth="1"/>
    <col min="15864" max="15864" width="2.7109375" style="494" customWidth="1"/>
    <col min="15865" max="15865" width="15.42578125" style="494" customWidth="1"/>
    <col min="15866" max="15866" width="1.28515625" style="494" customWidth="1"/>
    <col min="15867" max="15867" width="27.7109375" style="494" customWidth="1"/>
    <col min="15868" max="15868" width="6.7109375" style="494" customWidth="1"/>
    <col min="15869" max="15869" width="1.5703125" style="494" customWidth="1"/>
    <col min="15870" max="15870" width="10.5703125" style="494" customWidth="1"/>
    <col min="15871" max="15871" width="5.85546875" style="494" customWidth="1"/>
    <col min="15872" max="15872" width="1.5703125" style="494" customWidth="1"/>
    <col min="15873" max="15873" width="10.5703125" style="494" customWidth="1"/>
    <col min="15874" max="15874" width="6.7109375" style="494" customWidth="1"/>
    <col min="15875" max="15875" width="1.5703125" style="494" customWidth="1"/>
    <col min="15876" max="15876" width="10.5703125" style="494" customWidth="1"/>
    <col min="15877" max="15877" width="9.7109375" style="494" customWidth="1"/>
    <col min="15878" max="15878" width="13.28515625" style="494" bestFit="1" customWidth="1"/>
    <col min="15879" max="15879" width="7.7109375" style="494" customWidth="1"/>
    <col min="15880" max="15880" width="11.42578125" style="494"/>
    <col min="15881" max="15881" width="13.28515625" style="494" bestFit="1" customWidth="1"/>
    <col min="15882" max="16118" width="11.42578125" style="494"/>
    <col min="16119" max="16119" width="0.140625" style="494" customWidth="1"/>
    <col min="16120" max="16120" width="2.7109375" style="494" customWidth="1"/>
    <col min="16121" max="16121" width="15.42578125" style="494" customWidth="1"/>
    <col min="16122" max="16122" width="1.28515625" style="494" customWidth="1"/>
    <col min="16123" max="16123" width="27.7109375" style="494" customWidth="1"/>
    <col min="16124" max="16124" width="6.7109375" style="494" customWidth="1"/>
    <col min="16125" max="16125" width="1.5703125" style="494" customWidth="1"/>
    <col min="16126" max="16126" width="10.5703125" style="494" customWidth="1"/>
    <col min="16127" max="16127" width="5.85546875" style="494" customWidth="1"/>
    <col min="16128" max="16128" width="1.5703125" style="494" customWidth="1"/>
    <col min="16129" max="16129" width="10.5703125" style="494" customWidth="1"/>
    <col min="16130" max="16130" width="6.7109375" style="494" customWidth="1"/>
    <col min="16131" max="16131" width="1.5703125" style="494" customWidth="1"/>
    <col min="16132" max="16132" width="10.5703125" style="494" customWidth="1"/>
    <col min="16133" max="16133" width="9.7109375" style="494" customWidth="1"/>
    <col min="16134" max="16134" width="13.28515625" style="494" bestFit="1" customWidth="1"/>
    <col min="16135" max="16135" width="7.7109375" style="494" customWidth="1"/>
    <col min="16136" max="16136" width="11.42578125" style="494"/>
    <col min="16137" max="16137" width="13.28515625" style="494" bestFit="1" customWidth="1"/>
    <col min="16138" max="16384" width="11.42578125" style="494"/>
  </cols>
  <sheetData>
    <row r="1" spans="1:13" s="180" customFormat="1" ht="0.75" customHeight="1"/>
    <row r="2" spans="1:13" s="180" customFormat="1" ht="21" customHeight="1">
      <c r="E2" s="484"/>
      <c r="K2" s="437" t="s">
        <v>87</v>
      </c>
    </row>
    <row r="3" spans="1:13" s="180" customFormat="1" ht="15" customHeight="1">
      <c r="E3" s="136"/>
      <c r="F3" s="136"/>
      <c r="G3" s="136"/>
      <c r="H3" s="136"/>
      <c r="I3" s="136"/>
      <c r="J3" s="136"/>
      <c r="K3" s="437" t="s">
        <v>119</v>
      </c>
    </row>
    <row r="4" spans="1:13" s="485" customFormat="1" ht="20.25" customHeight="1">
      <c r="B4" s="486"/>
      <c r="C4" s="168" t="s">
        <v>136</v>
      </c>
      <c r="L4" s="487"/>
    </row>
    <row r="5" spans="1:13" s="485" customFormat="1" ht="12.75" customHeight="1">
      <c r="B5" s="486"/>
      <c r="C5" s="183"/>
      <c r="L5" s="487"/>
    </row>
    <row r="6" spans="1:13" s="485" customFormat="1" ht="13.5" customHeight="1">
      <c r="B6" s="486"/>
      <c r="C6" s="184"/>
      <c r="D6" s="488"/>
      <c r="E6" s="488"/>
      <c r="L6" s="487"/>
    </row>
    <row r="7" spans="1:13" s="485" customFormat="1" ht="12.75" customHeight="1">
      <c r="B7" s="486"/>
      <c r="C7" s="608" t="s">
        <v>389</v>
      </c>
      <c r="D7" s="488"/>
      <c r="E7" s="489"/>
      <c r="F7" s="609" t="s">
        <v>390</v>
      </c>
      <c r="G7" s="609"/>
      <c r="H7" s="609" t="s">
        <v>391</v>
      </c>
      <c r="I7" s="609"/>
      <c r="J7" s="609" t="s">
        <v>392</v>
      </c>
      <c r="K7" s="610"/>
      <c r="L7" s="487"/>
    </row>
    <row r="8" spans="1:13" s="485" customFormat="1" ht="12.75" customHeight="1">
      <c r="B8" s="486"/>
      <c r="C8" s="608"/>
      <c r="D8" s="488"/>
      <c r="E8" s="489"/>
      <c r="F8" s="611" t="s">
        <v>393</v>
      </c>
      <c r="G8" s="611"/>
      <c r="H8" s="611" t="s">
        <v>394</v>
      </c>
      <c r="I8" s="611"/>
      <c r="J8" s="611" t="s">
        <v>395</v>
      </c>
      <c r="K8" s="611"/>
      <c r="L8" s="487"/>
    </row>
    <row r="9" spans="1:13" ht="12.75" customHeight="1">
      <c r="A9" s="485"/>
      <c r="B9" s="486"/>
      <c r="C9" s="490"/>
      <c r="D9" s="488"/>
      <c r="E9" s="491"/>
      <c r="F9" s="492" t="s">
        <v>1</v>
      </c>
      <c r="G9" s="492" t="s">
        <v>320</v>
      </c>
      <c r="H9" s="492" t="s">
        <v>1</v>
      </c>
      <c r="I9" s="492" t="s">
        <v>320</v>
      </c>
      <c r="J9" s="492" t="s">
        <v>1</v>
      </c>
      <c r="K9" s="492" t="s">
        <v>320</v>
      </c>
      <c r="L9" s="493"/>
    </row>
    <row r="10" spans="1:13">
      <c r="A10" s="485"/>
      <c r="B10" s="486"/>
      <c r="C10" s="15"/>
      <c r="D10" s="488"/>
      <c r="E10" s="28" t="s">
        <v>26</v>
      </c>
      <c r="F10" s="495">
        <f>'Data 1'!H318</f>
        <v>34096.796785872</v>
      </c>
      <c r="G10" s="496">
        <f>'Data 1'!I318</f>
        <v>84.833066824838426</v>
      </c>
      <c r="H10" s="495">
        <f>'Data 5'!H62</f>
        <v>3.275909</v>
      </c>
      <c r="I10" s="496">
        <f>'Data 5'!I62</f>
        <v>0.12011079533211788</v>
      </c>
      <c r="J10" s="495">
        <f>'Data 5'!H83</f>
        <v>34100.072694872004</v>
      </c>
      <c r="K10" s="496">
        <f>'Data 5'!I83</f>
        <v>84.818044075905078</v>
      </c>
      <c r="L10" s="497"/>
      <c r="M10" s="511"/>
    </row>
    <row r="11" spans="1:13">
      <c r="A11" s="485"/>
      <c r="B11" s="486"/>
      <c r="C11" s="15"/>
      <c r="D11" s="488"/>
      <c r="E11" s="28" t="s">
        <v>396</v>
      </c>
      <c r="F11" s="495">
        <f>'Data 1'!H319</f>
        <v>2009.3771881279999</v>
      </c>
      <c r="G11" s="496">
        <f>'Data 1'!I319</f>
        <v>-10.653224580086674</v>
      </c>
      <c r="H11" s="495" t="s">
        <v>0</v>
      </c>
      <c r="I11" s="496" t="s">
        <v>0</v>
      </c>
      <c r="J11" s="495">
        <f>'Data 5'!H84</f>
        <v>2009.3771881279999</v>
      </c>
      <c r="K11" s="496">
        <f>'Data 5'!I84</f>
        <v>-10.653224580086674</v>
      </c>
      <c r="L11" s="497"/>
      <c r="M11" s="511"/>
    </row>
    <row r="12" spans="1:13">
      <c r="A12" s="485"/>
      <c r="B12" s="486"/>
      <c r="C12" s="184"/>
      <c r="D12" s="488"/>
      <c r="E12" s="28" t="s">
        <v>27</v>
      </c>
      <c r="F12" s="495">
        <f>'Data 1'!H320</f>
        <v>53197.615882999999</v>
      </c>
      <c r="G12" s="496">
        <f>'Data 1'!I320</f>
        <v>-4.2163531242208396</v>
      </c>
      <c r="H12" s="495" t="s">
        <v>0</v>
      </c>
      <c r="I12" s="496" t="s">
        <v>0</v>
      </c>
      <c r="J12" s="495">
        <f>'Data 5'!H85</f>
        <v>53197.615882999999</v>
      </c>
      <c r="K12" s="496">
        <f>'Data 5'!I85</f>
        <v>-4.2163531242208396</v>
      </c>
      <c r="L12" s="497"/>
      <c r="M12" s="511"/>
    </row>
    <row r="13" spans="1:13">
      <c r="A13" s="485"/>
      <c r="B13" s="486"/>
      <c r="C13" s="184"/>
      <c r="D13" s="488"/>
      <c r="E13" s="28" t="s">
        <v>28</v>
      </c>
      <c r="F13" s="495">
        <f>'Data 1'!H321</f>
        <v>34881.770042999997</v>
      </c>
      <c r="G13" s="496">
        <f>'Data 1'!I321</f>
        <v>-17.774122675011274</v>
      </c>
      <c r="H13" s="495">
        <f>'Data 5'!H63</f>
        <v>2391.8497910000001</v>
      </c>
      <c r="I13" s="496">
        <f>'Data 5'!I63</f>
        <v>-7.9183647749838881</v>
      </c>
      <c r="J13" s="495">
        <f>'Data 5'!H86</f>
        <v>37273.619833999997</v>
      </c>
      <c r="K13" s="496">
        <f>'Data 5'!I86</f>
        <v>-17.205464866900844</v>
      </c>
      <c r="L13" s="497"/>
      <c r="M13" s="511"/>
    </row>
    <row r="14" spans="1:13" ht="12.75" customHeight="1">
      <c r="A14" s="485"/>
      <c r="B14" s="486"/>
      <c r="C14" s="498"/>
      <c r="D14" s="488"/>
      <c r="E14" s="28" t="s">
        <v>93</v>
      </c>
      <c r="F14" s="495" t="s">
        <v>0</v>
      </c>
      <c r="G14" s="496" t="s">
        <v>0</v>
      </c>
      <c r="H14" s="495">
        <f>SUM('Data 5'!H67,'Data 5'!H69)</f>
        <v>6683.1698619999997</v>
      </c>
      <c r="I14" s="496">
        <f>((SUM('Data 5'!H67,'Data 5'!H69)/SUM('Data 5'!G67,'Data 5'!G69))-1)*100</f>
        <v>-4.5476550145139178</v>
      </c>
      <c r="J14" s="495">
        <f>'Data 5'!H87</f>
        <v>6683.1698609999994</v>
      </c>
      <c r="K14" s="496">
        <f>'Data 5'!I87</f>
        <v>-4.5476550151634427</v>
      </c>
      <c r="L14" s="497"/>
      <c r="M14" s="511"/>
    </row>
    <row r="15" spans="1:13">
      <c r="A15" s="485"/>
      <c r="B15" s="486"/>
      <c r="C15" s="498"/>
      <c r="D15" s="488"/>
      <c r="E15" s="28" t="s">
        <v>94</v>
      </c>
      <c r="F15" s="495">
        <f>'Data 1'!H323</f>
        <v>26403.084659</v>
      </c>
      <c r="G15" s="496">
        <f>'Data 1'!I323</f>
        <v>-21.531443944837246</v>
      </c>
      <c r="H15" s="495">
        <f>'Data 5'!H68</f>
        <v>3641.5508719999998</v>
      </c>
      <c r="I15" s="496">
        <f>'Data 5'!I68</f>
        <v>6.546437922422399</v>
      </c>
      <c r="J15" s="495">
        <f>'Data 5'!H88</f>
        <v>30044.635531</v>
      </c>
      <c r="K15" s="496">
        <f>'Data 5'!I88</f>
        <v>-18.942405124914252</v>
      </c>
      <c r="L15" s="497"/>
      <c r="M15" s="511"/>
    </row>
    <row r="16" spans="1:13" ht="12.75" customHeight="1">
      <c r="A16" s="485"/>
      <c r="B16" s="486"/>
      <c r="C16" s="184"/>
      <c r="D16" s="488"/>
      <c r="E16" s="28" t="s">
        <v>69</v>
      </c>
      <c r="F16" s="495" t="s">
        <v>0</v>
      </c>
      <c r="G16" s="496" t="s">
        <v>0</v>
      </c>
      <c r="H16" s="495">
        <f>'Data 5'!H70</f>
        <v>23.655544000000003</v>
      </c>
      <c r="I16" s="496">
        <f>'Data 5'!I70</f>
        <v>16.915323275172909</v>
      </c>
      <c r="J16" s="495">
        <f>'Data 5'!H89</f>
        <v>23.655544000000003</v>
      </c>
      <c r="K16" s="496">
        <f>'Data 5'!I89</f>
        <v>16.915323275172909</v>
      </c>
      <c r="L16" s="497"/>
      <c r="M16" s="511"/>
    </row>
    <row r="17" spans="1:13" ht="12.75" customHeight="1">
      <c r="A17" s="485"/>
      <c r="B17" s="486"/>
      <c r="C17" s="184"/>
      <c r="D17" s="488"/>
      <c r="E17" s="28" t="s">
        <v>50</v>
      </c>
      <c r="F17" s="495">
        <f>'Data 1'!H324</f>
        <v>48901.728058000001</v>
      </c>
      <c r="G17" s="496">
        <f>'Data 1'!I324</f>
        <v>2.933440679382282</v>
      </c>
      <c r="H17" s="495">
        <f>'Data 5'!H71</f>
        <v>624.32787499999995</v>
      </c>
      <c r="I17" s="496">
        <f>'Data 5'!I71</f>
        <v>56.532151696305142</v>
      </c>
      <c r="J17" s="495">
        <f>'Data 5'!H90</f>
        <v>49526.055933000003</v>
      </c>
      <c r="K17" s="496">
        <f>'Data 5'!I90</f>
        <v>3.3796770281893762</v>
      </c>
      <c r="L17" s="497"/>
      <c r="M17" s="511"/>
    </row>
    <row r="18" spans="1:13" ht="12.75" customHeight="1">
      <c r="A18" s="485"/>
      <c r="B18" s="486"/>
      <c r="C18" s="184"/>
      <c r="D18" s="488"/>
      <c r="E18" s="28" t="s">
        <v>51</v>
      </c>
      <c r="F18" s="495">
        <f>'Data 1'!H325</f>
        <v>7362.7444520000099</v>
      </c>
      <c r="G18" s="496">
        <f>'Data 1'!I325</f>
        <v>-7.9738865606313052</v>
      </c>
      <c r="H18" s="495">
        <f>'Data 5'!H72</f>
        <v>383.93946499999998</v>
      </c>
      <c r="I18" s="496">
        <f>'Data 5'!I72</f>
        <v>-3.2996792627182914</v>
      </c>
      <c r="J18" s="495">
        <f>'Data 5'!H91</f>
        <v>7746.6839170000103</v>
      </c>
      <c r="K18" s="496">
        <f>'Data 5'!I91</f>
        <v>-7.752892944116974</v>
      </c>
      <c r="L18" s="497"/>
      <c r="M18" s="511"/>
    </row>
    <row r="19" spans="1:13">
      <c r="A19" s="485"/>
      <c r="B19" s="486"/>
      <c r="C19" s="184"/>
      <c r="D19" s="488"/>
      <c r="E19" s="28" t="s">
        <v>67</v>
      </c>
      <c r="F19" s="495">
        <f>'Data 1'!H326</f>
        <v>4424.3286090000001</v>
      </c>
      <c r="G19" s="496">
        <f>'Data 1'!I326</f>
        <v>-17.270607060266762</v>
      </c>
      <c r="H19" s="495" t="s">
        <v>0</v>
      </c>
      <c r="I19" s="496" t="s">
        <v>0</v>
      </c>
      <c r="J19" s="495">
        <f>'Data 5'!H92</f>
        <v>4424.3286090000001</v>
      </c>
      <c r="K19" s="496">
        <f>'Data 5'!I92</f>
        <v>-17.270607060266762</v>
      </c>
      <c r="L19" s="497"/>
      <c r="M19" s="511"/>
    </row>
    <row r="20" spans="1:13">
      <c r="A20" s="485"/>
      <c r="B20" s="486"/>
      <c r="C20" s="184"/>
      <c r="D20" s="488"/>
      <c r="E20" s="28" t="s">
        <v>95</v>
      </c>
      <c r="F20" s="495">
        <f>'Data 1'!H327</f>
        <v>3546.1180210000002</v>
      </c>
      <c r="G20" s="496">
        <f>'Data 1'!I327</f>
        <v>-1.4736194468611741</v>
      </c>
      <c r="H20" s="495">
        <f>'Data 5'!H73</f>
        <v>10.264192</v>
      </c>
      <c r="I20" s="496">
        <f>'Data 5'!I73</f>
        <v>-8.2899213724088696</v>
      </c>
      <c r="J20" s="495">
        <f>'Data 5'!H93</f>
        <v>3556.3822130000003</v>
      </c>
      <c r="K20" s="496">
        <f>'Data 5'!I93</f>
        <v>-1.4947498347473553</v>
      </c>
      <c r="L20" s="497"/>
      <c r="M20" s="511"/>
    </row>
    <row r="21" spans="1:13">
      <c r="A21" s="485"/>
      <c r="B21" s="486"/>
      <c r="C21" s="184"/>
      <c r="D21" s="488"/>
      <c r="E21" s="28" t="s">
        <v>74</v>
      </c>
      <c r="F21" s="495">
        <f>'Data 1'!H328</f>
        <v>28974.772417</v>
      </c>
      <c r="G21" s="496">
        <f>'Data 1'!I328</f>
        <v>2.8365359125636758</v>
      </c>
      <c r="H21" s="495">
        <f>'Data 5'!H74</f>
        <v>34.974446</v>
      </c>
      <c r="I21" s="496">
        <f>'Data 5'!I74</f>
        <v>-3.5034207096223846</v>
      </c>
      <c r="J21" s="495">
        <f>'Data 5'!H94</f>
        <v>29009.746863</v>
      </c>
      <c r="K21" s="496">
        <f>'Data 5'!I94</f>
        <v>2.8283908521007595</v>
      </c>
      <c r="L21" s="497"/>
      <c r="M21" s="511"/>
    </row>
    <row r="22" spans="1:13">
      <c r="A22" s="485"/>
      <c r="B22" s="486"/>
      <c r="C22" s="184"/>
      <c r="D22" s="488"/>
      <c r="E22" s="28" t="s">
        <v>96</v>
      </c>
      <c r="F22" s="495">
        <f>'Data 1'!H329</f>
        <v>2295.6874865</v>
      </c>
      <c r="G22" s="496">
        <f>'Data 1'!I329</f>
        <v>-6.6463119152502248</v>
      </c>
      <c r="H22" s="495">
        <f>'Data 5'!H75</f>
        <v>141.10458349999999</v>
      </c>
      <c r="I22" s="496">
        <f>'Data 5'!I75</f>
        <v>-5.2071052000483782</v>
      </c>
      <c r="J22" s="495">
        <f>'Data 5'!H95</f>
        <v>2436.79207</v>
      </c>
      <c r="K22" s="496">
        <f>'Data 5'!I95</f>
        <v>-6.564166467069688</v>
      </c>
      <c r="L22" s="497"/>
      <c r="M22" s="511"/>
    </row>
    <row r="23" spans="1:13">
      <c r="A23" s="485"/>
      <c r="B23" s="486"/>
      <c r="C23" s="184"/>
      <c r="D23" s="488"/>
      <c r="E23" s="28" t="s">
        <v>97</v>
      </c>
      <c r="F23" s="495">
        <f>'Data 1'!H330</f>
        <v>732.97066150000001</v>
      </c>
      <c r="G23" s="496">
        <f>'Data 1'!I330</f>
        <v>0.66198250822175897</v>
      </c>
      <c r="H23" s="495">
        <f>'Data 5'!H76</f>
        <v>141.10458349999999</v>
      </c>
      <c r="I23" s="496">
        <f>'Data 5'!I76</f>
        <v>-5.2071052000483782</v>
      </c>
      <c r="J23" s="495">
        <f>'Data 5'!H96</f>
        <v>874.075245</v>
      </c>
      <c r="K23" s="496">
        <f>'Data 5'!I96</f>
        <v>-0.33418719019666643</v>
      </c>
      <c r="L23" s="497"/>
      <c r="M23" s="511"/>
    </row>
    <row r="24" spans="1:13">
      <c r="A24" s="485"/>
      <c r="B24" s="486"/>
      <c r="C24" s="184"/>
      <c r="D24" s="488"/>
      <c r="E24" s="499" t="s">
        <v>73</v>
      </c>
      <c r="F24" s="500">
        <f>SUM(F10:F23)</f>
        <v>246826.99426400001</v>
      </c>
      <c r="G24" s="501">
        <f>'Data 1'!I331</f>
        <v>-0.52284501520672988</v>
      </c>
      <c r="H24" s="500">
        <f>SUM(H10:H23)</f>
        <v>14079.217123</v>
      </c>
      <c r="I24" s="501">
        <f>'Data 5'!I77</f>
        <v>-0.72094972030862792</v>
      </c>
      <c r="J24" s="500">
        <f>SUM(J10:J23)</f>
        <v>260906.21138600004</v>
      </c>
      <c r="K24" s="501">
        <f>'Data 5'!I97</f>
        <v>-0.53355546867194237</v>
      </c>
      <c r="L24" s="497"/>
      <c r="M24" s="511"/>
    </row>
    <row r="25" spans="1:13">
      <c r="A25" s="485"/>
      <c r="B25" s="486"/>
      <c r="C25" s="184"/>
      <c r="D25" s="488"/>
      <c r="E25" s="502" t="s">
        <v>191</v>
      </c>
      <c r="F25" s="495">
        <f>'Data 1'!H332</f>
        <v>-3200.7100749189999</v>
      </c>
      <c r="G25" s="496">
        <f>'Data 1'!I332</f>
        <v>-11.278219785805454</v>
      </c>
      <c r="H25" s="495" t="s">
        <v>0</v>
      </c>
      <c r="I25" s="496" t="s">
        <v>0</v>
      </c>
      <c r="J25" s="495">
        <f>'Data 5'!H98</f>
        <v>-3200.7100749189999</v>
      </c>
      <c r="K25" s="496">
        <f>'Data 5'!I98</f>
        <v>-11.278219785805454</v>
      </c>
      <c r="L25" s="497"/>
      <c r="M25" s="511"/>
    </row>
    <row r="26" spans="1:13">
      <c r="A26" s="485"/>
      <c r="B26" s="486"/>
      <c r="C26" s="184"/>
      <c r="D26" s="488"/>
      <c r="E26" s="503" t="s">
        <v>397</v>
      </c>
      <c r="F26" s="495">
        <f>'Data 1'!H333</f>
        <v>-1233.358142</v>
      </c>
      <c r="G26" s="496">
        <f>'Data 1'!I333</f>
        <v>4.5833287183334681</v>
      </c>
      <c r="H26" s="495">
        <f>'Data 5'!H78</f>
        <v>1233.358142</v>
      </c>
      <c r="I26" s="496">
        <f>'Data 5'!I78</f>
        <v>4.5833287183334681</v>
      </c>
      <c r="J26" s="495" t="s">
        <v>0</v>
      </c>
      <c r="K26" s="496" t="s">
        <v>0</v>
      </c>
      <c r="L26" s="497"/>
      <c r="M26" s="511"/>
    </row>
    <row r="27" spans="1:13">
      <c r="A27" s="485"/>
      <c r="B27" s="486"/>
      <c r="C27" s="184"/>
      <c r="D27" s="488"/>
      <c r="E27" s="503" t="s">
        <v>398</v>
      </c>
      <c r="F27" s="504">
        <f>'Data 1'!H334</f>
        <v>11102.311146</v>
      </c>
      <c r="G27" s="505">
        <f>'Data 1'!I334</f>
        <v>21.085385414989922</v>
      </c>
      <c r="H27" s="504" t="s">
        <v>0</v>
      </c>
      <c r="I27" s="505" t="s">
        <v>0</v>
      </c>
      <c r="J27" s="504">
        <f>'Data 5'!H99</f>
        <v>11102.311146</v>
      </c>
      <c r="K27" s="505">
        <f>'Data 5'!I99</f>
        <v>21.085385414989922</v>
      </c>
      <c r="L27" s="497"/>
      <c r="M27" s="511"/>
    </row>
    <row r="28" spans="1:13" ht="16.149999999999999" customHeight="1">
      <c r="E28" s="506" t="s">
        <v>40</v>
      </c>
      <c r="F28" s="507">
        <f>SUM(F24:F27)</f>
        <v>253495.23719308097</v>
      </c>
      <c r="G28" s="508">
        <f>'Data 1'!I335</f>
        <v>0.39160650203684533</v>
      </c>
      <c r="H28" s="507">
        <f>SUM(H24:H27)</f>
        <v>15312.575264999999</v>
      </c>
      <c r="I28" s="508">
        <f>'Data 5'!I79</f>
        <v>-0.31371929822504585</v>
      </c>
      <c r="J28" s="507">
        <f>SUM(J24:J27)</f>
        <v>268807.81245708105</v>
      </c>
      <c r="K28" s="508">
        <f>'Data 5'!I100</f>
        <v>0.35115979927569096</v>
      </c>
      <c r="L28" s="497"/>
      <c r="M28" s="511"/>
    </row>
    <row r="29" spans="1:13" ht="16.899999999999999" customHeight="1">
      <c r="E29" s="612" t="s">
        <v>106</v>
      </c>
      <c r="F29" s="612"/>
      <c r="G29" s="612"/>
      <c r="H29" s="612"/>
      <c r="I29" s="612"/>
      <c r="J29" s="612"/>
      <c r="K29" s="612"/>
      <c r="L29" s="497"/>
    </row>
    <row r="30" spans="1:13" ht="12.75" customHeight="1">
      <c r="E30" s="613" t="s">
        <v>107</v>
      </c>
      <c r="F30" s="613"/>
      <c r="G30" s="613"/>
      <c r="H30" s="613"/>
      <c r="I30" s="613"/>
      <c r="J30" s="613"/>
      <c r="K30" s="613"/>
      <c r="L30" s="493"/>
    </row>
    <row r="31" spans="1:13" ht="12.75" customHeight="1">
      <c r="E31" s="613" t="s">
        <v>108</v>
      </c>
      <c r="F31" s="613"/>
      <c r="G31" s="613"/>
      <c r="H31" s="613"/>
      <c r="I31" s="613"/>
      <c r="J31" s="613"/>
      <c r="K31" s="613"/>
      <c r="L31" s="493"/>
    </row>
    <row r="32" spans="1:13" ht="12.75" customHeight="1">
      <c r="E32" s="613" t="s">
        <v>109</v>
      </c>
      <c r="F32" s="613"/>
      <c r="G32" s="613"/>
      <c r="H32" s="613"/>
      <c r="I32" s="613"/>
      <c r="J32" s="613"/>
      <c r="K32" s="613"/>
      <c r="L32" s="493"/>
    </row>
    <row r="33" spans="5:12" ht="12.75" customHeight="1">
      <c r="E33" s="613" t="s">
        <v>110</v>
      </c>
      <c r="F33" s="613"/>
      <c r="G33" s="613"/>
      <c r="H33" s="613"/>
      <c r="I33" s="613"/>
      <c r="J33" s="613"/>
      <c r="K33" s="613"/>
      <c r="L33" s="493"/>
    </row>
    <row r="34" spans="5:12" ht="12.75" customHeight="1">
      <c r="E34" s="605" t="s">
        <v>399</v>
      </c>
      <c r="F34" s="605"/>
      <c r="G34" s="605"/>
      <c r="H34" s="605"/>
      <c r="I34" s="605"/>
      <c r="J34" s="605"/>
      <c r="K34" s="605"/>
      <c r="L34" s="493"/>
    </row>
    <row r="35" spans="5:12" ht="23.25" customHeight="1">
      <c r="E35" s="605" t="s">
        <v>400</v>
      </c>
      <c r="F35" s="605"/>
      <c r="G35" s="605"/>
      <c r="H35" s="605"/>
      <c r="I35" s="605"/>
      <c r="J35" s="605"/>
      <c r="K35" s="605"/>
    </row>
    <row r="37" spans="5:12">
      <c r="E37" s="509"/>
      <c r="F37" s="510"/>
      <c r="H37" s="510"/>
      <c r="J37" s="494"/>
    </row>
    <row r="38" spans="5:12">
      <c r="E38" s="510"/>
      <c r="F38" s="510"/>
      <c r="H38" s="510"/>
    </row>
    <row r="39" spans="5:12">
      <c r="E39" s="510"/>
      <c r="F39" s="510"/>
    </row>
    <row r="40" spans="5:12">
      <c r="E40" s="510"/>
      <c r="F40" s="512"/>
    </row>
    <row r="41" spans="5:12">
      <c r="F41" s="510"/>
    </row>
    <row r="42" spans="5:12">
      <c r="E42" s="510"/>
      <c r="F42" s="512"/>
    </row>
    <row r="43" spans="5:12">
      <c r="E43" s="510"/>
      <c r="F43" s="510"/>
    </row>
    <row r="44" spans="5:12">
      <c r="E44" s="510"/>
      <c r="F44" s="510"/>
    </row>
    <row r="45" spans="5:12">
      <c r="E45" s="510"/>
      <c r="F45" s="510"/>
    </row>
    <row r="46" spans="5:12">
      <c r="E46" s="510"/>
      <c r="F46" s="510"/>
    </row>
    <row r="47" spans="5:12">
      <c r="E47" s="510"/>
      <c r="F47" s="510"/>
    </row>
    <row r="48" spans="5:12">
      <c r="E48" s="510"/>
      <c r="F48" s="510"/>
    </row>
    <row r="49" spans="1:19">
      <c r="E49" s="510"/>
      <c r="F49" s="510"/>
    </row>
    <row r="51" spans="1:19" s="511" customFormat="1">
      <c r="A51" s="180"/>
      <c r="B51" s="180"/>
      <c r="C51" s="180"/>
      <c r="D51" s="180"/>
      <c r="E51" s="494"/>
      <c r="F51" s="494"/>
      <c r="G51" s="494"/>
      <c r="I51" s="494"/>
      <c r="K51" s="494"/>
      <c r="L51" s="494"/>
      <c r="M51" s="494"/>
      <c r="N51" s="494"/>
      <c r="O51" s="494"/>
      <c r="P51" s="494"/>
      <c r="Q51" s="494"/>
      <c r="R51" s="494"/>
      <c r="S51" s="494"/>
    </row>
  </sheetData>
  <mergeCells count="14">
    <mergeCell ref="E35:K35"/>
    <mergeCell ref="E29:K29"/>
    <mergeCell ref="E30:K30"/>
    <mergeCell ref="E31:K31"/>
    <mergeCell ref="E32:K32"/>
    <mergeCell ref="E33:K33"/>
    <mergeCell ref="E34:K34"/>
    <mergeCell ref="C7:C8"/>
    <mergeCell ref="F7:G7"/>
    <mergeCell ref="H7:I7"/>
    <mergeCell ref="J7:K7"/>
    <mergeCell ref="F8:G8"/>
    <mergeCell ref="H8:I8"/>
    <mergeCell ref="J8:K8"/>
  </mergeCells>
  <hyperlinks>
    <hyperlink ref="C4" location="Indice!A1" display="Balance eléctrico, potencia instalada y red de transporte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4:G28 I24 I28" formula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92" customWidth="1"/>
    <col min="2" max="2" width="2.7109375" style="180" customWidth="1"/>
    <col min="3" max="3" width="23.7109375" style="180" customWidth="1"/>
    <col min="4" max="4" width="1.28515625" style="180" customWidth="1"/>
    <col min="5" max="5" width="11.42578125" style="180" customWidth="1"/>
    <col min="6" max="6" width="12.7109375" style="180" customWidth="1"/>
    <col min="7" max="7" width="25.7109375" style="180" customWidth="1"/>
    <col min="8" max="8" width="11.42578125" style="180" customWidth="1"/>
    <col min="9" max="9" width="25.7109375" style="180" customWidth="1"/>
    <col min="10" max="10" width="12.7109375" style="180" customWidth="1"/>
    <col min="11" max="12" width="11.42578125" style="192"/>
    <col min="13" max="13" width="22.42578125" style="192" bestFit="1" customWidth="1"/>
    <col min="14" max="16384" width="11.42578125" style="192"/>
  </cols>
  <sheetData>
    <row r="1" spans="3:24" s="180" customFormat="1" ht="0.6" customHeight="1"/>
    <row r="2" spans="3:24" s="180" customFormat="1" ht="21" customHeight="1">
      <c r="K2" s="349" t="s">
        <v>87</v>
      </c>
    </row>
    <row r="3" spans="3:24" s="180" customFormat="1" ht="15" customHeight="1">
      <c r="K3" s="349" t="s">
        <v>119</v>
      </c>
    </row>
    <row r="4" spans="3:24" s="181" customFormat="1" ht="20.100000000000001" customHeight="1">
      <c r="C4" s="168" t="s">
        <v>318</v>
      </c>
      <c r="D4" s="168"/>
      <c r="E4" s="168"/>
      <c r="F4" s="168"/>
      <c r="G4" s="168"/>
      <c r="H4" s="168"/>
      <c r="I4" s="168"/>
    </row>
    <row r="5" spans="3:24" s="181" customFormat="1" ht="12.6" customHeight="1">
      <c r="C5" s="182"/>
      <c r="D5" s="183"/>
      <c r="E5" s="183"/>
      <c r="F5" s="183"/>
      <c r="G5" s="183"/>
      <c r="H5" s="183"/>
      <c r="I5" s="183"/>
    </row>
    <row r="6" spans="3:24" s="181" customFormat="1" ht="13.5" customHeight="1">
      <c r="C6" s="182"/>
      <c r="D6" s="184"/>
      <c r="E6" s="184"/>
      <c r="F6" s="184"/>
      <c r="G6" s="184"/>
      <c r="H6" s="184"/>
      <c r="I6" s="184"/>
      <c r="J6" s="185"/>
    </row>
    <row r="7" spans="3:24" s="181" customFormat="1" ht="12.75" customHeight="1">
      <c r="C7" s="624" t="s">
        <v>382</v>
      </c>
      <c r="E7" s="414"/>
      <c r="F7" s="186"/>
      <c r="G7" s="414"/>
      <c r="H7" s="414"/>
      <c r="I7" s="414"/>
      <c r="J7" s="186"/>
      <c r="K7" s="414"/>
      <c r="L7" s="246"/>
      <c r="M7" s="246"/>
      <c r="N7" s="246"/>
      <c r="O7" s="246"/>
      <c r="P7" s="246"/>
    </row>
    <row r="8" spans="3:24" s="181" customFormat="1" ht="12.75" customHeight="1">
      <c r="C8" s="624"/>
      <c r="E8" s="414"/>
      <c r="F8" s="186"/>
      <c r="G8" s="416" t="s">
        <v>339</v>
      </c>
      <c r="H8" s="186"/>
      <c r="I8" s="416" t="s">
        <v>340</v>
      </c>
      <c r="J8" s="186"/>
      <c r="K8" s="414"/>
      <c r="L8" s="246"/>
      <c r="M8" s="246"/>
      <c r="N8" s="246"/>
      <c r="O8" s="246"/>
      <c r="P8" s="246"/>
    </row>
    <row r="9" spans="3:24" s="181" customFormat="1" ht="12.75" customHeight="1">
      <c r="C9" s="624"/>
      <c r="E9" s="414"/>
      <c r="F9" s="186"/>
      <c r="G9" s="186"/>
      <c r="H9" s="186"/>
      <c r="I9" s="186"/>
      <c r="J9" s="186"/>
      <c r="K9" s="414"/>
      <c r="L9" s="246"/>
      <c r="M9" s="246"/>
      <c r="N9" s="246"/>
      <c r="O9" s="246"/>
      <c r="P9" s="246"/>
    </row>
    <row r="10" spans="3:24" s="181" customFormat="1" ht="12.75" customHeight="1">
      <c r="C10" s="16" t="s">
        <v>337</v>
      </c>
      <c r="E10" s="414"/>
      <c r="F10" s="186"/>
      <c r="G10" s="413" t="s">
        <v>65</v>
      </c>
      <c r="H10" s="186"/>
      <c r="I10" s="415" t="s">
        <v>338</v>
      </c>
      <c r="J10" s="186"/>
      <c r="K10" s="420"/>
      <c r="L10" s="246"/>
      <c r="M10" s="246"/>
      <c r="N10" s="246"/>
      <c r="O10" s="246"/>
      <c r="P10" s="246"/>
      <c r="Q10" s="188"/>
      <c r="T10" s="188"/>
      <c r="U10" s="188"/>
      <c r="V10" s="188"/>
      <c r="W10" s="188"/>
      <c r="X10" s="188"/>
    </row>
    <row r="11" spans="3:24" s="181" customFormat="1" ht="12.75" customHeight="1">
      <c r="C11" s="182"/>
      <c r="D11" s="187"/>
      <c r="E11" s="404"/>
      <c r="F11" s="414"/>
      <c r="G11" s="414"/>
      <c r="H11" s="412"/>
      <c r="I11" s="412"/>
      <c r="J11" s="186"/>
      <c r="K11" s="420"/>
      <c r="L11" s="246"/>
      <c r="M11" s="246"/>
      <c r="N11" s="246"/>
      <c r="O11" s="246"/>
      <c r="P11" s="246"/>
      <c r="Q11" s="188"/>
      <c r="T11" s="188"/>
      <c r="U11" s="188"/>
      <c r="V11" s="188"/>
      <c r="W11" s="188"/>
      <c r="X11" s="188"/>
    </row>
    <row r="12" spans="3:24" s="181" customFormat="1" ht="12.75" customHeight="1">
      <c r="C12" s="182"/>
      <c r="D12" s="189"/>
      <c r="E12" s="417"/>
      <c r="F12" s="430">
        <v>1048.8140000000001</v>
      </c>
      <c r="G12" s="467" t="s">
        <v>345</v>
      </c>
      <c r="H12" s="640" t="s">
        <v>37</v>
      </c>
      <c r="I12" s="470" t="s">
        <v>342</v>
      </c>
      <c r="J12" s="428">
        <v>18780.261999999999</v>
      </c>
      <c r="K12" s="420"/>
      <c r="L12" s="246"/>
      <c r="M12" s="246"/>
      <c r="N12" s="246"/>
      <c r="O12" s="246"/>
      <c r="P12" s="246"/>
      <c r="Q12" s="188"/>
      <c r="T12" s="188"/>
      <c r="U12" s="188"/>
      <c r="V12" s="188"/>
      <c r="W12" s="188"/>
      <c r="X12" s="188"/>
    </row>
    <row r="13" spans="3:24" s="181" customFormat="1" ht="12.75" customHeight="1">
      <c r="C13" s="182"/>
      <c r="D13" s="190"/>
      <c r="E13" s="418"/>
      <c r="F13" s="431">
        <v>1315.386</v>
      </c>
      <c r="G13" s="468" t="s">
        <v>449</v>
      </c>
      <c r="H13" s="640"/>
      <c r="I13" s="471" t="s">
        <v>454</v>
      </c>
      <c r="J13" s="429">
        <v>26411.535</v>
      </c>
      <c r="K13" s="420"/>
      <c r="L13" s="246"/>
      <c r="M13" s="246"/>
      <c r="N13" s="246"/>
      <c r="O13" s="246"/>
      <c r="P13" s="246"/>
      <c r="Q13" s="188"/>
      <c r="T13" s="188"/>
      <c r="U13" s="188"/>
      <c r="V13" s="188"/>
      <c r="W13" s="188"/>
      <c r="X13" s="188"/>
    </row>
    <row r="14" spans="3:24" s="181" customFormat="1" ht="12.75" customHeight="1">
      <c r="C14" s="182"/>
      <c r="D14" s="184"/>
      <c r="E14" s="419"/>
      <c r="F14" s="186"/>
      <c r="G14" s="469"/>
      <c r="H14" s="414"/>
      <c r="I14" s="472"/>
      <c r="J14" s="186"/>
      <c r="K14" s="420"/>
      <c r="L14" s="246"/>
      <c r="M14" s="246"/>
      <c r="N14" s="246"/>
      <c r="O14" s="246"/>
      <c r="P14" s="246"/>
      <c r="Q14" s="188"/>
      <c r="T14" s="188"/>
      <c r="U14" s="188"/>
      <c r="V14" s="188"/>
      <c r="W14" s="188"/>
      <c r="X14" s="188"/>
    </row>
    <row r="15" spans="3:24" s="181" customFormat="1" ht="12.75" customHeight="1">
      <c r="C15" s="182"/>
      <c r="D15" s="184"/>
      <c r="E15" s="419"/>
      <c r="F15" s="430">
        <v>1403.5550000000001</v>
      </c>
      <c r="G15" s="467" t="s">
        <v>450</v>
      </c>
      <c r="H15" s="640" t="s">
        <v>38</v>
      </c>
      <c r="I15" s="470" t="s">
        <v>467</v>
      </c>
      <c r="J15" s="428">
        <v>26702.677</v>
      </c>
      <c r="K15" s="420"/>
      <c r="L15" s="246"/>
      <c r="M15" s="246"/>
      <c r="N15" s="246"/>
      <c r="O15" s="246"/>
      <c r="P15" s="246"/>
      <c r="Q15" s="188"/>
      <c r="T15" s="188"/>
      <c r="U15" s="188"/>
      <c r="V15" s="188"/>
      <c r="W15" s="188"/>
      <c r="X15" s="188"/>
    </row>
    <row r="16" spans="3:24" s="181" customFormat="1" ht="12.75" customHeight="1">
      <c r="C16" s="182"/>
      <c r="D16" s="184"/>
      <c r="E16" s="419"/>
      <c r="F16" s="431">
        <v>1375.104</v>
      </c>
      <c r="G16" s="468" t="s">
        <v>346</v>
      </c>
      <c r="H16" s="640"/>
      <c r="I16" s="471" t="s">
        <v>343</v>
      </c>
      <c r="J16" s="429">
        <v>27223.888999999999</v>
      </c>
      <c r="K16" s="414"/>
      <c r="L16" s="246"/>
      <c r="M16" s="246"/>
      <c r="N16" s="246"/>
      <c r="O16" s="246"/>
      <c r="P16" s="246"/>
    </row>
    <row r="17" spans="2:24" s="181" customFormat="1" ht="12.75" customHeight="1">
      <c r="C17" s="182"/>
      <c r="D17" s="184"/>
      <c r="E17" s="419"/>
      <c r="F17" s="186"/>
      <c r="G17" s="469"/>
      <c r="H17" s="412"/>
      <c r="I17" s="439"/>
      <c r="J17" s="186"/>
      <c r="K17" s="414"/>
      <c r="L17" s="246"/>
      <c r="M17" s="246"/>
      <c r="N17" s="246"/>
      <c r="O17" s="246"/>
      <c r="P17" s="246"/>
    </row>
    <row r="18" spans="2:24" s="181" customFormat="1" ht="12.75" customHeight="1">
      <c r="C18" s="182"/>
      <c r="D18" s="184"/>
      <c r="E18" s="419"/>
      <c r="F18" s="430">
        <v>38.271999999999998</v>
      </c>
      <c r="G18" s="467" t="s">
        <v>451</v>
      </c>
      <c r="H18" s="640" t="s">
        <v>42</v>
      </c>
      <c r="I18" s="470" t="s">
        <v>455</v>
      </c>
      <c r="J18" s="428">
        <v>692.53499999999997</v>
      </c>
      <c r="K18" s="414"/>
      <c r="L18" s="246"/>
      <c r="M18" s="246"/>
      <c r="N18" s="246"/>
      <c r="O18" s="246"/>
      <c r="P18" s="246"/>
    </row>
    <row r="19" spans="2:24" s="181" customFormat="1" ht="12.75" customHeight="1">
      <c r="C19" s="182"/>
      <c r="D19" s="184"/>
      <c r="E19" s="419"/>
      <c r="F19" s="431">
        <v>34.875999999999998</v>
      </c>
      <c r="G19" s="468" t="s">
        <v>347</v>
      </c>
      <c r="H19" s="640"/>
      <c r="I19" s="471" t="s">
        <v>344</v>
      </c>
      <c r="J19" s="429">
        <v>657.32799999999997</v>
      </c>
      <c r="K19" s="414"/>
      <c r="L19" s="246"/>
      <c r="M19" s="246"/>
      <c r="N19" s="246"/>
      <c r="O19" s="246"/>
      <c r="P19" s="246"/>
    </row>
    <row r="20" spans="2:24" s="181" customFormat="1" ht="12.75" customHeight="1">
      <c r="C20" s="182"/>
      <c r="D20" s="184"/>
      <c r="E20" s="419"/>
      <c r="F20" s="186"/>
      <c r="G20" s="469"/>
      <c r="H20" s="412"/>
      <c r="I20" s="439"/>
      <c r="J20" s="186"/>
      <c r="K20" s="414"/>
      <c r="L20" s="246"/>
      <c r="M20" s="246"/>
      <c r="N20" s="246"/>
      <c r="O20" s="246"/>
      <c r="P20" s="246"/>
    </row>
    <row r="21" spans="2:24" s="181" customFormat="1" ht="12.75" customHeight="1">
      <c r="C21" s="182"/>
      <c r="D21" s="184"/>
      <c r="E21" s="419"/>
      <c r="F21" s="430">
        <v>40.584000000000003</v>
      </c>
      <c r="G21" s="467" t="s">
        <v>452</v>
      </c>
      <c r="H21" s="640" t="s">
        <v>39</v>
      </c>
      <c r="I21" s="470" t="s">
        <v>456</v>
      </c>
      <c r="J21" s="428">
        <v>715.35400000000004</v>
      </c>
      <c r="K21" s="414"/>
      <c r="L21" s="246"/>
      <c r="M21" s="246"/>
      <c r="N21" s="246"/>
      <c r="O21" s="246"/>
      <c r="P21" s="246"/>
    </row>
    <row r="22" spans="2:24" ht="12.75" customHeight="1">
      <c r="B22" s="181"/>
      <c r="C22" s="182"/>
      <c r="D22" s="187"/>
      <c r="E22" s="404"/>
      <c r="F22" s="431">
        <v>39.896000000000001</v>
      </c>
      <c r="G22" s="468" t="s">
        <v>453</v>
      </c>
      <c r="H22" s="640"/>
      <c r="I22" s="471" t="s">
        <v>457</v>
      </c>
      <c r="J22" s="429">
        <v>762.71199999999999</v>
      </c>
      <c r="K22" s="421"/>
    </row>
    <row r="23" spans="2:24" ht="12.75" customHeight="1">
      <c r="B23" s="181"/>
      <c r="C23" s="182"/>
      <c r="D23" s="187"/>
      <c r="E23" s="404"/>
      <c r="F23" s="191"/>
      <c r="G23" s="191"/>
      <c r="H23" s="191"/>
      <c r="I23" s="191"/>
      <c r="J23" s="191"/>
      <c r="K23" s="421"/>
    </row>
    <row r="24" spans="2:24" ht="12.75" customHeight="1">
      <c r="B24" s="167"/>
      <c r="C24" s="167"/>
      <c r="D24" s="167"/>
      <c r="E24" s="298"/>
      <c r="F24" s="298"/>
      <c r="G24" s="298"/>
      <c r="H24" s="298"/>
      <c r="I24" s="298"/>
      <c r="J24" s="298"/>
      <c r="K24" s="421"/>
    </row>
    <row r="25" spans="2:24" ht="12.75" customHeight="1">
      <c r="B25" s="167"/>
      <c r="C25" s="167"/>
      <c r="D25" s="167"/>
      <c r="E25" s="167"/>
      <c r="F25" s="167"/>
      <c r="G25" s="167"/>
      <c r="H25" s="167"/>
      <c r="I25" s="167"/>
      <c r="J25" s="167"/>
      <c r="O25" s="167"/>
      <c r="T25" s="167"/>
      <c r="U25" s="167"/>
      <c r="V25" s="167"/>
      <c r="W25" s="167"/>
      <c r="X25" s="167"/>
    </row>
    <row r="26" spans="2:24" ht="12.75" customHeight="1">
      <c r="B26" s="167"/>
      <c r="C26" s="167"/>
      <c r="D26" s="167"/>
      <c r="E26" s="167"/>
      <c r="F26" s="167"/>
      <c r="G26" s="167"/>
      <c r="H26" s="167"/>
      <c r="I26" s="167"/>
      <c r="J26" s="167"/>
      <c r="O26" s="193"/>
      <c r="T26" s="193"/>
      <c r="U26" s="193"/>
      <c r="V26" s="193"/>
      <c r="W26" s="193"/>
      <c r="X26" s="193"/>
    </row>
    <row r="27" spans="2:24">
      <c r="B27" s="167"/>
      <c r="C27" s="167"/>
      <c r="D27" s="167"/>
      <c r="E27" s="167"/>
      <c r="F27" s="167"/>
      <c r="G27" s="167"/>
      <c r="H27" s="167"/>
      <c r="I27" s="167"/>
      <c r="J27" s="167"/>
      <c r="O27" s="193"/>
      <c r="T27" s="193"/>
      <c r="U27" s="193"/>
      <c r="V27" s="193"/>
      <c r="W27" s="193"/>
      <c r="X27" s="193"/>
    </row>
    <row r="28" spans="2:24">
      <c r="B28" s="167"/>
      <c r="C28" s="167"/>
      <c r="D28" s="167"/>
      <c r="E28" s="167"/>
      <c r="F28" s="167"/>
      <c r="G28" s="167"/>
      <c r="H28" s="167"/>
      <c r="I28" s="167"/>
      <c r="J28" s="167"/>
      <c r="O28" s="193"/>
      <c r="T28" s="193"/>
      <c r="U28" s="193"/>
      <c r="V28" s="193"/>
      <c r="W28" s="193"/>
      <c r="X28" s="193"/>
    </row>
    <row r="29" spans="2:24">
      <c r="B29" s="167"/>
      <c r="C29" s="167"/>
      <c r="D29" s="167"/>
      <c r="E29" s="167"/>
      <c r="F29" s="167"/>
      <c r="G29" s="167"/>
      <c r="H29" s="167"/>
      <c r="I29" s="167"/>
      <c r="J29" s="167"/>
      <c r="O29" s="193"/>
      <c r="T29" s="193"/>
      <c r="U29" s="193"/>
      <c r="V29" s="193"/>
      <c r="W29" s="193"/>
      <c r="X29" s="193"/>
    </row>
    <row r="30" spans="2:24">
      <c r="B30" s="167"/>
      <c r="C30" s="167"/>
      <c r="D30" s="167"/>
      <c r="E30" s="167"/>
      <c r="F30" s="167"/>
      <c r="G30" s="167"/>
      <c r="H30" s="167"/>
      <c r="I30" s="167"/>
      <c r="J30" s="167"/>
      <c r="O30" s="193"/>
      <c r="T30" s="193"/>
      <c r="U30" s="193"/>
      <c r="V30" s="193"/>
      <c r="W30" s="193"/>
      <c r="X30" s="193"/>
    </row>
    <row r="31" spans="2:24">
      <c r="B31" s="167"/>
      <c r="C31" s="167"/>
      <c r="D31" s="167"/>
      <c r="E31" s="167"/>
      <c r="F31" s="167"/>
      <c r="G31" s="167"/>
      <c r="H31" s="167"/>
      <c r="I31" s="167"/>
      <c r="J31" s="167"/>
    </row>
    <row r="32" spans="2:24">
      <c r="B32" s="167"/>
      <c r="C32" s="167"/>
      <c r="D32" s="167"/>
      <c r="E32" s="167"/>
      <c r="F32" s="167"/>
      <c r="G32" s="167"/>
      <c r="H32" s="167"/>
      <c r="I32" s="167"/>
      <c r="J32" s="167"/>
    </row>
    <row r="33" spans="2:10">
      <c r="B33" s="167"/>
      <c r="C33" s="167"/>
      <c r="D33" s="167"/>
      <c r="E33" s="167"/>
      <c r="F33" s="167"/>
      <c r="G33" s="167"/>
      <c r="H33" s="167"/>
      <c r="I33" s="167"/>
      <c r="J33" s="167"/>
    </row>
    <row r="34" spans="2:10">
      <c r="B34" s="167"/>
      <c r="C34" s="167"/>
      <c r="D34" s="167"/>
      <c r="E34" s="167"/>
      <c r="F34" s="167"/>
      <c r="G34" s="167"/>
      <c r="H34" s="167"/>
      <c r="I34" s="167"/>
      <c r="J34" s="167"/>
    </row>
    <row r="35" spans="2:10">
      <c r="B35" s="167"/>
      <c r="C35" s="167"/>
      <c r="D35" s="167"/>
      <c r="E35" s="167"/>
      <c r="F35" s="167"/>
      <c r="G35" s="167"/>
      <c r="H35" s="167"/>
      <c r="I35" s="167"/>
      <c r="J35" s="167"/>
    </row>
    <row r="36" spans="2:10">
      <c r="B36" s="167"/>
      <c r="C36" s="167"/>
      <c r="D36" s="167"/>
      <c r="E36" s="167"/>
      <c r="F36" s="167"/>
      <c r="G36" s="167"/>
      <c r="H36" s="167"/>
      <c r="I36" s="167"/>
      <c r="J36" s="167"/>
    </row>
    <row r="37" spans="2:10">
      <c r="B37" s="167"/>
      <c r="C37" s="167"/>
      <c r="D37" s="167"/>
      <c r="E37" s="167"/>
      <c r="F37" s="167"/>
      <c r="G37" s="167"/>
      <c r="H37" s="167"/>
      <c r="I37" s="167"/>
      <c r="J37" s="167"/>
    </row>
    <row r="38" spans="2:10">
      <c r="B38" s="167"/>
      <c r="C38" s="167"/>
      <c r="D38" s="167"/>
      <c r="E38" s="167"/>
      <c r="F38" s="167"/>
      <c r="G38" s="167"/>
      <c r="H38" s="167"/>
      <c r="I38" s="167"/>
      <c r="J38" s="167"/>
    </row>
    <row r="39" spans="2:10">
      <c r="B39" s="167"/>
      <c r="C39" s="167"/>
      <c r="D39" s="167"/>
      <c r="E39" s="167"/>
      <c r="F39" s="167"/>
      <c r="G39" s="167"/>
      <c r="H39" s="167"/>
      <c r="I39" s="167"/>
      <c r="J39" s="167"/>
    </row>
    <row r="40" spans="2:10">
      <c r="B40" s="167"/>
      <c r="C40" s="167"/>
      <c r="D40" s="167"/>
      <c r="E40" s="167"/>
      <c r="F40" s="167"/>
      <c r="G40" s="167"/>
      <c r="H40" s="167"/>
      <c r="I40" s="167"/>
      <c r="J40" s="167"/>
    </row>
    <row r="41" spans="2:10">
      <c r="B41" s="167"/>
      <c r="C41" s="167"/>
      <c r="D41" s="167"/>
      <c r="E41" s="167"/>
      <c r="F41" s="167"/>
      <c r="G41" s="167"/>
      <c r="H41" s="167"/>
      <c r="I41" s="167"/>
      <c r="J41" s="167"/>
    </row>
    <row r="42" spans="2:10">
      <c r="B42" s="167"/>
      <c r="C42" s="167"/>
      <c r="D42" s="167"/>
      <c r="E42" s="167"/>
      <c r="F42" s="167"/>
      <c r="G42" s="167"/>
      <c r="H42" s="167"/>
      <c r="I42" s="167"/>
      <c r="J42" s="167"/>
    </row>
    <row r="43" spans="2:10">
      <c r="B43" s="167"/>
      <c r="C43" s="167"/>
      <c r="D43" s="167"/>
      <c r="E43" s="167"/>
      <c r="F43" s="167"/>
      <c r="G43" s="167"/>
      <c r="H43" s="167"/>
      <c r="I43" s="167"/>
      <c r="J43" s="167"/>
    </row>
    <row r="44" spans="2:10">
      <c r="B44" s="167"/>
      <c r="C44" s="167"/>
      <c r="D44" s="167"/>
      <c r="E44" s="167"/>
      <c r="F44" s="167"/>
      <c r="G44" s="167"/>
      <c r="H44" s="167"/>
      <c r="I44" s="167"/>
      <c r="J44" s="167"/>
    </row>
    <row r="45" spans="2:10">
      <c r="B45" s="167"/>
      <c r="C45" s="167"/>
      <c r="D45" s="167"/>
      <c r="E45" s="167"/>
      <c r="F45" s="167"/>
      <c r="G45" s="167"/>
      <c r="H45" s="167"/>
      <c r="I45" s="167"/>
      <c r="J45" s="167"/>
    </row>
    <row r="46" spans="2:10">
      <c r="B46" s="167"/>
      <c r="C46" s="167"/>
      <c r="D46" s="167"/>
      <c r="E46" s="167"/>
      <c r="F46" s="167"/>
      <c r="G46" s="167"/>
      <c r="H46" s="167"/>
      <c r="I46" s="167"/>
      <c r="J46" s="167"/>
    </row>
    <row r="47" spans="2:10">
      <c r="B47" s="167"/>
      <c r="C47" s="167"/>
      <c r="D47" s="167"/>
      <c r="E47" s="167"/>
      <c r="F47" s="167"/>
      <c r="G47" s="167"/>
      <c r="H47" s="167"/>
      <c r="I47" s="167"/>
      <c r="J47" s="167"/>
    </row>
    <row r="48" spans="2:10">
      <c r="B48" s="167"/>
      <c r="C48" s="167"/>
      <c r="D48" s="167"/>
      <c r="E48" s="167"/>
      <c r="F48" s="167"/>
      <c r="G48" s="167"/>
      <c r="H48" s="167"/>
      <c r="I48" s="167"/>
      <c r="J48" s="167"/>
    </row>
    <row r="49" spans="2:10">
      <c r="B49" s="167"/>
      <c r="C49" s="167"/>
      <c r="D49" s="167"/>
      <c r="E49" s="167"/>
      <c r="F49" s="167"/>
      <c r="G49" s="167"/>
      <c r="H49" s="167"/>
      <c r="I49" s="167"/>
      <c r="J49" s="167"/>
    </row>
    <row r="50" spans="2:10">
      <c r="B50" s="167"/>
      <c r="C50" s="167"/>
      <c r="D50" s="167"/>
      <c r="E50" s="167"/>
      <c r="F50" s="167"/>
      <c r="G50" s="167"/>
      <c r="H50" s="167"/>
      <c r="I50" s="167"/>
      <c r="J50" s="167"/>
    </row>
    <row r="51" spans="2:10">
      <c r="B51" s="167"/>
      <c r="C51" s="167"/>
      <c r="D51" s="167"/>
      <c r="E51" s="167"/>
      <c r="F51" s="167"/>
      <c r="G51" s="167"/>
      <c r="H51" s="167"/>
      <c r="I51" s="167"/>
      <c r="J51" s="167"/>
    </row>
    <row r="52" spans="2:10">
      <c r="B52" s="167"/>
      <c r="C52" s="167"/>
      <c r="D52" s="167"/>
      <c r="E52" s="167"/>
      <c r="F52" s="167"/>
      <c r="G52" s="167"/>
      <c r="H52" s="167"/>
      <c r="I52" s="167"/>
      <c r="J52" s="167"/>
    </row>
    <row r="53" spans="2:10">
      <c r="B53" s="167"/>
      <c r="C53" s="167"/>
      <c r="D53" s="167"/>
      <c r="E53" s="167"/>
      <c r="F53" s="167"/>
      <c r="G53" s="167"/>
      <c r="H53" s="167"/>
      <c r="I53" s="167"/>
      <c r="J53" s="167"/>
    </row>
    <row r="54" spans="2:10">
      <c r="B54" s="167"/>
      <c r="C54" s="167"/>
      <c r="D54" s="167"/>
      <c r="E54" s="167"/>
      <c r="F54" s="167"/>
      <c r="G54" s="167"/>
      <c r="H54" s="167"/>
      <c r="I54" s="167"/>
      <c r="J54" s="167"/>
    </row>
    <row r="55" spans="2:10">
      <c r="B55" s="167"/>
      <c r="C55" s="167"/>
      <c r="D55" s="167"/>
      <c r="E55" s="167"/>
      <c r="F55" s="167"/>
      <c r="G55" s="167"/>
      <c r="H55" s="167"/>
      <c r="I55" s="167"/>
      <c r="J55" s="167"/>
    </row>
    <row r="56" spans="2:10">
      <c r="B56" s="167"/>
      <c r="C56" s="167"/>
      <c r="D56" s="167"/>
      <c r="E56" s="167"/>
      <c r="F56" s="167"/>
      <c r="G56" s="167"/>
      <c r="H56" s="167"/>
      <c r="I56" s="167"/>
      <c r="J56" s="167"/>
    </row>
    <row r="57" spans="2:10">
      <c r="B57" s="167"/>
      <c r="C57" s="167"/>
      <c r="D57" s="167"/>
      <c r="E57" s="167"/>
      <c r="F57" s="167"/>
      <c r="G57" s="167"/>
      <c r="H57" s="167"/>
      <c r="I57" s="167"/>
      <c r="J57" s="167"/>
    </row>
    <row r="58" spans="2:10">
      <c r="B58" s="167"/>
      <c r="C58" s="167"/>
      <c r="D58" s="167"/>
      <c r="E58" s="167"/>
      <c r="F58" s="167"/>
      <c r="G58" s="167"/>
      <c r="H58" s="167"/>
      <c r="I58" s="167"/>
      <c r="J58" s="167"/>
    </row>
    <row r="59" spans="2:10">
      <c r="B59" s="167"/>
      <c r="C59" s="167"/>
      <c r="D59" s="167"/>
      <c r="E59" s="167"/>
      <c r="F59" s="167"/>
      <c r="G59" s="167"/>
      <c r="H59" s="167"/>
      <c r="I59" s="167"/>
      <c r="J59" s="167"/>
    </row>
    <row r="60" spans="2:10">
      <c r="B60" s="167"/>
      <c r="C60" s="167"/>
      <c r="D60" s="167"/>
      <c r="E60" s="167"/>
      <c r="F60" s="167"/>
      <c r="G60" s="167"/>
      <c r="H60" s="167"/>
      <c r="I60" s="167"/>
      <c r="J60" s="167"/>
    </row>
    <row r="61" spans="2:10">
      <c r="B61" s="167"/>
      <c r="C61" s="167"/>
      <c r="D61" s="167"/>
      <c r="E61" s="167"/>
      <c r="F61" s="167"/>
      <c r="G61" s="167"/>
      <c r="H61" s="167"/>
      <c r="I61" s="167"/>
      <c r="J61" s="167"/>
    </row>
    <row r="62" spans="2:10">
      <c r="B62" s="167"/>
      <c r="C62" s="167"/>
      <c r="D62" s="167"/>
      <c r="E62" s="167"/>
      <c r="F62" s="167"/>
      <c r="G62" s="167"/>
      <c r="H62" s="167"/>
      <c r="I62" s="167"/>
      <c r="J62" s="167"/>
    </row>
    <row r="63" spans="2:10">
      <c r="B63" s="167"/>
      <c r="C63" s="167"/>
      <c r="D63" s="167"/>
      <c r="E63" s="167"/>
      <c r="F63" s="167"/>
      <c r="G63" s="167"/>
      <c r="H63" s="167"/>
      <c r="I63" s="167"/>
      <c r="J63" s="167"/>
    </row>
    <row r="64" spans="2:10">
      <c r="B64" s="167"/>
      <c r="C64" s="167"/>
      <c r="D64" s="167"/>
      <c r="E64" s="167"/>
      <c r="F64" s="167"/>
      <c r="G64" s="167"/>
      <c r="H64" s="167"/>
      <c r="I64" s="167"/>
      <c r="J64" s="167"/>
    </row>
    <row r="65" spans="2:10">
      <c r="B65" s="167"/>
      <c r="C65" s="167"/>
      <c r="D65" s="167"/>
      <c r="E65" s="167"/>
      <c r="F65" s="167"/>
      <c r="G65" s="167"/>
      <c r="H65" s="167"/>
      <c r="I65" s="167"/>
      <c r="J65" s="167"/>
    </row>
    <row r="66" spans="2:10">
      <c r="B66" s="167"/>
      <c r="C66" s="167"/>
      <c r="D66" s="167"/>
      <c r="E66" s="167"/>
      <c r="F66" s="167"/>
      <c r="G66" s="167"/>
      <c r="H66" s="167"/>
      <c r="I66" s="167"/>
      <c r="J66" s="167"/>
    </row>
    <row r="67" spans="2:10">
      <c r="B67" s="167"/>
      <c r="C67" s="167"/>
      <c r="D67" s="167"/>
      <c r="E67" s="167"/>
      <c r="F67" s="167"/>
      <c r="G67" s="167"/>
      <c r="H67" s="167"/>
      <c r="I67" s="167"/>
      <c r="J67" s="167"/>
    </row>
    <row r="68" spans="2:10">
      <c r="B68" s="167"/>
      <c r="C68" s="167"/>
      <c r="D68" s="167"/>
      <c r="E68" s="167"/>
      <c r="F68" s="167"/>
      <c r="G68" s="167"/>
      <c r="H68" s="167"/>
      <c r="I68" s="167"/>
      <c r="J68" s="167"/>
    </row>
    <row r="69" spans="2:10">
      <c r="B69" s="167"/>
      <c r="C69" s="167"/>
      <c r="D69" s="167"/>
      <c r="E69" s="167"/>
      <c r="F69" s="167"/>
      <c r="G69" s="167"/>
      <c r="H69" s="167"/>
      <c r="I69" s="167"/>
      <c r="J69" s="167"/>
    </row>
    <row r="70" spans="2:10">
      <c r="B70" s="167"/>
      <c r="C70" s="167"/>
      <c r="D70" s="167"/>
      <c r="E70" s="167"/>
      <c r="F70" s="167"/>
      <c r="G70" s="167"/>
      <c r="H70" s="167"/>
      <c r="I70" s="167"/>
      <c r="J70" s="167"/>
    </row>
    <row r="71" spans="2:10">
      <c r="B71" s="167"/>
      <c r="C71" s="167"/>
      <c r="D71" s="167"/>
      <c r="E71" s="167"/>
      <c r="F71" s="167"/>
      <c r="G71" s="167"/>
      <c r="H71" s="167"/>
      <c r="I71" s="167"/>
      <c r="J71" s="167"/>
    </row>
    <row r="72" spans="2:10">
      <c r="B72" s="167"/>
      <c r="C72" s="167"/>
      <c r="D72" s="167"/>
      <c r="E72" s="167"/>
      <c r="F72" s="167"/>
      <c r="G72" s="167"/>
      <c r="H72" s="167"/>
      <c r="I72" s="167"/>
      <c r="J72" s="167"/>
    </row>
    <row r="73" spans="2:10">
      <c r="B73" s="167"/>
      <c r="C73" s="167"/>
      <c r="D73" s="167"/>
      <c r="E73" s="167"/>
      <c r="F73" s="167"/>
      <c r="G73" s="167"/>
      <c r="H73" s="167"/>
      <c r="I73" s="167"/>
      <c r="J73" s="167"/>
    </row>
    <row r="74" spans="2:10">
      <c r="B74" s="167"/>
      <c r="C74" s="167"/>
      <c r="D74" s="167"/>
      <c r="E74" s="167"/>
      <c r="F74" s="167"/>
      <c r="G74" s="167"/>
      <c r="H74" s="167"/>
      <c r="I74" s="167"/>
      <c r="J74" s="167"/>
    </row>
    <row r="75" spans="2:10">
      <c r="B75" s="167"/>
      <c r="C75" s="167"/>
      <c r="D75" s="167"/>
      <c r="E75" s="167"/>
      <c r="F75" s="167"/>
      <c r="G75" s="167"/>
      <c r="H75" s="167"/>
      <c r="I75" s="167"/>
      <c r="J75" s="167"/>
    </row>
    <row r="76" spans="2:10">
      <c r="B76" s="167"/>
      <c r="C76" s="167"/>
      <c r="D76" s="167"/>
      <c r="E76" s="167"/>
      <c r="F76" s="167"/>
      <c r="G76" s="167"/>
      <c r="H76" s="167"/>
      <c r="I76" s="167"/>
      <c r="J76" s="167"/>
    </row>
    <row r="77" spans="2:10">
      <c r="B77" s="167"/>
      <c r="C77" s="167"/>
      <c r="D77" s="167"/>
      <c r="E77" s="167"/>
      <c r="F77" s="167"/>
      <c r="G77" s="167"/>
      <c r="H77" s="167"/>
      <c r="I77" s="167"/>
      <c r="J77" s="167"/>
    </row>
    <row r="78" spans="2:10">
      <c r="B78" s="167"/>
      <c r="C78" s="167"/>
      <c r="D78" s="167"/>
      <c r="E78" s="167"/>
      <c r="F78" s="167"/>
      <c r="G78" s="167"/>
      <c r="H78" s="167"/>
      <c r="I78" s="167"/>
      <c r="J78" s="167"/>
    </row>
    <row r="79" spans="2:10">
      <c r="B79" s="167"/>
      <c r="C79" s="167"/>
      <c r="D79" s="167"/>
      <c r="E79" s="167"/>
      <c r="F79" s="167"/>
      <c r="G79" s="167"/>
      <c r="H79" s="167"/>
      <c r="I79" s="167"/>
      <c r="J79" s="167"/>
    </row>
    <row r="80" spans="2:10">
      <c r="B80" s="167"/>
      <c r="C80" s="167"/>
      <c r="D80" s="167"/>
      <c r="E80" s="167"/>
      <c r="F80" s="167"/>
      <c r="G80" s="167"/>
      <c r="H80" s="167"/>
      <c r="I80" s="167"/>
      <c r="J80" s="167"/>
    </row>
    <row r="81" spans="2:10">
      <c r="B81" s="167"/>
      <c r="C81" s="167"/>
      <c r="D81" s="167"/>
      <c r="E81" s="167"/>
      <c r="F81" s="167"/>
      <c r="G81" s="167"/>
      <c r="H81" s="167"/>
      <c r="I81" s="167"/>
      <c r="J81" s="167"/>
    </row>
    <row r="82" spans="2:10">
      <c r="B82" s="167"/>
      <c r="C82" s="167"/>
      <c r="D82" s="167"/>
      <c r="E82" s="167"/>
      <c r="F82" s="167"/>
      <c r="G82" s="167"/>
      <c r="H82" s="167"/>
      <c r="I82" s="167"/>
      <c r="J82" s="167"/>
    </row>
    <row r="83" spans="2:10">
      <c r="B83" s="167"/>
      <c r="C83" s="167"/>
      <c r="D83" s="167"/>
      <c r="E83" s="167"/>
      <c r="F83" s="167"/>
      <c r="G83" s="167"/>
      <c r="H83" s="167"/>
      <c r="I83" s="167"/>
      <c r="J83" s="167"/>
    </row>
    <row r="84" spans="2:10">
      <c r="B84" s="167"/>
      <c r="C84" s="167"/>
      <c r="D84" s="167"/>
      <c r="E84" s="167"/>
      <c r="F84" s="167"/>
      <c r="G84" s="167"/>
      <c r="H84" s="167"/>
      <c r="I84" s="167"/>
      <c r="J84" s="167"/>
    </row>
    <row r="85" spans="2:10">
      <c r="B85" s="167"/>
      <c r="C85" s="167"/>
      <c r="D85" s="167"/>
      <c r="E85" s="167"/>
      <c r="F85" s="167"/>
      <c r="G85" s="167"/>
      <c r="H85" s="167"/>
      <c r="I85" s="167"/>
      <c r="J85" s="167"/>
    </row>
    <row r="86" spans="2:10">
      <c r="B86" s="167"/>
      <c r="C86" s="167"/>
      <c r="D86" s="167"/>
      <c r="E86" s="167"/>
      <c r="F86" s="167"/>
      <c r="G86" s="167"/>
      <c r="H86" s="167"/>
      <c r="I86" s="167"/>
      <c r="J86" s="167"/>
    </row>
    <row r="87" spans="2:10">
      <c r="B87" s="167"/>
      <c r="C87" s="167"/>
      <c r="D87" s="167"/>
      <c r="E87" s="167"/>
      <c r="F87" s="167"/>
      <c r="G87" s="167"/>
      <c r="H87" s="167"/>
      <c r="I87" s="167"/>
      <c r="J87" s="167"/>
    </row>
    <row r="88" spans="2:10">
      <c r="B88" s="167"/>
      <c r="C88" s="167"/>
      <c r="D88" s="167"/>
      <c r="E88" s="167"/>
      <c r="F88" s="167"/>
      <c r="G88" s="167"/>
      <c r="H88" s="167"/>
      <c r="I88" s="167"/>
      <c r="J88" s="167"/>
    </row>
    <row r="89" spans="2:10">
      <c r="B89" s="167"/>
      <c r="C89" s="167"/>
      <c r="D89" s="167"/>
      <c r="E89" s="167"/>
      <c r="F89" s="167"/>
      <c r="G89" s="167"/>
      <c r="H89" s="167"/>
      <c r="I89" s="167"/>
      <c r="J89" s="167"/>
    </row>
    <row r="90" spans="2:10">
      <c r="B90" s="167"/>
      <c r="C90" s="167"/>
      <c r="D90" s="167"/>
      <c r="E90" s="167"/>
      <c r="F90" s="167"/>
      <c r="G90" s="167"/>
      <c r="H90" s="167"/>
      <c r="I90" s="167"/>
      <c r="J90" s="167"/>
    </row>
    <row r="91" spans="2:10">
      <c r="B91" s="167"/>
      <c r="C91" s="167"/>
      <c r="D91" s="167"/>
      <c r="E91" s="167"/>
      <c r="F91" s="167"/>
      <c r="G91" s="167"/>
      <c r="H91" s="167"/>
      <c r="I91" s="167"/>
      <c r="J91" s="167"/>
    </row>
    <row r="92" spans="2:10">
      <c r="B92" s="167"/>
      <c r="C92" s="167"/>
      <c r="D92" s="167"/>
      <c r="E92" s="167"/>
      <c r="F92" s="167"/>
      <c r="G92" s="167"/>
      <c r="H92" s="167"/>
      <c r="I92" s="167"/>
      <c r="J92" s="167"/>
    </row>
    <row r="93" spans="2:10">
      <c r="B93" s="167"/>
      <c r="C93" s="167"/>
      <c r="D93" s="167"/>
      <c r="E93" s="167"/>
      <c r="F93" s="167"/>
      <c r="G93" s="167"/>
      <c r="H93" s="167"/>
      <c r="I93" s="167"/>
      <c r="J93" s="167"/>
    </row>
    <row r="94" spans="2:10">
      <c r="B94" s="167"/>
      <c r="C94" s="167"/>
      <c r="D94" s="167"/>
      <c r="E94" s="167"/>
      <c r="F94" s="167"/>
      <c r="G94" s="167"/>
      <c r="H94" s="167"/>
      <c r="I94" s="167"/>
      <c r="J94" s="167"/>
    </row>
    <row r="95" spans="2:10">
      <c r="B95" s="167"/>
      <c r="C95" s="167"/>
      <c r="D95" s="167"/>
      <c r="E95" s="167"/>
      <c r="F95" s="167"/>
      <c r="G95" s="167"/>
      <c r="H95" s="167"/>
      <c r="I95" s="167"/>
      <c r="J95" s="167"/>
    </row>
    <row r="96" spans="2:10">
      <c r="B96" s="167"/>
      <c r="C96" s="167"/>
      <c r="D96" s="167"/>
      <c r="E96" s="167"/>
      <c r="F96" s="167"/>
      <c r="G96" s="167"/>
      <c r="H96" s="167"/>
      <c r="I96" s="167"/>
      <c r="J96" s="167"/>
    </row>
    <row r="97" spans="2:10">
      <c r="B97" s="167"/>
      <c r="C97" s="167"/>
      <c r="D97" s="167"/>
      <c r="E97" s="167"/>
      <c r="F97" s="167"/>
      <c r="G97" s="167"/>
      <c r="H97" s="167"/>
      <c r="I97" s="167"/>
      <c r="J97" s="167"/>
    </row>
    <row r="98" spans="2:10">
      <c r="B98" s="167"/>
      <c r="C98" s="167"/>
      <c r="D98" s="167"/>
      <c r="E98" s="167"/>
      <c r="F98" s="167"/>
      <c r="G98" s="167"/>
      <c r="H98" s="167"/>
      <c r="I98" s="167"/>
      <c r="J98" s="167"/>
    </row>
    <row r="99" spans="2:10">
      <c r="B99" s="167"/>
      <c r="C99" s="167"/>
      <c r="D99" s="167"/>
      <c r="E99" s="167"/>
      <c r="F99" s="167"/>
      <c r="G99" s="167"/>
      <c r="H99" s="167"/>
      <c r="I99" s="167"/>
      <c r="J99" s="167"/>
    </row>
    <row r="100" spans="2:10">
      <c r="B100" s="167"/>
      <c r="C100" s="167"/>
      <c r="D100" s="167"/>
      <c r="E100" s="167"/>
      <c r="F100" s="167"/>
      <c r="G100" s="167"/>
      <c r="H100" s="167"/>
      <c r="I100" s="167"/>
      <c r="J100" s="167"/>
    </row>
    <row r="101" spans="2:10">
      <c r="B101" s="167"/>
      <c r="C101" s="167"/>
      <c r="D101" s="167"/>
      <c r="E101" s="167"/>
      <c r="F101" s="167"/>
      <c r="G101" s="167"/>
      <c r="H101" s="167"/>
      <c r="I101" s="167"/>
      <c r="J101" s="167"/>
    </row>
    <row r="102" spans="2:10">
      <c r="B102" s="167"/>
      <c r="C102" s="167"/>
      <c r="D102" s="167"/>
      <c r="E102" s="167"/>
      <c r="F102" s="167"/>
      <c r="G102" s="167"/>
      <c r="H102" s="167"/>
      <c r="I102" s="167"/>
      <c r="J102" s="167"/>
    </row>
    <row r="103" spans="2:10">
      <c r="B103" s="167"/>
      <c r="C103" s="167"/>
      <c r="D103" s="167"/>
      <c r="E103" s="167"/>
      <c r="F103" s="167"/>
      <c r="G103" s="167"/>
      <c r="H103" s="167"/>
      <c r="I103" s="167"/>
      <c r="J103" s="167"/>
    </row>
    <row r="104" spans="2:10">
      <c r="B104" s="167"/>
      <c r="C104" s="167"/>
      <c r="D104" s="167"/>
      <c r="E104" s="167"/>
      <c r="F104" s="167"/>
      <c r="G104" s="167"/>
      <c r="H104" s="167"/>
      <c r="I104" s="167"/>
      <c r="J104" s="167"/>
    </row>
    <row r="105" spans="2:10">
      <c r="B105" s="167"/>
      <c r="C105" s="167"/>
      <c r="D105" s="167"/>
      <c r="E105" s="167"/>
      <c r="F105" s="167"/>
      <c r="G105" s="167"/>
      <c r="H105" s="167"/>
      <c r="I105" s="167"/>
      <c r="J105" s="167"/>
    </row>
    <row r="106" spans="2:10">
      <c r="B106" s="167"/>
      <c r="C106" s="167"/>
      <c r="D106" s="167"/>
      <c r="E106" s="167"/>
      <c r="F106" s="167"/>
      <c r="G106" s="167"/>
      <c r="H106" s="167"/>
      <c r="I106" s="167"/>
      <c r="J106" s="167"/>
    </row>
    <row r="107" spans="2:10">
      <c r="B107" s="167"/>
      <c r="C107" s="167"/>
      <c r="D107" s="167"/>
      <c r="E107" s="167"/>
      <c r="F107" s="167"/>
      <c r="G107" s="167"/>
      <c r="H107" s="167"/>
      <c r="I107" s="167"/>
      <c r="J107" s="167"/>
    </row>
    <row r="108" spans="2:10">
      <c r="B108" s="167"/>
      <c r="C108" s="167"/>
      <c r="D108" s="167"/>
      <c r="E108" s="167"/>
      <c r="F108" s="167"/>
      <c r="G108" s="167"/>
      <c r="H108" s="167"/>
      <c r="I108" s="167"/>
      <c r="J108" s="167"/>
    </row>
    <row r="109" spans="2:10">
      <c r="B109" s="167"/>
      <c r="C109" s="167"/>
      <c r="D109" s="167"/>
      <c r="E109" s="167"/>
      <c r="F109" s="167"/>
      <c r="G109" s="167"/>
      <c r="H109" s="167"/>
      <c r="I109" s="167"/>
      <c r="J109" s="167"/>
    </row>
    <row r="110" spans="2:10">
      <c r="B110" s="167"/>
      <c r="C110" s="167"/>
      <c r="D110" s="167"/>
      <c r="E110" s="167"/>
      <c r="F110" s="167"/>
      <c r="G110" s="167"/>
      <c r="H110" s="167"/>
      <c r="I110" s="167"/>
      <c r="J110" s="167"/>
    </row>
    <row r="111" spans="2:10">
      <c r="B111" s="167"/>
      <c r="C111" s="167"/>
      <c r="D111" s="167"/>
      <c r="E111" s="167"/>
      <c r="F111" s="167"/>
      <c r="G111" s="167"/>
      <c r="H111" s="167"/>
      <c r="I111" s="167"/>
      <c r="J111" s="167"/>
    </row>
    <row r="112" spans="2:10">
      <c r="B112" s="167"/>
      <c r="C112" s="167"/>
      <c r="D112" s="167"/>
      <c r="E112" s="167"/>
      <c r="F112" s="167"/>
      <c r="G112" s="167"/>
      <c r="H112" s="167"/>
      <c r="I112" s="167"/>
      <c r="J112" s="167"/>
    </row>
    <row r="113" spans="2:10">
      <c r="B113" s="167"/>
      <c r="C113" s="167"/>
      <c r="D113" s="167"/>
      <c r="E113" s="167"/>
      <c r="F113" s="167"/>
      <c r="G113" s="167"/>
      <c r="H113" s="167"/>
      <c r="I113" s="167"/>
      <c r="J113" s="167"/>
    </row>
    <row r="114" spans="2:10">
      <c r="B114" s="167"/>
      <c r="C114" s="167"/>
      <c r="D114" s="167"/>
      <c r="E114" s="167"/>
      <c r="F114" s="167"/>
      <c r="G114" s="167"/>
      <c r="H114" s="167"/>
      <c r="I114" s="167"/>
      <c r="J114" s="167"/>
    </row>
    <row r="115" spans="2:10">
      <c r="B115" s="167"/>
      <c r="C115" s="167"/>
      <c r="D115" s="167"/>
      <c r="E115" s="167"/>
      <c r="F115" s="167"/>
      <c r="G115" s="167"/>
      <c r="H115" s="167"/>
      <c r="I115" s="167"/>
      <c r="J115" s="167"/>
    </row>
    <row r="116" spans="2:10">
      <c r="B116" s="167"/>
      <c r="C116" s="167"/>
      <c r="D116" s="167"/>
      <c r="E116" s="167"/>
      <c r="F116" s="167"/>
      <c r="G116" s="167"/>
      <c r="H116" s="167"/>
      <c r="I116" s="167"/>
      <c r="J116" s="167"/>
    </row>
    <row r="117" spans="2:10">
      <c r="B117" s="167"/>
      <c r="C117" s="167"/>
      <c r="D117" s="167"/>
      <c r="E117" s="167"/>
      <c r="F117" s="167"/>
      <c r="G117" s="167"/>
      <c r="H117" s="167"/>
      <c r="I117" s="167"/>
      <c r="J117" s="167"/>
    </row>
    <row r="118" spans="2:10">
      <c r="B118" s="167"/>
      <c r="C118" s="167"/>
      <c r="D118" s="167"/>
      <c r="E118" s="167"/>
      <c r="F118" s="167"/>
      <c r="G118" s="167"/>
      <c r="H118" s="167"/>
      <c r="I118" s="167"/>
      <c r="J118" s="167"/>
    </row>
    <row r="119" spans="2:10">
      <c r="B119" s="167"/>
      <c r="C119" s="167"/>
      <c r="D119" s="167"/>
      <c r="E119" s="167"/>
      <c r="F119" s="167"/>
      <c r="G119" s="167"/>
      <c r="H119" s="167"/>
      <c r="I119" s="167"/>
      <c r="J119" s="167"/>
    </row>
    <row r="120" spans="2:10">
      <c r="B120" s="167"/>
      <c r="C120" s="167"/>
      <c r="D120" s="167"/>
      <c r="E120" s="167"/>
      <c r="F120" s="167"/>
      <c r="G120" s="167"/>
      <c r="H120" s="167"/>
      <c r="I120" s="167"/>
      <c r="J120" s="167"/>
    </row>
    <row r="121" spans="2:10">
      <c r="B121" s="167"/>
      <c r="C121" s="167"/>
      <c r="D121" s="167"/>
      <c r="E121" s="167"/>
      <c r="F121" s="167"/>
      <c r="G121" s="167"/>
      <c r="H121" s="167"/>
      <c r="I121" s="167"/>
      <c r="J121" s="167"/>
    </row>
    <row r="122" spans="2:10">
      <c r="B122" s="167"/>
      <c r="C122" s="167"/>
      <c r="D122" s="167"/>
      <c r="E122" s="167"/>
      <c r="F122" s="167"/>
      <c r="G122" s="167"/>
      <c r="H122" s="167"/>
      <c r="I122" s="167"/>
      <c r="J122" s="167"/>
    </row>
    <row r="123" spans="2:10">
      <c r="B123" s="167"/>
      <c r="C123" s="167"/>
      <c r="D123" s="167"/>
      <c r="E123" s="167"/>
      <c r="F123" s="167"/>
      <c r="G123" s="167"/>
      <c r="H123" s="167"/>
      <c r="I123" s="167"/>
      <c r="J123" s="167"/>
    </row>
    <row r="124" spans="2:10">
      <c r="B124" s="167"/>
      <c r="C124" s="167"/>
      <c r="D124" s="167"/>
      <c r="E124" s="167"/>
      <c r="F124" s="167"/>
      <c r="G124" s="167"/>
      <c r="H124" s="167"/>
      <c r="I124" s="167"/>
      <c r="J124" s="167"/>
    </row>
    <row r="125" spans="2:10">
      <c r="B125" s="167"/>
      <c r="C125" s="167"/>
      <c r="D125" s="167"/>
      <c r="E125" s="167"/>
      <c r="F125" s="167"/>
      <c r="G125" s="167"/>
      <c r="H125" s="167"/>
      <c r="I125" s="167"/>
      <c r="J125" s="167"/>
    </row>
    <row r="126" spans="2:10">
      <c r="B126" s="167"/>
      <c r="C126" s="167"/>
      <c r="D126" s="167"/>
      <c r="E126" s="167"/>
      <c r="F126" s="167"/>
      <c r="G126" s="167"/>
      <c r="H126" s="167"/>
      <c r="I126" s="167"/>
      <c r="J126" s="167"/>
    </row>
    <row r="127" spans="2:10">
      <c r="B127" s="167"/>
      <c r="C127" s="167"/>
      <c r="D127" s="167"/>
      <c r="E127" s="167"/>
      <c r="F127" s="167"/>
      <c r="G127" s="167"/>
      <c r="H127" s="167"/>
      <c r="I127" s="167"/>
      <c r="J127" s="167"/>
    </row>
    <row r="128" spans="2:10">
      <c r="B128" s="167"/>
      <c r="C128" s="167"/>
      <c r="D128" s="167"/>
      <c r="E128" s="167"/>
      <c r="F128" s="167"/>
      <c r="G128" s="167"/>
      <c r="H128" s="167"/>
      <c r="I128" s="167"/>
      <c r="J128" s="167"/>
    </row>
    <row r="129" spans="2:10">
      <c r="B129" s="167"/>
      <c r="C129" s="167"/>
      <c r="D129" s="167"/>
      <c r="E129" s="167"/>
      <c r="F129" s="167"/>
      <c r="G129" s="167"/>
      <c r="H129" s="167"/>
      <c r="I129" s="167"/>
      <c r="J129" s="167"/>
    </row>
    <row r="130" spans="2:10">
      <c r="B130" s="167"/>
      <c r="C130" s="167"/>
      <c r="D130" s="167"/>
      <c r="E130" s="167"/>
      <c r="F130" s="167"/>
      <c r="G130" s="167"/>
      <c r="H130" s="167"/>
      <c r="I130" s="167"/>
      <c r="J130" s="167"/>
    </row>
    <row r="131" spans="2:10">
      <c r="B131" s="167"/>
      <c r="C131" s="167"/>
      <c r="D131" s="167"/>
      <c r="E131" s="167"/>
      <c r="F131" s="167"/>
      <c r="G131" s="167"/>
      <c r="H131" s="167"/>
      <c r="I131" s="167"/>
      <c r="J131" s="167"/>
    </row>
    <row r="132" spans="2:10">
      <c r="B132" s="167"/>
      <c r="C132" s="167"/>
      <c r="D132" s="167"/>
      <c r="E132" s="167"/>
      <c r="F132" s="167"/>
      <c r="G132" s="167"/>
      <c r="H132" s="167"/>
      <c r="I132" s="167"/>
      <c r="J132" s="167"/>
    </row>
    <row r="133" spans="2:10">
      <c r="B133" s="167"/>
      <c r="C133" s="167"/>
      <c r="D133" s="167"/>
      <c r="E133" s="167"/>
      <c r="F133" s="167"/>
      <c r="G133" s="167"/>
      <c r="H133" s="167"/>
      <c r="I133" s="167"/>
      <c r="J133" s="167"/>
    </row>
    <row r="134" spans="2:10">
      <c r="B134" s="167"/>
      <c r="C134" s="167"/>
      <c r="D134" s="167"/>
      <c r="E134" s="167"/>
      <c r="F134" s="167"/>
      <c r="G134" s="167"/>
      <c r="H134" s="167"/>
      <c r="I134" s="167"/>
      <c r="J134" s="167"/>
    </row>
    <row r="135" spans="2:10">
      <c r="B135" s="167"/>
      <c r="C135" s="167"/>
      <c r="D135" s="167"/>
      <c r="E135" s="167"/>
      <c r="F135" s="167"/>
      <c r="G135" s="167"/>
      <c r="H135" s="167"/>
      <c r="I135" s="167"/>
      <c r="J135" s="167"/>
    </row>
    <row r="136" spans="2:10">
      <c r="B136" s="167"/>
      <c r="C136" s="167"/>
      <c r="D136" s="167"/>
      <c r="E136" s="167"/>
      <c r="F136" s="167"/>
      <c r="G136" s="167"/>
      <c r="H136" s="167"/>
      <c r="I136" s="167"/>
      <c r="J136" s="167"/>
    </row>
    <row r="137" spans="2:10">
      <c r="B137" s="167"/>
      <c r="C137" s="167"/>
      <c r="D137" s="167"/>
      <c r="E137" s="167"/>
      <c r="F137" s="167"/>
      <c r="G137" s="167"/>
      <c r="H137" s="167"/>
      <c r="I137" s="167"/>
      <c r="J137" s="167"/>
    </row>
    <row r="138" spans="2:10">
      <c r="B138" s="167"/>
      <c r="C138" s="167"/>
      <c r="D138" s="167"/>
      <c r="E138" s="167"/>
      <c r="F138" s="167"/>
      <c r="G138" s="167"/>
      <c r="H138" s="167"/>
      <c r="I138" s="167"/>
      <c r="J138" s="167"/>
    </row>
    <row r="139" spans="2:10">
      <c r="B139" s="167"/>
      <c r="C139" s="167"/>
      <c r="D139" s="167"/>
      <c r="E139" s="167"/>
      <c r="F139" s="167"/>
      <c r="G139" s="167"/>
      <c r="H139" s="167"/>
      <c r="I139" s="167"/>
      <c r="J139" s="167"/>
    </row>
    <row r="140" spans="2:10">
      <c r="B140" s="167"/>
      <c r="C140" s="167"/>
      <c r="D140" s="167"/>
      <c r="E140" s="167"/>
      <c r="F140" s="167"/>
      <c r="G140" s="167"/>
      <c r="H140" s="167"/>
      <c r="I140" s="167"/>
      <c r="J140" s="167"/>
    </row>
    <row r="141" spans="2:10">
      <c r="B141" s="167"/>
      <c r="C141" s="167"/>
      <c r="D141" s="167"/>
      <c r="E141" s="167"/>
      <c r="F141" s="167"/>
      <c r="G141" s="167"/>
      <c r="H141" s="167"/>
      <c r="I141" s="167"/>
      <c r="J141" s="167"/>
    </row>
    <row r="142" spans="2:10">
      <c r="B142" s="167"/>
      <c r="C142" s="167"/>
      <c r="D142" s="167"/>
      <c r="E142" s="167"/>
      <c r="F142" s="167"/>
      <c r="G142" s="167"/>
      <c r="H142" s="167"/>
      <c r="I142" s="167"/>
      <c r="J142" s="167"/>
    </row>
    <row r="143" spans="2:10">
      <c r="B143" s="167"/>
      <c r="C143" s="167"/>
      <c r="D143" s="167"/>
      <c r="E143" s="167"/>
      <c r="F143" s="167"/>
      <c r="G143" s="167"/>
      <c r="H143" s="167"/>
      <c r="I143" s="167"/>
      <c r="J143" s="167"/>
    </row>
    <row r="144" spans="2:10">
      <c r="B144" s="167"/>
      <c r="C144" s="167"/>
      <c r="D144" s="167"/>
      <c r="E144" s="167"/>
      <c r="F144" s="167"/>
      <c r="G144" s="167"/>
      <c r="H144" s="167"/>
      <c r="I144" s="167"/>
      <c r="J144" s="167"/>
    </row>
    <row r="145" spans="2:10">
      <c r="B145" s="167"/>
      <c r="C145" s="167"/>
      <c r="D145" s="167"/>
      <c r="E145" s="167"/>
      <c r="F145" s="167"/>
      <c r="G145" s="167"/>
      <c r="H145" s="167"/>
      <c r="I145" s="167"/>
      <c r="J145" s="167"/>
    </row>
    <row r="146" spans="2:10">
      <c r="B146" s="167"/>
      <c r="C146" s="167"/>
      <c r="D146" s="167"/>
      <c r="E146" s="167"/>
      <c r="F146" s="167"/>
      <c r="G146" s="167"/>
      <c r="H146" s="167"/>
      <c r="I146" s="167"/>
      <c r="J146" s="167"/>
    </row>
    <row r="147" spans="2:10">
      <c r="B147" s="167"/>
      <c r="C147" s="167"/>
      <c r="D147" s="167"/>
      <c r="E147" s="167"/>
      <c r="F147" s="167"/>
      <c r="G147" s="167"/>
      <c r="H147" s="167"/>
      <c r="I147" s="167"/>
      <c r="J147" s="167"/>
    </row>
    <row r="148" spans="2:10">
      <c r="B148" s="167"/>
      <c r="C148" s="167"/>
      <c r="D148" s="167"/>
      <c r="E148" s="167"/>
      <c r="F148" s="167"/>
      <c r="G148" s="167"/>
      <c r="H148" s="167"/>
      <c r="I148" s="167"/>
      <c r="J148" s="167"/>
    </row>
    <row r="149" spans="2:10">
      <c r="B149" s="167"/>
      <c r="C149" s="167"/>
      <c r="D149" s="167"/>
      <c r="E149" s="167"/>
      <c r="F149" s="167"/>
      <c r="G149" s="167"/>
      <c r="H149" s="167"/>
      <c r="I149" s="167"/>
      <c r="J149" s="167"/>
    </row>
    <row r="150" spans="2:10">
      <c r="B150" s="167"/>
      <c r="C150" s="167"/>
      <c r="D150" s="167"/>
      <c r="E150" s="167"/>
      <c r="F150" s="167"/>
      <c r="G150" s="167"/>
      <c r="H150" s="167"/>
      <c r="I150" s="167"/>
      <c r="J150" s="167"/>
    </row>
    <row r="151" spans="2:10">
      <c r="B151" s="167"/>
      <c r="C151" s="167"/>
      <c r="D151" s="167"/>
      <c r="E151" s="167"/>
      <c r="F151" s="167"/>
      <c r="G151" s="167"/>
      <c r="H151" s="167"/>
      <c r="I151" s="167"/>
      <c r="J151" s="167"/>
    </row>
    <row r="152" spans="2:10">
      <c r="B152" s="167"/>
      <c r="C152" s="167"/>
      <c r="D152" s="167"/>
      <c r="E152" s="167"/>
      <c r="F152" s="167"/>
      <c r="G152" s="167"/>
      <c r="H152" s="167"/>
      <c r="I152" s="167"/>
      <c r="J152" s="167"/>
    </row>
    <row r="153" spans="2:10">
      <c r="B153" s="167"/>
      <c r="C153" s="167"/>
      <c r="D153" s="167"/>
      <c r="E153" s="167"/>
      <c r="F153" s="167"/>
      <c r="G153" s="167"/>
      <c r="H153" s="167"/>
      <c r="I153" s="167"/>
      <c r="J153" s="167"/>
    </row>
    <row r="154" spans="2:10">
      <c r="B154" s="167"/>
      <c r="C154" s="167"/>
      <c r="D154" s="167"/>
      <c r="E154" s="167"/>
      <c r="F154" s="167"/>
      <c r="G154" s="167"/>
      <c r="H154" s="167"/>
      <c r="I154" s="167"/>
      <c r="J154" s="167"/>
    </row>
    <row r="155" spans="2:10">
      <c r="B155" s="167"/>
      <c r="C155" s="167"/>
      <c r="D155" s="167"/>
      <c r="E155" s="167"/>
      <c r="F155" s="167"/>
      <c r="G155" s="167"/>
      <c r="H155" s="167"/>
      <c r="I155" s="167"/>
      <c r="J155" s="167"/>
    </row>
    <row r="156" spans="2:10">
      <c r="B156" s="167"/>
      <c r="C156" s="167"/>
      <c r="D156" s="167"/>
      <c r="E156" s="167"/>
      <c r="F156" s="167"/>
      <c r="G156" s="167"/>
      <c r="H156" s="167"/>
      <c r="I156" s="167"/>
      <c r="J156" s="167"/>
    </row>
    <row r="157" spans="2:10">
      <c r="B157" s="167"/>
      <c r="C157" s="167"/>
      <c r="D157" s="167"/>
      <c r="E157" s="167"/>
      <c r="F157" s="167"/>
      <c r="G157" s="167"/>
      <c r="H157" s="167"/>
      <c r="I157" s="167"/>
      <c r="J157" s="167"/>
    </row>
    <row r="158" spans="2:10">
      <c r="B158" s="167"/>
      <c r="C158" s="167"/>
      <c r="D158" s="167"/>
      <c r="E158" s="167"/>
      <c r="F158" s="167"/>
      <c r="G158" s="167"/>
      <c r="H158" s="167"/>
      <c r="I158" s="167"/>
      <c r="J158" s="167"/>
    </row>
    <row r="159" spans="2:10">
      <c r="B159" s="167"/>
      <c r="C159" s="167"/>
      <c r="D159" s="167"/>
      <c r="E159" s="167"/>
      <c r="F159" s="167"/>
      <c r="G159" s="167"/>
      <c r="H159" s="167"/>
      <c r="I159" s="167"/>
      <c r="J159" s="167"/>
    </row>
    <row r="160" spans="2:10">
      <c r="B160" s="167"/>
      <c r="C160" s="167"/>
      <c r="D160" s="167"/>
      <c r="E160" s="167"/>
      <c r="F160" s="167"/>
      <c r="G160" s="167"/>
      <c r="H160" s="167"/>
      <c r="I160" s="167"/>
      <c r="J160" s="167"/>
    </row>
    <row r="161" spans="2:10">
      <c r="B161" s="167"/>
      <c r="C161" s="167"/>
      <c r="D161" s="167"/>
      <c r="E161" s="167"/>
      <c r="F161" s="167"/>
      <c r="G161" s="167"/>
      <c r="H161" s="167"/>
      <c r="I161" s="167"/>
      <c r="J161" s="167"/>
    </row>
    <row r="162" spans="2:10">
      <c r="B162" s="167"/>
      <c r="C162" s="167"/>
      <c r="D162" s="167"/>
      <c r="E162" s="167"/>
      <c r="F162" s="167"/>
      <c r="G162" s="167"/>
      <c r="H162" s="167"/>
      <c r="I162" s="167"/>
      <c r="J162" s="167"/>
    </row>
    <row r="163" spans="2:10">
      <c r="B163" s="167"/>
      <c r="C163" s="167"/>
      <c r="D163" s="167"/>
      <c r="E163" s="167"/>
      <c r="F163" s="167"/>
      <c r="G163" s="167"/>
      <c r="H163" s="167"/>
      <c r="I163" s="167"/>
      <c r="J163" s="167"/>
    </row>
    <row r="164" spans="2:10">
      <c r="B164" s="167"/>
      <c r="C164" s="167"/>
      <c r="D164" s="167"/>
      <c r="E164" s="167"/>
      <c r="F164" s="167"/>
      <c r="G164" s="167"/>
      <c r="H164" s="167"/>
      <c r="I164" s="167"/>
      <c r="J164" s="167"/>
    </row>
    <row r="165" spans="2:10">
      <c r="B165" s="167"/>
      <c r="C165" s="167"/>
      <c r="D165" s="167"/>
      <c r="E165" s="167"/>
      <c r="F165" s="167"/>
      <c r="G165" s="167"/>
      <c r="H165" s="167"/>
      <c r="I165" s="167"/>
      <c r="J165" s="167"/>
    </row>
    <row r="166" spans="2:10">
      <c r="B166" s="167"/>
      <c r="C166" s="167"/>
      <c r="D166" s="167"/>
      <c r="E166" s="167"/>
      <c r="F166" s="167"/>
      <c r="G166" s="167"/>
      <c r="H166" s="167"/>
      <c r="I166" s="167"/>
      <c r="J166" s="167"/>
    </row>
    <row r="167" spans="2:10">
      <c r="B167" s="167"/>
      <c r="C167" s="167"/>
      <c r="D167" s="167"/>
      <c r="E167" s="167"/>
      <c r="F167" s="167"/>
      <c r="G167" s="167"/>
      <c r="H167" s="167"/>
      <c r="I167" s="167"/>
      <c r="J167" s="167"/>
    </row>
    <row r="168" spans="2:10">
      <c r="B168" s="167"/>
      <c r="C168" s="167"/>
      <c r="D168" s="167"/>
      <c r="E168" s="167"/>
      <c r="F168" s="167"/>
      <c r="G168" s="167"/>
      <c r="H168" s="167"/>
      <c r="I168" s="167"/>
      <c r="J168" s="167"/>
    </row>
    <row r="169" spans="2:10">
      <c r="B169" s="167"/>
      <c r="C169" s="167"/>
      <c r="D169" s="167"/>
      <c r="E169" s="167"/>
      <c r="F169" s="167"/>
      <c r="G169" s="167"/>
      <c r="H169" s="167"/>
      <c r="I169" s="167"/>
      <c r="J169" s="167"/>
    </row>
    <row r="170" spans="2:10">
      <c r="B170" s="167"/>
      <c r="C170" s="167"/>
      <c r="D170" s="167"/>
      <c r="E170" s="167"/>
      <c r="F170" s="167"/>
      <c r="G170" s="167"/>
      <c r="H170" s="167"/>
      <c r="I170" s="167"/>
      <c r="J170" s="167"/>
    </row>
    <row r="171" spans="2:10">
      <c r="B171" s="167"/>
      <c r="C171" s="167"/>
      <c r="D171" s="167"/>
      <c r="E171" s="167"/>
      <c r="F171" s="167"/>
      <c r="G171" s="167"/>
      <c r="H171" s="167"/>
      <c r="I171" s="167"/>
      <c r="J171" s="167"/>
    </row>
    <row r="172" spans="2:10">
      <c r="B172" s="167"/>
      <c r="C172" s="167"/>
      <c r="D172" s="167"/>
      <c r="E172" s="167"/>
      <c r="F172" s="167"/>
      <c r="G172" s="167"/>
      <c r="H172" s="167"/>
      <c r="I172" s="167"/>
      <c r="J172" s="167"/>
    </row>
    <row r="173" spans="2:10">
      <c r="B173" s="167"/>
      <c r="C173" s="167"/>
      <c r="D173" s="167"/>
      <c r="E173" s="167"/>
      <c r="F173" s="167"/>
      <c r="G173" s="167"/>
      <c r="H173" s="167"/>
      <c r="I173" s="167"/>
      <c r="J173" s="167"/>
    </row>
    <row r="174" spans="2:10">
      <c r="B174" s="167"/>
      <c r="C174" s="167"/>
      <c r="D174" s="167"/>
      <c r="E174" s="167"/>
      <c r="F174" s="167"/>
      <c r="G174" s="167"/>
      <c r="H174" s="167"/>
      <c r="I174" s="167"/>
      <c r="J174" s="167"/>
    </row>
    <row r="175" spans="2:10">
      <c r="B175" s="167"/>
      <c r="C175" s="167"/>
      <c r="D175" s="167"/>
      <c r="E175" s="167"/>
      <c r="F175" s="167"/>
      <c r="G175" s="167"/>
      <c r="H175" s="167"/>
      <c r="I175" s="167"/>
      <c r="J175" s="167"/>
    </row>
    <row r="176" spans="2:10">
      <c r="B176" s="167"/>
      <c r="C176" s="167"/>
      <c r="D176" s="167"/>
      <c r="E176" s="167"/>
      <c r="F176" s="167"/>
      <c r="G176" s="167"/>
      <c r="H176" s="167"/>
      <c r="I176" s="167"/>
      <c r="J176" s="167"/>
    </row>
    <row r="177" spans="2:10">
      <c r="B177" s="167"/>
      <c r="C177" s="167"/>
      <c r="D177" s="167"/>
      <c r="E177" s="167"/>
      <c r="F177" s="167"/>
      <c r="G177" s="167"/>
      <c r="H177" s="167"/>
      <c r="I177" s="167"/>
      <c r="J177" s="167"/>
    </row>
    <row r="178" spans="2:10">
      <c r="B178" s="167"/>
      <c r="C178" s="167"/>
      <c r="D178" s="167"/>
      <c r="E178" s="167"/>
      <c r="F178" s="167"/>
      <c r="G178" s="167"/>
      <c r="H178" s="167"/>
      <c r="I178" s="167"/>
      <c r="J178" s="167"/>
    </row>
    <row r="179" spans="2:10">
      <c r="B179" s="167"/>
      <c r="C179" s="167"/>
      <c r="D179" s="167"/>
      <c r="E179" s="167"/>
      <c r="F179" s="167"/>
      <c r="G179" s="167"/>
      <c r="H179" s="167"/>
      <c r="I179" s="167"/>
      <c r="J179" s="167"/>
    </row>
    <row r="180" spans="2:10">
      <c r="B180" s="167"/>
      <c r="C180" s="167"/>
      <c r="D180" s="167"/>
      <c r="E180" s="167"/>
      <c r="F180" s="167"/>
      <c r="G180" s="167"/>
      <c r="H180" s="167"/>
      <c r="I180" s="167"/>
      <c r="J180" s="167"/>
    </row>
    <row r="181" spans="2:10">
      <c r="B181" s="167"/>
      <c r="C181" s="167"/>
      <c r="D181" s="167"/>
      <c r="E181" s="167"/>
      <c r="F181" s="167"/>
      <c r="G181" s="167"/>
      <c r="H181" s="167"/>
      <c r="I181" s="167"/>
      <c r="J181" s="167"/>
    </row>
    <row r="182" spans="2:10">
      <c r="B182" s="167"/>
      <c r="C182" s="167"/>
      <c r="D182" s="167"/>
      <c r="E182" s="167"/>
      <c r="F182" s="167"/>
      <c r="G182" s="167"/>
      <c r="H182" s="167"/>
      <c r="I182" s="167"/>
      <c r="J182" s="167"/>
    </row>
    <row r="183" spans="2:10">
      <c r="B183" s="167"/>
      <c r="C183" s="167"/>
      <c r="D183" s="167"/>
      <c r="E183" s="167"/>
      <c r="F183" s="167"/>
      <c r="G183" s="167"/>
      <c r="H183" s="167"/>
      <c r="I183" s="167"/>
      <c r="J183" s="167"/>
    </row>
    <row r="184" spans="2:10">
      <c r="B184" s="167"/>
      <c r="C184" s="167"/>
      <c r="D184" s="167"/>
      <c r="E184" s="167"/>
      <c r="F184" s="167"/>
      <c r="G184" s="167"/>
      <c r="H184" s="167"/>
      <c r="I184" s="167"/>
      <c r="J184" s="167"/>
    </row>
    <row r="185" spans="2:10">
      <c r="B185" s="167"/>
      <c r="C185" s="167"/>
      <c r="D185" s="167"/>
      <c r="E185" s="167"/>
      <c r="F185" s="167"/>
      <c r="G185" s="167"/>
      <c r="H185" s="167"/>
      <c r="I185" s="167"/>
      <c r="J185" s="167"/>
    </row>
    <row r="186" spans="2:10">
      <c r="B186" s="167"/>
      <c r="C186" s="167"/>
      <c r="D186" s="167"/>
      <c r="E186" s="167"/>
      <c r="F186" s="167"/>
      <c r="G186" s="167"/>
      <c r="H186" s="167"/>
      <c r="I186" s="167"/>
      <c r="J186" s="167"/>
    </row>
    <row r="187" spans="2:10">
      <c r="B187" s="167"/>
      <c r="C187" s="167"/>
      <c r="D187" s="167"/>
      <c r="E187" s="167"/>
      <c r="F187" s="167"/>
      <c r="G187" s="167"/>
      <c r="H187" s="167"/>
      <c r="I187" s="167"/>
      <c r="J187" s="167"/>
    </row>
    <row r="188" spans="2:10">
      <c r="B188" s="167"/>
      <c r="C188" s="167"/>
      <c r="D188" s="167"/>
      <c r="E188" s="167"/>
      <c r="F188" s="167"/>
      <c r="G188" s="167"/>
      <c r="H188" s="167"/>
      <c r="I188" s="167"/>
      <c r="J188" s="167"/>
    </row>
    <row r="189" spans="2:10">
      <c r="B189" s="167"/>
      <c r="C189" s="167"/>
      <c r="D189" s="167"/>
      <c r="E189" s="167"/>
      <c r="F189" s="167"/>
      <c r="G189" s="167"/>
      <c r="H189" s="167"/>
      <c r="I189" s="167"/>
      <c r="J189" s="167"/>
    </row>
    <row r="190" spans="2:10">
      <c r="B190" s="167"/>
      <c r="C190" s="167"/>
      <c r="D190" s="167"/>
      <c r="E190" s="167"/>
      <c r="F190" s="167"/>
      <c r="G190" s="167"/>
      <c r="H190" s="167"/>
      <c r="I190" s="167"/>
      <c r="J190" s="167"/>
    </row>
    <row r="191" spans="2:10">
      <c r="B191" s="167"/>
      <c r="C191" s="167"/>
      <c r="D191" s="167"/>
      <c r="E191" s="167"/>
      <c r="F191" s="167"/>
      <c r="G191" s="167"/>
      <c r="H191" s="167"/>
      <c r="I191" s="167"/>
      <c r="J191" s="167"/>
    </row>
    <row r="192" spans="2:10">
      <c r="B192" s="167"/>
      <c r="C192" s="167"/>
      <c r="D192" s="167"/>
      <c r="E192" s="167"/>
      <c r="F192" s="167"/>
      <c r="G192" s="167"/>
      <c r="H192" s="167"/>
      <c r="I192" s="167"/>
      <c r="J192" s="167"/>
    </row>
    <row r="193" spans="2:10">
      <c r="B193" s="167"/>
      <c r="C193" s="167"/>
      <c r="D193" s="167"/>
      <c r="E193" s="167"/>
      <c r="F193" s="167"/>
      <c r="G193" s="167"/>
      <c r="H193" s="167"/>
      <c r="I193" s="167"/>
      <c r="J193" s="167"/>
    </row>
    <row r="194" spans="2:10">
      <c r="B194" s="167"/>
      <c r="C194" s="167"/>
      <c r="D194" s="167"/>
      <c r="E194" s="167"/>
      <c r="F194" s="167"/>
      <c r="G194" s="167"/>
      <c r="H194" s="167"/>
      <c r="I194" s="167"/>
      <c r="J194" s="167"/>
    </row>
    <row r="195" spans="2:10">
      <c r="B195" s="167"/>
      <c r="C195" s="167"/>
      <c r="D195" s="167"/>
      <c r="E195" s="167"/>
      <c r="F195" s="167"/>
      <c r="G195" s="167"/>
      <c r="H195" s="167"/>
      <c r="I195" s="167"/>
      <c r="J195" s="167"/>
    </row>
    <row r="196" spans="2:10">
      <c r="B196" s="167"/>
      <c r="C196" s="167"/>
      <c r="D196" s="167"/>
      <c r="E196" s="167"/>
      <c r="F196" s="167"/>
      <c r="G196" s="167"/>
      <c r="H196" s="167"/>
      <c r="I196" s="167"/>
      <c r="J196" s="167"/>
    </row>
    <row r="197" spans="2:10">
      <c r="B197" s="167"/>
      <c r="C197" s="167"/>
      <c r="D197" s="167"/>
      <c r="E197" s="167"/>
      <c r="F197" s="167"/>
      <c r="G197" s="167"/>
      <c r="H197" s="167"/>
      <c r="I197" s="167"/>
      <c r="J197" s="167"/>
    </row>
    <row r="198" spans="2:10">
      <c r="B198" s="167"/>
      <c r="C198" s="167"/>
      <c r="D198" s="167"/>
      <c r="E198" s="167"/>
      <c r="F198" s="167"/>
      <c r="G198" s="167"/>
      <c r="H198" s="167"/>
      <c r="I198" s="167"/>
      <c r="J198" s="167"/>
    </row>
    <row r="199" spans="2:10">
      <c r="B199" s="167"/>
      <c r="C199" s="167"/>
      <c r="D199" s="167"/>
      <c r="E199" s="167"/>
      <c r="F199" s="167"/>
      <c r="G199" s="167"/>
      <c r="H199" s="167"/>
      <c r="I199" s="167"/>
      <c r="J199" s="167"/>
    </row>
    <row r="200" spans="2:10">
      <c r="B200" s="167"/>
      <c r="C200" s="167"/>
      <c r="D200" s="167"/>
      <c r="E200" s="167"/>
      <c r="F200" s="167"/>
      <c r="G200" s="167"/>
      <c r="H200" s="167"/>
      <c r="I200" s="167"/>
      <c r="J200" s="167"/>
    </row>
    <row r="201" spans="2:10">
      <c r="B201" s="167"/>
      <c r="C201" s="167"/>
      <c r="D201" s="167"/>
      <c r="E201" s="167"/>
      <c r="F201" s="167"/>
      <c r="G201" s="167"/>
      <c r="H201" s="167"/>
      <c r="I201" s="167"/>
      <c r="J201" s="167"/>
    </row>
    <row r="202" spans="2:10">
      <c r="B202" s="167"/>
      <c r="C202" s="167"/>
      <c r="D202" s="167"/>
      <c r="E202" s="167"/>
      <c r="F202" s="167"/>
      <c r="G202" s="167"/>
      <c r="H202" s="167"/>
      <c r="I202" s="167"/>
      <c r="J202" s="167"/>
    </row>
    <row r="203" spans="2:10">
      <c r="B203" s="167"/>
      <c r="C203" s="167"/>
      <c r="D203" s="167"/>
      <c r="E203" s="167"/>
      <c r="F203" s="167"/>
      <c r="G203" s="167"/>
      <c r="H203" s="167"/>
      <c r="I203" s="167"/>
      <c r="J203" s="167"/>
    </row>
    <row r="204" spans="2:10">
      <c r="B204" s="167"/>
      <c r="C204" s="167"/>
      <c r="D204" s="167"/>
      <c r="E204" s="167"/>
      <c r="F204" s="167"/>
      <c r="G204" s="167"/>
      <c r="H204" s="167"/>
      <c r="I204" s="167"/>
      <c r="J204" s="167"/>
    </row>
    <row r="205" spans="2:10">
      <c r="B205" s="167"/>
      <c r="C205" s="167"/>
      <c r="D205" s="167"/>
      <c r="E205" s="167"/>
      <c r="F205" s="167"/>
      <c r="G205" s="167"/>
      <c r="H205" s="167"/>
      <c r="I205" s="167"/>
      <c r="J205" s="167"/>
    </row>
    <row r="206" spans="2:10">
      <c r="B206" s="167"/>
      <c r="C206" s="167"/>
      <c r="D206" s="167"/>
      <c r="E206" s="167"/>
      <c r="F206" s="167"/>
      <c r="G206" s="167"/>
      <c r="H206" s="167"/>
      <c r="I206" s="167"/>
      <c r="J206" s="167"/>
    </row>
    <row r="207" spans="2:10">
      <c r="B207" s="167"/>
      <c r="C207" s="167"/>
      <c r="D207" s="167"/>
      <c r="E207" s="167"/>
      <c r="F207" s="167"/>
      <c r="G207" s="167"/>
      <c r="H207" s="167"/>
      <c r="I207" s="167"/>
      <c r="J207" s="167"/>
    </row>
    <row r="208" spans="2:10">
      <c r="B208" s="167"/>
      <c r="C208" s="167"/>
      <c r="D208" s="167"/>
      <c r="E208" s="167"/>
      <c r="F208" s="167"/>
      <c r="G208" s="167"/>
      <c r="H208" s="167"/>
      <c r="I208" s="167"/>
      <c r="J208" s="167"/>
    </row>
    <row r="209" spans="2:10">
      <c r="B209" s="167"/>
      <c r="C209" s="167"/>
      <c r="D209" s="167"/>
      <c r="E209" s="167"/>
      <c r="F209" s="167"/>
      <c r="G209" s="167"/>
      <c r="H209" s="167"/>
      <c r="I209" s="167"/>
      <c r="J209" s="167"/>
    </row>
    <row r="210" spans="2:10">
      <c r="B210" s="167"/>
      <c r="C210" s="167"/>
      <c r="D210" s="167"/>
      <c r="E210" s="167"/>
      <c r="F210" s="167"/>
      <c r="G210" s="167"/>
      <c r="H210" s="167"/>
      <c r="I210" s="167"/>
      <c r="J210" s="167"/>
    </row>
    <row r="211" spans="2:10">
      <c r="B211" s="167"/>
      <c r="C211" s="167"/>
      <c r="D211" s="167"/>
      <c r="E211" s="167"/>
      <c r="F211" s="167"/>
      <c r="G211" s="167"/>
      <c r="H211" s="167"/>
      <c r="I211" s="167"/>
      <c r="J211" s="167"/>
    </row>
    <row r="212" spans="2:10">
      <c r="B212" s="167"/>
      <c r="C212" s="167"/>
      <c r="D212" s="167"/>
      <c r="E212" s="167"/>
      <c r="F212" s="167"/>
      <c r="G212" s="167"/>
      <c r="H212" s="167"/>
      <c r="I212" s="167"/>
      <c r="J212" s="167"/>
    </row>
    <row r="213" spans="2:10">
      <c r="B213" s="167"/>
      <c r="C213" s="167"/>
      <c r="D213" s="167"/>
      <c r="E213" s="167"/>
      <c r="F213" s="167"/>
      <c r="G213" s="167"/>
      <c r="H213" s="167"/>
      <c r="I213" s="167"/>
      <c r="J213" s="167"/>
    </row>
    <row r="214" spans="2:10">
      <c r="B214" s="167"/>
      <c r="C214" s="167"/>
      <c r="D214" s="167"/>
      <c r="E214" s="167"/>
      <c r="F214" s="167"/>
      <c r="G214" s="167"/>
      <c r="H214" s="167"/>
      <c r="I214" s="167"/>
      <c r="J214" s="167"/>
    </row>
    <row r="215" spans="2:10">
      <c r="B215" s="167"/>
      <c r="C215" s="167"/>
      <c r="D215" s="167"/>
      <c r="E215" s="167"/>
      <c r="F215" s="167"/>
      <c r="G215" s="167"/>
      <c r="H215" s="167"/>
      <c r="I215" s="167"/>
      <c r="J215" s="167"/>
    </row>
    <row r="216" spans="2:10">
      <c r="B216" s="167"/>
      <c r="C216" s="167"/>
      <c r="D216" s="167"/>
      <c r="E216" s="167"/>
      <c r="F216" s="167"/>
      <c r="G216" s="167"/>
      <c r="H216" s="167"/>
      <c r="I216" s="167"/>
      <c r="J216" s="167"/>
    </row>
    <row r="217" spans="2:10">
      <c r="B217" s="167"/>
      <c r="C217" s="167"/>
      <c r="D217" s="167"/>
      <c r="E217" s="167"/>
      <c r="F217" s="167"/>
      <c r="G217" s="167"/>
      <c r="H217" s="167"/>
      <c r="I217" s="167"/>
      <c r="J217" s="167"/>
    </row>
    <row r="218" spans="2:10">
      <c r="B218" s="167"/>
      <c r="C218" s="167"/>
      <c r="D218" s="167"/>
      <c r="E218" s="167"/>
      <c r="F218" s="167"/>
      <c r="G218" s="167"/>
      <c r="H218" s="167"/>
      <c r="I218" s="167"/>
      <c r="J218" s="167"/>
    </row>
    <row r="219" spans="2:10">
      <c r="B219" s="167"/>
      <c r="C219" s="167"/>
      <c r="D219" s="167"/>
      <c r="E219" s="167"/>
      <c r="F219" s="167"/>
      <c r="G219" s="167"/>
      <c r="H219" s="167"/>
      <c r="I219" s="167"/>
      <c r="J219" s="167"/>
    </row>
    <row r="220" spans="2:10">
      <c r="B220" s="167"/>
      <c r="C220" s="167"/>
      <c r="D220" s="167"/>
      <c r="E220" s="167"/>
      <c r="F220" s="167"/>
      <c r="G220" s="167"/>
      <c r="H220" s="167"/>
      <c r="I220" s="167"/>
      <c r="J220" s="167"/>
    </row>
    <row r="221" spans="2:10">
      <c r="B221" s="167"/>
      <c r="C221" s="167"/>
      <c r="D221" s="167"/>
      <c r="E221" s="167"/>
      <c r="F221" s="167"/>
      <c r="G221" s="167"/>
      <c r="H221" s="167"/>
      <c r="I221" s="167"/>
      <c r="J221" s="167"/>
    </row>
    <row r="222" spans="2:10">
      <c r="B222" s="167"/>
      <c r="C222" s="167"/>
      <c r="D222" s="167"/>
      <c r="E222" s="167"/>
      <c r="F222" s="167"/>
      <c r="G222" s="167"/>
      <c r="H222" s="167"/>
      <c r="I222" s="167"/>
      <c r="J222" s="167"/>
    </row>
    <row r="223" spans="2:10">
      <c r="B223" s="167"/>
      <c r="C223" s="167"/>
      <c r="D223" s="167"/>
      <c r="E223" s="167"/>
      <c r="F223" s="167"/>
      <c r="G223" s="167"/>
      <c r="H223" s="167"/>
      <c r="I223" s="167"/>
      <c r="J223" s="167"/>
    </row>
    <row r="224" spans="2:10">
      <c r="B224" s="167"/>
      <c r="C224" s="167"/>
      <c r="D224" s="167"/>
      <c r="E224" s="167"/>
      <c r="F224" s="167"/>
      <c r="G224" s="167"/>
      <c r="H224" s="167"/>
      <c r="I224" s="167"/>
      <c r="J224" s="167"/>
    </row>
    <row r="225" spans="2:10">
      <c r="B225" s="167"/>
      <c r="C225" s="167"/>
      <c r="D225" s="167"/>
      <c r="E225" s="167"/>
      <c r="F225" s="167"/>
      <c r="G225" s="167"/>
      <c r="H225" s="167"/>
      <c r="I225" s="167"/>
      <c r="J225" s="167"/>
    </row>
    <row r="226" spans="2:10">
      <c r="B226" s="167"/>
      <c r="C226" s="167"/>
      <c r="D226" s="167"/>
      <c r="E226" s="167"/>
      <c r="F226" s="167"/>
      <c r="G226" s="167"/>
      <c r="H226" s="167"/>
      <c r="I226" s="167"/>
      <c r="J226" s="167"/>
    </row>
    <row r="227" spans="2:10">
      <c r="B227" s="167"/>
      <c r="C227" s="167"/>
      <c r="D227" s="167"/>
      <c r="E227" s="167"/>
      <c r="F227" s="167"/>
      <c r="G227" s="167"/>
      <c r="H227" s="167"/>
      <c r="I227" s="167"/>
      <c r="J227" s="167"/>
    </row>
    <row r="228" spans="2:10">
      <c r="B228" s="167"/>
      <c r="C228" s="167"/>
      <c r="D228" s="167"/>
      <c r="E228" s="167"/>
      <c r="F228" s="167"/>
      <c r="G228" s="167"/>
      <c r="H228" s="167"/>
      <c r="I228" s="167"/>
      <c r="J228" s="167"/>
    </row>
    <row r="229" spans="2:10">
      <c r="B229" s="167"/>
      <c r="C229" s="167"/>
      <c r="D229" s="167"/>
      <c r="E229" s="167"/>
      <c r="F229" s="167"/>
      <c r="G229" s="167"/>
      <c r="H229" s="167"/>
      <c r="I229" s="167"/>
      <c r="J229" s="167"/>
    </row>
    <row r="230" spans="2:10">
      <c r="B230" s="167"/>
      <c r="C230" s="167"/>
      <c r="D230" s="167"/>
      <c r="E230" s="167"/>
      <c r="F230" s="167"/>
      <c r="G230" s="167"/>
      <c r="H230" s="167"/>
      <c r="I230" s="167"/>
      <c r="J230" s="167"/>
    </row>
    <row r="231" spans="2:10">
      <c r="B231" s="167"/>
      <c r="C231" s="167"/>
      <c r="D231" s="167"/>
      <c r="E231" s="167"/>
      <c r="F231" s="167"/>
      <c r="G231" s="167"/>
      <c r="H231" s="167"/>
      <c r="I231" s="167"/>
      <c r="J231" s="167"/>
    </row>
    <row r="232" spans="2:10">
      <c r="B232" s="167"/>
      <c r="C232" s="167"/>
      <c r="D232" s="167"/>
      <c r="E232" s="167"/>
      <c r="F232" s="167"/>
      <c r="G232" s="167"/>
      <c r="H232" s="167"/>
      <c r="I232" s="167"/>
      <c r="J232" s="167"/>
    </row>
    <row r="233" spans="2:10">
      <c r="B233" s="167"/>
      <c r="C233" s="167"/>
      <c r="D233" s="167"/>
      <c r="E233" s="167"/>
      <c r="F233" s="167"/>
      <c r="G233" s="167"/>
      <c r="H233" s="167"/>
      <c r="I233" s="167"/>
      <c r="J233" s="167"/>
    </row>
    <row r="234" spans="2:10">
      <c r="B234" s="167"/>
      <c r="C234" s="167"/>
      <c r="D234" s="167"/>
      <c r="E234" s="167"/>
      <c r="F234" s="167"/>
      <c r="G234" s="167"/>
      <c r="H234" s="167"/>
      <c r="I234" s="167"/>
      <c r="J234" s="167"/>
    </row>
    <row r="235" spans="2:10">
      <c r="B235" s="167"/>
      <c r="C235" s="167"/>
      <c r="D235" s="167"/>
      <c r="E235" s="167"/>
      <c r="F235" s="167"/>
      <c r="G235" s="167"/>
      <c r="H235" s="167"/>
      <c r="I235" s="167"/>
      <c r="J235" s="167"/>
    </row>
    <row r="236" spans="2:10">
      <c r="B236" s="167"/>
      <c r="C236" s="167"/>
      <c r="D236" s="167"/>
      <c r="E236" s="167"/>
      <c r="F236" s="167"/>
      <c r="G236" s="167"/>
      <c r="H236" s="167"/>
      <c r="I236" s="167"/>
      <c r="J236" s="167"/>
    </row>
    <row r="237" spans="2:10">
      <c r="B237" s="167"/>
      <c r="C237" s="167"/>
      <c r="D237" s="167"/>
      <c r="E237" s="167"/>
      <c r="F237" s="167"/>
      <c r="G237" s="167"/>
      <c r="H237" s="167"/>
      <c r="I237" s="167"/>
      <c r="J237" s="167"/>
    </row>
    <row r="238" spans="2:10">
      <c r="B238" s="167"/>
      <c r="C238" s="167"/>
      <c r="D238" s="167"/>
      <c r="E238" s="167"/>
      <c r="F238" s="167"/>
      <c r="G238" s="167"/>
      <c r="H238" s="167"/>
      <c r="I238" s="167"/>
      <c r="J238" s="167"/>
    </row>
    <row r="239" spans="2:10">
      <c r="B239" s="167"/>
      <c r="C239" s="167"/>
      <c r="D239" s="167"/>
      <c r="E239" s="167"/>
      <c r="F239" s="167"/>
      <c r="G239" s="167"/>
      <c r="H239" s="167"/>
      <c r="I239" s="167"/>
      <c r="J239" s="167"/>
    </row>
    <row r="240" spans="2:10">
      <c r="B240" s="167"/>
      <c r="C240" s="167"/>
      <c r="D240" s="167"/>
      <c r="E240" s="167"/>
      <c r="F240" s="167"/>
      <c r="G240" s="167"/>
      <c r="H240" s="167"/>
      <c r="I240" s="167"/>
      <c r="J240" s="167"/>
    </row>
    <row r="241" spans="2:10">
      <c r="B241" s="167"/>
      <c r="C241" s="167"/>
      <c r="D241" s="167"/>
      <c r="E241" s="167"/>
      <c r="F241" s="167"/>
      <c r="G241" s="167"/>
      <c r="H241" s="167"/>
      <c r="I241" s="167"/>
      <c r="J241" s="167"/>
    </row>
    <row r="242" spans="2:10">
      <c r="B242" s="167"/>
      <c r="C242" s="167"/>
      <c r="D242" s="167"/>
      <c r="E242" s="167"/>
      <c r="F242" s="167"/>
      <c r="G242" s="167"/>
      <c r="H242" s="167"/>
      <c r="I242" s="167"/>
      <c r="J242" s="167"/>
    </row>
    <row r="243" spans="2:10">
      <c r="B243" s="167"/>
      <c r="C243" s="167"/>
      <c r="D243" s="167"/>
      <c r="E243" s="167"/>
      <c r="F243" s="167"/>
      <c r="G243" s="167"/>
      <c r="H243" s="167"/>
      <c r="I243" s="167"/>
      <c r="J243" s="167"/>
    </row>
    <row r="244" spans="2:10">
      <c r="B244" s="167"/>
      <c r="C244" s="167"/>
      <c r="D244" s="167"/>
      <c r="E244" s="167"/>
      <c r="F244" s="167"/>
      <c r="G244" s="167"/>
      <c r="H244" s="167"/>
      <c r="I244" s="167"/>
      <c r="J244" s="167"/>
    </row>
    <row r="245" spans="2:10">
      <c r="B245" s="167"/>
      <c r="C245" s="167"/>
      <c r="D245" s="167"/>
      <c r="E245" s="167"/>
      <c r="F245" s="167"/>
      <c r="G245" s="167"/>
      <c r="H245" s="167"/>
      <c r="I245" s="167"/>
      <c r="J245" s="167"/>
    </row>
    <row r="246" spans="2:10">
      <c r="B246" s="167"/>
      <c r="C246" s="167"/>
      <c r="D246" s="167"/>
      <c r="E246" s="167"/>
      <c r="F246" s="167"/>
      <c r="G246" s="167"/>
      <c r="H246" s="167"/>
      <c r="I246" s="167"/>
      <c r="J246" s="167"/>
    </row>
    <row r="247" spans="2:10">
      <c r="B247" s="167"/>
      <c r="C247" s="167"/>
      <c r="D247" s="167"/>
      <c r="E247" s="167"/>
      <c r="F247" s="167"/>
      <c r="G247" s="167"/>
      <c r="H247" s="167"/>
      <c r="I247" s="167"/>
      <c r="J247" s="167"/>
    </row>
    <row r="248" spans="2:10">
      <c r="B248" s="167"/>
      <c r="C248" s="167"/>
      <c r="D248" s="167"/>
      <c r="E248" s="167"/>
      <c r="F248" s="167"/>
      <c r="G248" s="167"/>
      <c r="H248" s="167"/>
      <c r="I248" s="167"/>
      <c r="J248" s="167"/>
    </row>
    <row r="249" spans="2:10">
      <c r="B249" s="167"/>
      <c r="C249" s="167"/>
      <c r="D249" s="167"/>
      <c r="E249" s="167"/>
      <c r="F249" s="167"/>
      <c r="G249" s="167"/>
      <c r="H249" s="167"/>
      <c r="I249" s="167"/>
      <c r="J249" s="167"/>
    </row>
    <row r="250" spans="2:10">
      <c r="B250" s="167"/>
      <c r="C250" s="167"/>
      <c r="D250" s="167"/>
      <c r="E250" s="167"/>
      <c r="F250" s="167"/>
      <c r="G250" s="167"/>
      <c r="H250" s="167"/>
      <c r="I250" s="167"/>
      <c r="J250" s="167"/>
    </row>
    <row r="251" spans="2:10">
      <c r="B251" s="167"/>
      <c r="C251" s="167"/>
      <c r="D251" s="167"/>
      <c r="E251" s="167"/>
      <c r="F251" s="167"/>
      <c r="G251" s="167"/>
      <c r="H251" s="167"/>
      <c r="I251" s="167"/>
      <c r="J251" s="167"/>
    </row>
    <row r="252" spans="2:10">
      <c r="B252" s="167"/>
      <c r="C252" s="167"/>
      <c r="D252" s="167"/>
      <c r="E252" s="167"/>
      <c r="F252" s="167"/>
      <c r="G252" s="167"/>
      <c r="H252" s="167"/>
      <c r="I252" s="167"/>
      <c r="J252" s="167"/>
    </row>
    <row r="253" spans="2:10">
      <c r="B253" s="167"/>
      <c r="C253" s="167"/>
      <c r="D253" s="167"/>
      <c r="E253" s="167"/>
      <c r="F253" s="167"/>
      <c r="G253" s="167"/>
      <c r="H253" s="167"/>
      <c r="I253" s="167"/>
      <c r="J253" s="167"/>
    </row>
    <row r="254" spans="2:10">
      <c r="B254" s="167"/>
      <c r="C254" s="167"/>
      <c r="D254" s="167"/>
      <c r="E254" s="167"/>
      <c r="F254" s="167"/>
      <c r="G254" s="167"/>
      <c r="H254" s="167"/>
      <c r="I254" s="167"/>
      <c r="J254" s="167"/>
    </row>
    <row r="255" spans="2:10">
      <c r="B255" s="167"/>
      <c r="C255" s="167"/>
      <c r="D255" s="167"/>
      <c r="E255" s="167"/>
      <c r="F255" s="167"/>
      <c r="G255" s="167"/>
      <c r="H255" s="167"/>
      <c r="I255" s="167"/>
      <c r="J255" s="167"/>
    </row>
    <row r="256" spans="2:10">
      <c r="B256" s="167"/>
      <c r="C256" s="167"/>
      <c r="D256" s="167"/>
      <c r="E256" s="167"/>
      <c r="F256" s="167"/>
      <c r="G256" s="167"/>
      <c r="H256" s="167"/>
      <c r="I256" s="167"/>
      <c r="J256" s="167"/>
    </row>
    <row r="257" spans="2:10">
      <c r="B257" s="167"/>
      <c r="C257" s="167"/>
      <c r="D257" s="167"/>
      <c r="E257" s="167"/>
      <c r="F257" s="167"/>
      <c r="G257" s="167"/>
      <c r="H257" s="167"/>
      <c r="I257" s="167"/>
      <c r="J257" s="167"/>
    </row>
    <row r="258" spans="2:10">
      <c r="B258" s="167"/>
      <c r="C258" s="167"/>
      <c r="D258" s="167"/>
      <c r="E258" s="167"/>
      <c r="F258" s="167"/>
      <c r="G258" s="167"/>
      <c r="H258" s="167"/>
      <c r="I258" s="167"/>
      <c r="J258" s="167"/>
    </row>
    <row r="259" spans="2:10">
      <c r="B259" s="167"/>
      <c r="C259" s="167"/>
      <c r="D259" s="167"/>
      <c r="E259" s="167"/>
      <c r="F259" s="167"/>
      <c r="G259" s="167"/>
      <c r="H259" s="167"/>
      <c r="I259" s="167"/>
      <c r="J259" s="167"/>
    </row>
    <row r="260" spans="2:10">
      <c r="B260" s="167"/>
      <c r="C260" s="167"/>
      <c r="D260" s="167"/>
      <c r="E260" s="167"/>
      <c r="F260" s="167"/>
      <c r="G260" s="167"/>
      <c r="H260" s="167"/>
      <c r="I260" s="167"/>
      <c r="J260" s="167"/>
    </row>
    <row r="261" spans="2:10">
      <c r="B261" s="167"/>
      <c r="C261" s="167"/>
      <c r="D261" s="167"/>
      <c r="E261" s="167"/>
      <c r="F261" s="167"/>
      <c r="G261" s="167"/>
      <c r="H261" s="167"/>
      <c r="I261" s="167"/>
      <c r="J261" s="167"/>
    </row>
    <row r="262" spans="2:10">
      <c r="B262" s="167"/>
      <c r="C262" s="167"/>
      <c r="D262" s="167"/>
      <c r="E262" s="167"/>
      <c r="F262" s="167"/>
      <c r="G262" s="167"/>
      <c r="H262" s="167"/>
      <c r="I262" s="167"/>
      <c r="J262" s="167"/>
    </row>
    <row r="263" spans="2:10">
      <c r="B263" s="167"/>
      <c r="C263" s="167"/>
      <c r="D263" s="167"/>
      <c r="E263" s="167"/>
      <c r="F263" s="167"/>
      <c r="G263" s="167"/>
      <c r="H263" s="167"/>
      <c r="I263" s="167"/>
      <c r="J263" s="167"/>
    </row>
    <row r="264" spans="2:10">
      <c r="B264" s="167"/>
      <c r="C264" s="167"/>
      <c r="D264" s="167"/>
      <c r="E264" s="167"/>
      <c r="F264" s="167"/>
      <c r="G264" s="167"/>
      <c r="H264" s="167"/>
      <c r="I264" s="167"/>
      <c r="J264" s="167"/>
    </row>
    <row r="265" spans="2:10">
      <c r="B265" s="167"/>
      <c r="C265" s="167"/>
      <c r="D265" s="167"/>
      <c r="E265" s="167"/>
      <c r="F265" s="167"/>
      <c r="G265" s="167"/>
      <c r="H265" s="167"/>
      <c r="I265" s="167"/>
      <c r="J265" s="167"/>
    </row>
    <row r="266" spans="2:10">
      <c r="B266" s="167"/>
      <c r="C266" s="167"/>
      <c r="D266" s="167"/>
      <c r="E266" s="167"/>
      <c r="F266" s="167"/>
      <c r="G266" s="167"/>
      <c r="H266" s="167"/>
      <c r="I266" s="167"/>
      <c r="J266" s="167"/>
    </row>
    <row r="267" spans="2:10">
      <c r="B267" s="167"/>
      <c r="C267" s="167"/>
      <c r="D267" s="167"/>
      <c r="E267" s="167"/>
      <c r="F267" s="167"/>
      <c r="G267" s="167"/>
      <c r="H267" s="167"/>
      <c r="I267" s="167"/>
      <c r="J267" s="167"/>
    </row>
    <row r="268" spans="2:10">
      <c r="B268" s="167"/>
      <c r="C268" s="167"/>
      <c r="D268" s="167"/>
      <c r="E268" s="167"/>
      <c r="F268" s="167"/>
      <c r="G268" s="167"/>
      <c r="H268" s="167"/>
      <c r="I268" s="167"/>
      <c r="J268" s="167"/>
    </row>
    <row r="269" spans="2:10">
      <c r="B269" s="167"/>
      <c r="C269" s="167"/>
      <c r="D269" s="167"/>
      <c r="E269" s="167"/>
      <c r="F269" s="167"/>
      <c r="G269" s="167"/>
      <c r="H269" s="167"/>
      <c r="I269" s="167"/>
      <c r="J269" s="167"/>
    </row>
    <row r="270" spans="2:10">
      <c r="B270" s="167"/>
      <c r="C270" s="167"/>
      <c r="D270" s="167"/>
      <c r="E270" s="167"/>
      <c r="F270" s="167"/>
      <c r="G270" s="167"/>
      <c r="H270" s="167"/>
      <c r="I270" s="167"/>
      <c r="J270" s="167"/>
    </row>
    <row r="271" spans="2:10">
      <c r="B271" s="167"/>
      <c r="C271" s="167"/>
      <c r="D271" s="167"/>
      <c r="E271" s="167"/>
      <c r="F271" s="167"/>
      <c r="G271" s="167"/>
      <c r="H271" s="167"/>
      <c r="I271" s="167"/>
      <c r="J271" s="167"/>
    </row>
    <row r="272" spans="2:10">
      <c r="B272" s="167"/>
      <c r="C272" s="167"/>
      <c r="D272" s="167"/>
      <c r="E272" s="167"/>
      <c r="F272" s="167"/>
      <c r="G272" s="167"/>
      <c r="H272" s="167"/>
      <c r="I272" s="167"/>
      <c r="J272" s="167"/>
    </row>
    <row r="273" spans="2:10">
      <c r="B273" s="167"/>
      <c r="C273" s="167"/>
      <c r="D273" s="167"/>
      <c r="E273" s="167"/>
      <c r="F273" s="167"/>
      <c r="G273" s="167"/>
      <c r="H273" s="167"/>
      <c r="I273" s="167"/>
      <c r="J273" s="167"/>
    </row>
    <row r="274" spans="2:10">
      <c r="B274" s="167"/>
      <c r="C274" s="167"/>
      <c r="D274" s="167"/>
      <c r="E274" s="167"/>
      <c r="F274" s="167"/>
      <c r="G274" s="167"/>
      <c r="H274" s="167"/>
      <c r="I274" s="167"/>
      <c r="J274" s="167"/>
    </row>
    <row r="275" spans="2:10">
      <c r="B275" s="167"/>
      <c r="C275" s="167"/>
      <c r="D275" s="167"/>
      <c r="E275" s="167"/>
      <c r="F275" s="167"/>
      <c r="G275" s="167"/>
      <c r="H275" s="167"/>
      <c r="I275" s="167"/>
      <c r="J275" s="167"/>
    </row>
    <row r="276" spans="2:10">
      <c r="B276" s="167"/>
      <c r="C276" s="167"/>
      <c r="D276" s="167"/>
      <c r="E276" s="167"/>
      <c r="F276" s="167"/>
      <c r="G276" s="167"/>
      <c r="H276" s="167"/>
      <c r="I276" s="167"/>
      <c r="J276" s="167"/>
    </row>
    <row r="277" spans="2:10">
      <c r="B277" s="167"/>
      <c r="C277" s="167"/>
      <c r="D277" s="167"/>
      <c r="E277" s="167"/>
      <c r="F277" s="167"/>
      <c r="G277" s="167"/>
      <c r="H277" s="167"/>
      <c r="I277" s="167"/>
      <c r="J277" s="167"/>
    </row>
    <row r="278" spans="2:10">
      <c r="B278" s="167"/>
      <c r="C278" s="167"/>
      <c r="D278" s="167"/>
      <c r="E278" s="167"/>
      <c r="F278" s="167"/>
      <c r="G278" s="167"/>
      <c r="H278" s="167"/>
      <c r="I278" s="167"/>
      <c r="J278" s="167"/>
    </row>
    <row r="279" spans="2:10">
      <c r="B279" s="167"/>
      <c r="C279" s="167"/>
      <c r="D279" s="167"/>
      <c r="E279" s="167"/>
      <c r="F279" s="167"/>
      <c r="G279" s="167"/>
      <c r="H279" s="167"/>
      <c r="I279" s="167"/>
      <c r="J279" s="167"/>
    </row>
    <row r="280" spans="2:10">
      <c r="B280" s="167"/>
      <c r="C280" s="167"/>
      <c r="D280" s="167"/>
      <c r="E280" s="167"/>
      <c r="F280" s="167"/>
      <c r="G280" s="167"/>
      <c r="H280" s="167"/>
      <c r="I280" s="167"/>
      <c r="J280" s="167"/>
    </row>
    <row r="281" spans="2:10">
      <c r="B281" s="167"/>
      <c r="C281" s="167"/>
      <c r="D281" s="167"/>
      <c r="E281" s="167"/>
      <c r="F281" s="167"/>
      <c r="G281" s="167"/>
      <c r="H281" s="167"/>
      <c r="I281" s="167"/>
      <c r="J281" s="167"/>
    </row>
    <row r="282" spans="2:10">
      <c r="B282" s="167"/>
      <c r="C282" s="167"/>
      <c r="D282" s="167"/>
      <c r="E282" s="167"/>
      <c r="F282" s="167"/>
      <c r="G282" s="167"/>
      <c r="H282" s="167"/>
      <c r="I282" s="167"/>
      <c r="J282" s="167"/>
    </row>
    <row r="283" spans="2:10">
      <c r="B283" s="167"/>
      <c r="C283" s="167"/>
      <c r="D283" s="167"/>
      <c r="E283" s="167"/>
      <c r="F283" s="167"/>
      <c r="G283" s="167"/>
      <c r="H283" s="167"/>
      <c r="I283" s="167"/>
      <c r="J283" s="167"/>
    </row>
    <row r="284" spans="2:10">
      <c r="B284" s="167"/>
      <c r="C284" s="167"/>
      <c r="D284" s="167"/>
      <c r="E284" s="167"/>
      <c r="F284" s="167"/>
      <c r="G284" s="167"/>
      <c r="H284" s="167"/>
      <c r="I284" s="167"/>
      <c r="J284" s="167"/>
    </row>
    <row r="285" spans="2:10">
      <c r="B285" s="167"/>
      <c r="C285" s="167"/>
      <c r="D285" s="167"/>
      <c r="E285" s="167"/>
      <c r="F285" s="167"/>
      <c r="G285" s="167"/>
      <c r="H285" s="167"/>
      <c r="I285" s="167"/>
      <c r="J285" s="167"/>
    </row>
    <row r="286" spans="2:10">
      <c r="B286" s="167"/>
      <c r="C286" s="167"/>
      <c r="D286" s="167"/>
      <c r="E286" s="167"/>
      <c r="F286" s="167"/>
      <c r="G286" s="167"/>
      <c r="H286" s="167"/>
      <c r="I286" s="167"/>
      <c r="J286" s="167"/>
    </row>
    <row r="287" spans="2:10">
      <c r="B287" s="167"/>
      <c r="C287" s="167"/>
      <c r="D287" s="167"/>
      <c r="E287" s="167"/>
      <c r="F287" s="167"/>
      <c r="G287" s="167"/>
      <c r="H287" s="167"/>
      <c r="I287" s="167"/>
      <c r="J287" s="167"/>
    </row>
    <row r="288" spans="2:10">
      <c r="B288" s="167"/>
      <c r="C288" s="167"/>
      <c r="D288" s="167"/>
      <c r="E288" s="167"/>
      <c r="F288" s="167"/>
      <c r="G288" s="167"/>
      <c r="H288" s="167"/>
      <c r="I288" s="167"/>
      <c r="J288" s="167"/>
    </row>
    <row r="289" spans="2:10">
      <c r="B289" s="167"/>
      <c r="C289" s="167"/>
      <c r="D289" s="167"/>
      <c r="E289" s="167"/>
      <c r="F289" s="167"/>
      <c r="G289" s="167"/>
      <c r="H289" s="167"/>
      <c r="I289" s="167"/>
      <c r="J289" s="167"/>
    </row>
    <row r="290" spans="2:10">
      <c r="B290" s="167"/>
      <c r="C290" s="167"/>
      <c r="D290" s="167"/>
      <c r="E290" s="167"/>
      <c r="F290" s="167"/>
      <c r="G290" s="167"/>
      <c r="H290" s="167"/>
      <c r="I290" s="167"/>
      <c r="J290" s="167"/>
    </row>
    <row r="291" spans="2:10">
      <c r="B291" s="167"/>
      <c r="C291" s="167"/>
      <c r="D291" s="167"/>
      <c r="E291" s="167"/>
      <c r="F291" s="167"/>
      <c r="G291" s="167"/>
      <c r="H291" s="167"/>
      <c r="I291" s="167"/>
      <c r="J291" s="167"/>
    </row>
    <row r="292" spans="2:10">
      <c r="B292" s="167"/>
      <c r="C292" s="167"/>
      <c r="D292" s="167"/>
      <c r="E292" s="167"/>
      <c r="F292" s="167"/>
      <c r="G292" s="167"/>
      <c r="H292" s="167"/>
      <c r="I292" s="167"/>
      <c r="J292" s="167"/>
    </row>
    <row r="293" spans="2:10">
      <c r="B293" s="167"/>
      <c r="C293" s="167"/>
      <c r="D293" s="167"/>
      <c r="E293" s="167"/>
      <c r="F293" s="167"/>
      <c r="G293" s="167"/>
      <c r="H293" s="167"/>
      <c r="I293" s="167"/>
      <c r="J293" s="167"/>
    </row>
    <row r="294" spans="2:10">
      <c r="B294" s="167"/>
      <c r="C294" s="167"/>
      <c r="D294" s="167"/>
      <c r="E294" s="167"/>
      <c r="F294" s="167"/>
      <c r="G294" s="167"/>
      <c r="H294" s="167"/>
      <c r="I294" s="167"/>
      <c r="J294" s="167"/>
    </row>
    <row r="295" spans="2:10">
      <c r="B295" s="167"/>
      <c r="C295" s="167"/>
      <c r="D295" s="167"/>
      <c r="E295" s="167"/>
      <c r="F295" s="167"/>
      <c r="G295" s="167"/>
      <c r="H295" s="167"/>
      <c r="I295" s="167"/>
      <c r="J295" s="167"/>
    </row>
    <row r="296" spans="2:10">
      <c r="B296" s="167"/>
      <c r="C296" s="167"/>
      <c r="D296" s="167"/>
      <c r="E296" s="167"/>
      <c r="F296" s="167"/>
      <c r="G296" s="167"/>
      <c r="H296" s="167"/>
      <c r="I296" s="167"/>
      <c r="J296" s="167"/>
    </row>
    <row r="297" spans="2:10">
      <c r="B297" s="167"/>
      <c r="C297" s="167"/>
      <c r="D297" s="167"/>
      <c r="E297" s="167"/>
      <c r="F297" s="167"/>
      <c r="G297" s="167"/>
      <c r="H297" s="167"/>
      <c r="I297" s="167"/>
      <c r="J297" s="167"/>
    </row>
    <row r="298" spans="2:10">
      <c r="B298" s="167"/>
      <c r="C298" s="167"/>
      <c r="D298" s="167"/>
      <c r="E298" s="167"/>
      <c r="F298" s="167"/>
      <c r="G298" s="167"/>
      <c r="H298" s="167"/>
      <c r="I298" s="167"/>
      <c r="J298" s="167"/>
    </row>
    <row r="299" spans="2:10">
      <c r="B299" s="167"/>
      <c r="C299" s="167"/>
      <c r="D299" s="167"/>
      <c r="E299" s="167"/>
      <c r="F299" s="167"/>
      <c r="G299" s="167"/>
      <c r="H299" s="167"/>
      <c r="I299" s="167"/>
      <c r="J299" s="167"/>
    </row>
    <row r="300" spans="2:10">
      <c r="B300" s="167"/>
      <c r="C300" s="167"/>
      <c r="D300" s="167"/>
      <c r="E300" s="167"/>
      <c r="F300" s="167"/>
      <c r="G300" s="167"/>
      <c r="H300" s="167"/>
      <c r="I300" s="167"/>
      <c r="J300" s="167"/>
    </row>
    <row r="301" spans="2:10">
      <c r="B301" s="167"/>
      <c r="C301" s="167"/>
      <c r="D301" s="167"/>
      <c r="E301" s="167"/>
      <c r="F301" s="167"/>
      <c r="G301" s="167"/>
      <c r="H301" s="167"/>
      <c r="I301" s="167"/>
      <c r="J301" s="167"/>
    </row>
    <row r="302" spans="2:10">
      <c r="B302" s="167"/>
      <c r="C302" s="167"/>
      <c r="D302" s="167"/>
      <c r="E302" s="167"/>
      <c r="F302" s="167"/>
      <c r="G302" s="167"/>
      <c r="H302" s="167"/>
      <c r="I302" s="167"/>
      <c r="J302" s="167"/>
    </row>
    <row r="303" spans="2:10">
      <c r="B303" s="167"/>
      <c r="C303" s="167"/>
      <c r="D303" s="167"/>
      <c r="E303" s="167"/>
      <c r="F303" s="167"/>
      <c r="G303" s="167"/>
      <c r="H303" s="167"/>
      <c r="I303" s="167"/>
      <c r="J303" s="167"/>
    </row>
    <row r="304" spans="2:10">
      <c r="B304" s="167"/>
      <c r="C304" s="167"/>
      <c r="D304" s="167"/>
      <c r="E304" s="167"/>
      <c r="F304" s="167"/>
      <c r="G304" s="167"/>
      <c r="H304" s="167"/>
      <c r="I304" s="167"/>
      <c r="J304" s="167"/>
    </row>
    <row r="305" spans="2:10">
      <c r="B305" s="167"/>
      <c r="C305" s="167"/>
      <c r="D305" s="167"/>
      <c r="E305" s="167"/>
      <c r="F305" s="167"/>
      <c r="G305" s="167"/>
      <c r="H305" s="167"/>
      <c r="I305" s="167"/>
      <c r="J305" s="167"/>
    </row>
    <row r="306" spans="2:10">
      <c r="B306" s="167"/>
      <c r="C306" s="167"/>
      <c r="D306" s="167"/>
      <c r="E306" s="167"/>
      <c r="F306" s="167"/>
      <c r="G306" s="167"/>
      <c r="H306" s="167"/>
      <c r="I306" s="167"/>
      <c r="J306" s="167"/>
    </row>
    <row r="307" spans="2:10">
      <c r="B307" s="167"/>
      <c r="C307" s="167"/>
      <c r="D307" s="167"/>
      <c r="E307" s="167"/>
      <c r="F307" s="167"/>
      <c r="G307" s="167"/>
      <c r="H307" s="167"/>
      <c r="I307" s="167"/>
      <c r="J307" s="167"/>
    </row>
    <row r="308" spans="2:10">
      <c r="B308" s="167"/>
      <c r="C308" s="167"/>
      <c r="D308" s="167"/>
      <c r="E308" s="167"/>
      <c r="F308" s="167"/>
      <c r="G308" s="167"/>
      <c r="H308" s="167"/>
      <c r="I308" s="167"/>
      <c r="J308" s="167"/>
    </row>
    <row r="309" spans="2:10">
      <c r="B309" s="167"/>
      <c r="C309" s="167"/>
      <c r="D309" s="167"/>
      <c r="E309" s="167"/>
      <c r="F309" s="167"/>
      <c r="G309" s="167"/>
      <c r="H309" s="167"/>
      <c r="I309" s="167"/>
      <c r="J309" s="167"/>
    </row>
    <row r="310" spans="2:10">
      <c r="B310" s="167"/>
      <c r="C310" s="167"/>
      <c r="D310" s="167"/>
      <c r="E310" s="167"/>
      <c r="F310" s="167"/>
      <c r="G310" s="167"/>
      <c r="H310" s="167"/>
      <c r="I310" s="167"/>
      <c r="J310" s="167"/>
    </row>
    <row r="311" spans="2:10">
      <c r="B311" s="167"/>
      <c r="C311" s="167"/>
      <c r="D311" s="167"/>
      <c r="E311" s="167"/>
      <c r="F311" s="167"/>
      <c r="G311" s="167"/>
      <c r="H311" s="167"/>
      <c r="I311" s="167"/>
      <c r="J311" s="167"/>
    </row>
    <row r="312" spans="2:10">
      <c r="B312" s="167"/>
      <c r="C312" s="167"/>
      <c r="D312" s="167"/>
      <c r="E312" s="167"/>
      <c r="F312" s="167"/>
      <c r="G312" s="167"/>
      <c r="H312" s="167"/>
      <c r="I312" s="167"/>
      <c r="J312" s="167"/>
    </row>
    <row r="313" spans="2:10">
      <c r="B313" s="167"/>
      <c r="C313" s="167"/>
      <c r="D313" s="167"/>
      <c r="E313" s="167"/>
      <c r="F313" s="167"/>
      <c r="G313" s="167"/>
      <c r="H313" s="167"/>
      <c r="I313" s="167"/>
      <c r="J313" s="167"/>
    </row>
    <row r="314" spans="2:10">
      <c r="B314" s="167"/>
      <c r="C314" s="167"/>
      <c r="D314" s="167"/>
      <c r="E314" s="167"/>
      <c r="F314" s="167"/>
      <c r="G314" s="167"/>
      <c r="H314" s="167"/>
      <c r="I314" s="167"/>
      <c r="J314" s="167"/>
    </row>
    <row r="315" spans="2:10">
      <c r="B315" s="167"/>
      <c r="C315" s="167"/>
      <c r="D315" s="167"/>
      <c r="E315" s="167"/>
      <c r="F315" s="167"/>
      <c r="G315" s="167"/>
      <c r="H315" s="167"/>
      <c r="I315" s="167"/>
      <c r="J315" s="167"/>
    </row>
    <row r="316" spans="2:10">
      <c r="B316" s="167"/>
      <c r="C316" s="167"/>
      <c r="D316" s="167"/>
      <c r="E316" s="167"/>
      <c r="F316" s="167"/>
      <c r="G316" s="167"/>
      <c r="H316" s="167"/>
      <c r="I316" s="167"/>
      <c r="J316" s="167"/>
    </row>
    <row r="317" spans="2:10">
      <c r="B317" s="167"/>
      <c r="C317" s="167"/>
      <c r="D317" s="167"/>
      <c r="E317" s="167"/>
      <c r="F317" s="167"/>
      <c r="G317" s="167"/>
      <c r="H317" s="167"/>
      <c r="I317" s="167"/>
      <c r="J317" s="167"/>
    </row>
    <row r="318" spans="2:10">
      <c r="B318" s="167"/>
      <c r="C318" s="167"/>
      <c r="D318" s="167"/>
      <c r="E318" s="167"/>
      <c r="F318" s="167"/>
      <c r="G318" s="167"/>
      <c r="H318" s="167"/>
      <c r="I318" s="167"/>
      <c r="J318" s="167"/>
    </row>
    <row r="319" spans="2:10">
      <c r="B319" s="167"/>
      <c r="C319" s="167"/>
      <c r="D319" s="167"/>
      <c r="E319" s="167"/>
      <c r="F319" s="167"/>
      <c r="G319" s="167"/>
      <c r="H319" s="167"/>
      <c r="I319" s="167"/>
      <c r="J319" s="167"/>
    </row>
    <row r="320" spans="2:10">
      <c r="B320" s="167"/>
      <c r="C320" s="167"/>
      <c r="D320" s="167"/>
      <c r="E320" s="167"/>
      <c r="F320" s="167"/>
      <c r="G320" s="167"/>
      <c r="H320" s="167"/>
      <c r="I320" s="167"/>
      <c r="J320" s="167"/>
    </row>
    <row r="321" spans="2:10">
      <c r="B321" s="167"/>
      <c r="C321" s="167"/>
      <c r="D321" s="167"/>
      <c r="E321" s="167"/>
      <c r="F321" s="167"/>
      <c r="G321" s="167"/>
      <c r="H321" s="167"/>
      <c r="I321" s="167"/>
      <c r="J321" s="167"/>
    </row>
    <row r="322" spans="2:10">
      <c r="B322" s="167"/>
      <c r="C322" s="167"/>
      <c r="D322" s="167"/>
      <c r="E322" s="167"/>
      <c r="F322" s="167"/>
      <c r="G322" s="167"/>
      <c r="H322" s="167"/>
      <c r="I322" s="167"/>
      <c r="J322" s="167"/>
    </row>
    <row r="323" spans="2:10">
      <c r="B323" s="167"/>
      <c r="C323" s="167"/>
      <c r="D323" s="167"/>
      <c r="E323" s="167"/>
      <c r="F323" s="167"/>
      <c r="G323" s="167"/>
      <c r="H323" s="167"/>
      <c r="I323" s="167"/>
      <c r="J323" s="167"/>
    </row>
    <row r="324" spans="2:10">
      <c r="B324" s="167"/>
      <c r="C324" s="167"/>
      <c r="D324" s="167"/>
      <c r="E324" s="167"/>
      <c r="F324" s="167"/>
      <c r="G324" s="167"/>
      <c r="H324" s="167"/>
      <c r="I324" s="167"/>
      <c r="J324" s="167"/>
    </row>
    <row r="325" spans="2:10">
      <c r="B325" s="167"/>
      <c r="C325" s="167"/>
      <c r="D325" s="167"/>
      <c r="E325" s="167"/>
      <c r="F325" s="167"/>
      <c r="G325" s="167"/>
      <c r="H325" s="167"/>
      <c r="I325" s="167"/>
      <c r="J325" s="167"/>
    </row>
    <row r="326" spans="2:10">
      <c r="B326" s="167"/>
      <c r="C326" s="167"/>
      <c r="D326" s="167"/>
      <c r="E326" s="167"/>
      <c r="F326" s="167"/>
      <c r="G326" s="167"/>
      <c r="H326" s="167"/>
      <c r="I326" s="167"/>
      <c r="J326" s="167"/>
    </row>
    <row r="327" spans="2:10">
      <c r="B327" s="167"/>
      <c r="C327" s="167"/>
      <c r="D327" s="167"/>
      <c r="E327" s="167"/>
      <c r="F327" s="167"/>
      <c r="G327" s="167"/>
      <c r="H327" s="167"/>
      <c r="I327" s="167"/>
      <c r="J327" s="167"/>
    </row>
    <row r="328" spans="2:10">
      <c r="B328" s="167"/>
      <c r="C328" s="167"/>
      <c r="D328" s="167"/>
      <c r="E328" s="167"/>
      <c r="F328" s="167"/>
      <c r="G328" s="167"/>
      <c r="H328" s="167"/>
      <c r="I328" s="167"/>
      <c r="J328" s="167"/>
    </row>
    <row r="329" spans="2:10">
      <c r="B329" s="167"/>
      <c r="C329" s="167"/>
      <c r="D329" s="167"/>
      <c r="E329" s="167"/>
      <c r="F329" s="167"/>
      <c r="G329" s="167"/>
      <c r="H329" s="167"/>
      <c r="I329" s="167"/>
      <c r="J329" s="167"/>
    </row>
    <row r="330" spans="2:10">
      <c r="B330" s="167"/>
      <c r="C330" s="167"/>
      <c r="D330" s="167"/>
      <c r="E330" s="167"/>
      <c r="F330" s="167"/>
      <c r="G330" s="167"/>
      <c r="H330" s="167"/>
      <c r="I330" s="167"/>
      <c r="J330" s="167"/>
    </row>
    <row r="331" spans="2:10">
      <c r="B331" s="167"/>
      <c r="C331" s="167"/>
      <c r="D331" s="167"/>
      <c r="E331" s="167"/>
      <c r="F331" s="167"/>
      <c r="G331" s="167"/>
      <c r="H331" s="167"/>
      <c r="I331" s="167"/>
      <c r="J331" s="167"/>
    </row>
    <row r="332" spans="2:10">
      <c r="B332" s="167"/>
      <c r="C332" s="167"/>
      <c r="D332" s="167"/>
      <c r="E332" s="167"/>
      <c r="F332" s="167"/>
      <c r="G332" s="167"/>
      <c r="H332" s="167"/>
      <c r="I332" s="167"/>
      <c r="J332" s="167"/>
    </row>
    <row r="333" spans="2:10">
      <c r="B333" s="167"/>
      <c r="C333" s="167"/>
      <c r="D333" s="167"/>
      <c r="E333" s="167"/>
      <c r="F333" s="167"/>
      <c r="G333" s="167"/>
      <c r="H333" s="167"/>
      <c r="I333" s="167"/>
      <c r="J333" s="167"/>
    </row>
    <row r="334" spans="2:10">
      <c r="B334" s="167"/>
      <c r="C334" s="167"/>
      <c r="D334" s="167"/>
      <c r="E334" s="167"/>
      <c r="F334" s="167"/>
      <c r="G334" s="167"/>
      <c r="H334" s="167"/>
      <c r="I334" s="167"/>
      <c r="J334" s="167"/>
    </row>
    <row r="335" spans="2:10">
      <c r="B335" s="167"/>
      <c r="C335" s="167"/>
      <c r="D335" s="167"/>
      <c r="E335" s="167"/>
      <c r="F335" s="167"/>
      <c r="G335" s="167"/>
      <c r="H335" s="167"/>
      <c r="I335" s="167"/>
      <c r="J335" s="167"/>
    </row>
    <row r="336" spans="2:10">
      <c r="B336" s="167"/>
      <c r="C336" s="167"/>
      <c r="D336" s="167"/>
      <c r="E336" s="167"/>
      <c r="F336" s="167"/>
      <c r="G336" s="167"/>
      <c r="H336" s="167"/>
      <c r="I336" s="167"/>
      <c r="J336" s="167"/>
    </row>
    <row r="337" spans="2:10">
      <c r="B337" s="167"/>
      <c r="C337" s="167"/>
      <c r="D337" s="167"/>
      <c r="E337" s="167"/>
      <c r="F337" s="167"/>
      <c r="G337" s="167"/>
      <c r="H337" s="167"/>
      <c r="I337" s="167"/>
      <c r="J337" s="167"/>
    </row>
    <row r="338" spans="2:10">
      <c r="B338" s="167"/>
      <c r="C338" s="167"/>
      <c r="D338" s="167"/>
      <c r="E338" s="167"/>
      <c r="F338" s="167"/>
      <c r="G338" s="167"/>
      <c r="H338" s="167"/>
      <c r="I338" s="167"/>
      <c r="J338" s="167"/>
    </row>
    <row r="339" spans="2:10">
      <c r="B339" s="167"/>
      <c r="C339" s="167"/>
      <c r="D339" s="167"/>
      <c r="E339" s="167"/>
      <c r="F339" s="167"/>
      <c r="G339" s="167"/>
      <c r="H339" s="167"/>
      <c r="I339" s="167"/>
      <c r="J339" s="167"/>
    </row>
    <row r="340" spans="2:10">
      <c r="B340" s="167"/>
      <c r="C340" s="167"/>
      <c r="D340" s="167"/>
      <c r="E340" s="167"/>
      <c r="F340" s="167"/>
      <c r="G340" s="167"/>
      <c r="H340" s="167"/>
      <c r="I340" s="167"/>
      <c r="J340" s="167"/>
    </row>
    <row r="341" spans="2:10">
      <c r="B341" s="167"/>
      <c r="C341" s="167"/>
      <c r="D341" s="167"/>
      <c r="E341" s="167"/>
      <c r="F341" s="167"/>
      <c r="G341" s="167"/>
      <c r="H341" s="167"/>
      <c r="I341" s="167"/>
      <c r="J341" s="167"/>
    </row>
    <row r="342" spans="2:10">
      <c r="B342" s="167"/>
      <c r="C342" s="167"/>
      <c r="D342" s="167"/>
      <c r="E342" s="167"/>
      <c r="F342" s="167"/>
      <c r="G342" s="167"/>
      <c r="H342" s="167"/>
      <c r="I342" s="167"/>
      <c r="J342" s="167"/>
    </row>
    <row r="343" spans="2:10">
      <c r="B343" s="167"/>
      <c r="C343" s="167"/>
      <c r="D343" s="167"/>
      <c r="E343" s="167"/>
      <c r="F343" s="167"/>
      <c r="G343" s="167"/>
      <c r="H343" s="167"/>
      <c r="I343" s="167"/>
      <c r="J343" s="167"/>
    </row>
    <row r="344" spans="2:10">
      <c r="B344" s="167"/>
      <c r="C344" s="167"/>
      <c r="D344" s="167"/>
      <c r="E344" s="167"/>
      <c r="F344" s="167"/>
      <c r="G344" s="167"/>
      <c r="H344" s="167"/>
      <c r="I344" s="167"/>
      <c r="J344" s="167"/>
    </row>
    <row r="345" spans="2:10">
      <c r="B345" s="167"/>
      <c r="C345" s="167"/>
      <c r="D345" s="167"/>
      <c r="E345" s="167"/>
      <c r="F345" s="167"/>
      <c r="G345" s="167"/>
      <c r="H345" s="167"/>
      <c r="I345" s="167"/>
      <c r="J345" s="167"/>
    </row>
    <row r="346" spans="2:10">
      <c r="B346" s="167"/>
      <c r="C346" s="167"/>
      <c r="D346" s="167"/>
      <c r="E346" s="167"/>
      <c r="F346" s="167"/>
      <c r="G346" s="167"/>
      <c r="H346" s="167"/>
      <c r="I346" s="167"/>
      <c r="J346" s="167"/>
    </row>
    <row r="347" spans="2:10">
      <c r="B347" s="167"/>
      <c r="C347" s="167"/>
      <c r="D347" s="167"/>
      <c r="E347" s="167"/>
      <c r="F347" s="167"/>
      <c r="G347" s="167"/>
      <c r="H347" s="167"/>
      <c r="I347" s="167"/>
      <c r="J347" s="167"/>
    </row>
    <row r="348" spans="2:10">
      <c r="B348" s="167"/>
      <c r="C348" s="167"/>
      <c r="D348" s="167"/>
      <c r="E348" s="167"/>
      <c r="F348" s="167"/>
      <c r="G348" s="167"/>
      <c r="H348" s="167"/>
      <c r="I348" s="167"/>
      <c r="J348" s="167"/>
    </row>
    <row r="349" spans="2:10">
      <c r="B349" s="167"/>
      <c r="C349" s="167"/>
      <c r="D349" s="167"/>
      <c r="E349" s="167"/>
      <c r="F349" s="167"/>
      <c r="G349" s="167"/>
      <c r="H349" s="167"/>
      <c r="I349" s="167"/>
      <c r="J349" s="167"/>
    </row>
    <row r="350" spans="2:10">
      <c r="B350" s="167"/>
      <c r="C350" s="167"/>
      <c r="D350" s="167"/>
      <c r="E350" s="167"/>
      <c r="F350" s="167"/>
      <c r="G350" s="167"/>
      <c r="H350" s="167"/>
      <c r="I350" s="167"/>
      <c r="J350" s="167"/>
    </row>
    <row r="351" spans="2:10">
      <c r="B351" s="167"/>
      <c r="C351" s="167"/>
      <c r="D351" s="167"/>
      <c r="E351" s="167"/>
      <c r="F351" s="167"/>
      <c r="G351" s="167"/>
      <c r="H351" s="167"/>
      <c r="I351" s="167"/>
      <c r="J351" s="167"/>
    </row>
    <row r="352" spans="2:10">
      <c r="B352" s="167"/>
      <c r="C352" s="167"/>
      <c r="D352" s="167"/>
      <c r="E352" s="167"/>
      <c r="F352" s="167"/>
      <c r="G352" s="167"/>
      <c r="H352" s="167"/>
      <c r="I352" s="167"/>
      <c r="J352" s="167"/>
    </row>
    <row r="353" spans="2:10">
      <c r="B353" s="167"/>
      <c r="C353" s="167"/>
      <c r="D353" s="167"/>
      <c r="E353" s="167"/>
      <c r="F353" s="167"/>
      <c r="G353" s="167"/>
      <c r="H353" s="167"/>
      <c r="I353" s="167"/>
      <c r="J353" s="167"/>
    </row>
    <row r="354" spans="2:10">
      <c r="B354" s="167"/>
      <c r="C354" s="167"/>
      <c r="D354" s="167"/>
      <c r="E354" s="167"/>
      <c r="F354" s="167"/>
      <c r="G354" s="167"/>
      <c r="H354" s="167"/>
      <c r="I354" s="167"/>
      <c r="J354" s="167"/>
    </row>
    <row r="355" spans="2:10">
      <c r="B355" s="167"/>
      <c r="C355" s="167"/>
      <c r="D355" s="167"/>
      <c r="E355" s="167"/>
      <c r="F355" s="167"/>
      <c r="G355" s="167"/>
      <c r="H355" s="167"/>
      <c r="I355" s="167"/>
      <c r="J355" s="167"/>
    </row>
    <row r="356" spans="2:10">
      <c r="B356" s="167"/>
      <c r="C356" s="167"/>
      <c r="D356" s="167"/>
      <c r="E356" s="167"/>
      <c r="F356" s="167"/>
      <c r="G356" s="167"/>
      <c r="H356" s="167"/>
      <c r="I356" s="167"/>
      <c r="J356" s="167"/>
    </row>
  </sheetData>
  <mergeCells count="5">
    <mergeCell ref="C7:C9"/>
    <mergeCell ref="H12:H13"/>
    <mergeCell ref="H15:H16"/>
    <mergeCell ref="H18:H19"/>
    <mergeCell ref="H21:H2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23.710937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10" hidden="1"/>
    <row r="2" spans="2:10" s="247" customFormat="1" ht="21" customHeight="1">
      <c r="E2" s="349" t="s">
        <v>87</v>
      </c>
    </row>
    <row r="3" spans="2:10" s="247" customFormat="1" ht="15" customHeight="1">
      <c r="E3" s="349" t="s">
        <v>119</v>
      </c>
    </row>
    <row r="4" spans="2:10" s="247" customFormat="1" ht="20.100000000000001" customHeight="1">
      <c r="C4" s="168" t="s">
        <v>318</v>
      </c>
    </row>
    <row r="5" spans="2:10" s="249" customFormat="1">
      <c r="B5" s="248"/>
    </row>
    <row r="6" spans="2:10" s="249" customFormat="1" ht="12.75" customHeight="1">
      <c r="B6" s="248"/>
      <c r="C6" s="250"/>
    </row>
    <row r="7" spans="2:10" s="249" customFormat="1" ht="12.75" customHeight="1">
      <c r="B7" s="248"/>
      <c r="C7" s="626" t="s">
        <v>458</v>
      </c>
      <c r="D7" s="252"/>
      <c r="E7" s="252"/>
      <c r="G7" s="463"/>
      <c r="H7" s="463"/>
      <c r="I7" s="463"/>
      <c r="J7" s="463"/>
    </row>
    <row r="8" spans="2:10" s="249" customFormat="1" ht="12.75" customHeight="1">
      <c r="B8" s="248"/>
      <c r="C8" s="626"/>
      <c r="D8" s="252"/>
      <c r="E8" s="253"/>
      <c r="G8" s="463"/>
      <c r="H8" s="463"/>
      <c r="I8" s="463"/>
      <c r="J8" s="463"/>
    </row>
    <row r="9" spans="2:10" s="249" customFormat="1" ht="12.75" customHeight="1">
      <c r="B9" s="248"/>
      <c r="C9" s="626"/>
      <c r="D9" s="252"/>
      <c r="E9" s="253"/>
      <c r="G9" s="463"/>
      <c r="H9" s="463"/>
      <c r="I9" s="463"/>
      <c r="J9" s="463"/>
    </row>
    <row r="10" spans="2:10" s="249" customFormat="1" ht="12.75" customHeight="1">
      <c r="B10" s="248"/>
      <c r="C10" s="422"/>
      <c r="D10" s="252"/>
      <c r="E10" s="253"/>
      <c r="G10" s="463"/>
      <c r="H10" s="463"/>
      <c r="I10" s="463"/>
      <c r="J10" s="463"/>
    </row>
    <row r="11" spans="2:10" s="249" customFormat="1" ht="12.75" customHeight="1">
      <c r="B11" s="248"/>
      <c r="C11" s="254" t="str">
        <f>TEXT('Data 5'!E357,"#.##0")&amp;" MW"</f>
        <v>2.285 MW</v>
      </c>
      <c r="D11" s="252"/>
      <c r="E11" s="253"/>
      <c r="G11" s="463"/>
      <c r="H11" s="463"/>
      <c r="I11" s="463"/>
      <c r="J11" s="463"/>
    </row>
    <row r="12" spans="2:10" s="249" customFormat="1" ht="12.75" customHeight="1">
      <c r="B12" s="248"/>
      <c r="C12" s="254" t="s">
        <v>140</v>
      </c>
      <c r="D12" s="252"/>
      <c r="E12" s="252"/>
      <c r="G12" s="463"/>
      <c r="H12" s="463"/>
      <c r="I12" s="463"/>
      <c r="J12" s="463"/>
    </row>
    <row r="13" spans="2:10" s="249" customFormat="1" ht="12.75" customHeight="1">
      <c r="B13" s="248"/>
      <c r="D13" s="252"/>
      <c r="E13" s="252"/>
      <c r="G13" s="463"/>
      <c r="H13" s="463"/>
      <c r="I13" s="463"/>
      <c r="J13" s="463"/>
    </row>
    <row r="14" spans="2:10" s="249" customFormat="1" ht="12.75" customHeight="1">
      <c r="B14" s="248"/>
      <c r="C14" s="255"/>
      <c r="D14" s="252"/>
      <c r="E14" s="252"/>
      <c r="G14" s="463"/>
      <c r="H14" s="463"/>
      <c r="I14" s="463"/>
      <c r="J14" s="463"/>
    </row>
    <row r="15" spans="2:10" s="249" customFormat="1" ht="12.75" customHeight="1">
      <c r="B15" s="248"/>
      <c r="D15" s="252"/>
      <c r="E15" s="252"/>
      <c r="G15" s="463"/>
      <c r="H15" s="463"/>
      <c r="I15" s="463"/>
      <c r="J15" s="463"/>
    </row>
    <row r="16" spans="2:10" s="249" customFormat="1" ht="12.75" customHeight="1">
      <c r="B16" s="248"/>
      <c r="C16" s="251"/>
      <c r="D16" s="252"/>
      <c r="E16" s="252"/>
      <c r="G16" s="463"/>
      <c r="H16" s="463"/>
      <c r="I16" s="463"/>
      <c r="J16" s="463"/>
    </row>
    <row r="17" spans="2:10" s="249" customFormat="1" ht="12.75" customHeight="1">
      <c r="B17" s="248"/>
      <c r="C17" s="251"/>
      <c r="D17" s="252"/>
      <c r="E17" s="252"/>
      <c r="G17" s="463"/>
      <c r="H17" s="463"/>
      <c r="I17" s="463"/>
      <c r="J17" s="463"/>
    </row>
    <row r="18" spans="2:10" s="249" customFormat="1" ht="12.75" customHeight="1">
      <c r="B18" s="248"/>
      <c r="C18" s="251"/>
      <c r="D18" s="252"/>
      <c r="E18" s="252"/>
    </row>
    <row r="19" spans="2:10" s="249" customFormat="1" ht="12.75" customHeight="1">
      <c r="B19" s="248"/>
      <c r="C19" s="251"/>
      <c r="D19" s="252"/>
      <c r="E19" s="252"/>
    </row>
    <row r="20" spans="2:10" s="249" customFormat="1" ht="12.75" customHeight="1">
      <c r="B20" s="248"/>
      <c r="C20" s="251"/>
      <c r="D20" s="252"/>
      <c r="E20" s="252"/>
    </row>
    <row r="21" spans="2:10" s="249" customFormat="1" ht="12.75" customHeight="1">
      <c r="B21" s="248"/>
      <c r="C21" s="251"/>
      <c r="D21" s="252"/>
      <c r="E21" s="252"/>
    </row>
    <row r="22" spans="2:10" s="249" customFormat="1" ht="12.75" customHeight="1">
      <c r="B22" s="248"/>
      <c r="C22" s="251"/>
      <c r="D22" s="252"/>
      <c r="E22" s="252"/>
    </row>
    <row r="23" spans="2:10">
      <c r="E23" s="258"/>
    </row>
    <row r="24" spans="2:10">
      <c r="C24" s="257"/>
      <c r="E24" s="425"/>
      <c r="F24" s="425"/>
      <c r="G24" s="425"/>
      <c r="H24" s="425"/>
    </row>
    <row r="25" spans="2:10">
      <c r="C25" s="257"/>
      <c r="E25" s="425"/>
      <c r="F25" s="425"/>
      <c r="G25" s="425"/>
      <c r="H25" s="425"/>
    </row>
    <row r="26" spans="2:10">
      <c r="C26" s="422"/>
      <c r="E26" s="425"/>
      <c r="F26" s="425"/>
      <c r="G26" s="425"/>
      <c r="H26" s="425"/>
    </row>
    <row r="27" spans="2:10">
      <c r="C27" s="422"/>
      <c r="E27" s="425"/>
      <c r="F27" s="425"/>
      <c r="G27" s="425"/>
      <c r="H27" s="425"/>
    </row>
    <row r="28" spans="2:10">
      <c r="C28" s="422"/>
      <c r="E28" s="425"/>
      <c r="F28" s="425"/>
      <c r="G28" s="425"/>
      <c r="H28" s="425"/>
    </row>
    <row r="29" spans="2:10" ht="12.75" customHeight="1">
      <c r="C29" s="422"/>
      <c r="E29" s="425"/>
      <c r="F29" s="425"/>
      <c r="G29" s="425"/>
      <c r="H29" s="425"/>
    </row>
    <row r="30" spans="2:10">
      <c r="E30" s="425"/>
      <c r="F30" s="425"/>
      <c r="G30" s="425"/>
      <c r="H30" s="425"/>
    </row>
    <row r="31" spans="2:10">
      <c r="E31" s="425"/>
      <c r="F31" s="425"/>
      <c r="G31" s="425"/>
      <c r="H31" s="425"/>
    </row>
    <row r="32" spans="2:10">
      <c r="E32" s="425"/>
      <c r="F32" s="425"/>
      <c r="G32" s="425"/>
      <c r="H32" s="425"/>
    </row>
    <row r="33" spans="5:8">
      <c r="E33" s="425"/>
      <c r="F33" s="425"/>
      <c r="G33" s="425"/>
      <c r="H33" s="425"/>
    </row>
    <row r="34" spans="5:8">
      <c r="E34" s="425"/>
      <c r="F34" s="425"/>
      <c r="G34" s="425"/>
      <c r="H34" s="425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23.710937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10" hidden="1"/>
    <row r="2" spans="2:10" s="247" customFormat="1" ht="21" customHeight="1">
      <c r="E2" s="349" t="s">
        <v>87</v>
      </c>
    </row>
    <row r="3" spans="2:10" s="247" customFormat="1" ht="15" customHeight="1">
      <c r="E3" s="349" t="s">
        <v>119</v>
      </c>
    </row>
    <row r="4" spans="2:10" s="247" customFormat="1" ht="20.100000000000001" customHeight="1">
      <c r="C4" s="168" t="s">
        <v>318</v>
      </c>
    </row>
    <row r="5" spans="2:10" s="249" customFormat="1">
      <c r="B5" s="248"/>
    </row>
    <row r="6" spans="2:10" s="249" customFormat="1" ht="12.75" customHeight="1">
      <c r="B6" s="248"/>
      <c r="C6" s="250"/>
    </row>
    <row r="7" spans="2:10" s="249" customFormat="1" ht="12.75" customHeight="1">
      <c r="B7" s="248"/>
      <c r="C7" s="626" t="s">
        <v>459</v>
      </c>
      <c r="D7" s="252"/>
      <c r="E7" s="252"/>
      <c r="G7" s="463"/>
      <c r="H7" s="463"/>
      <c r="I7" s="463"/>
      <c r="J7" s="463"/>
    </row>
    <row r="8" spans="2:10" s="249" customFormat="1" ht="12.75" customHeight="1">
      <c r="B8" s="248"/>
      <c r="C8" s="626"/>
      <c r="D8" s="252"/>
      <c r="E8" s="253"/>
      <c r="G8" s="463"/>
      <c r="H8" s="463"/>
      <c r="I8" s="463"/>
      <c r="J8" s="463"/>
    </row>
    <row r="9" spans="2:10" s="249" customFormat="1" ht="12.75" customHeight="1">
      <c r="B9" s="248"/>
      <c r="C9" s="626"/>
      <c r="D9" s="252"/>
      <c r="E9" s="253"/>
      <c r="G9" s="463"/>
      <c r="H9" s="463"/>
      <c r="I9" s="463"/>
      <c r="J9" s="463"/>
    </row>
    <row r="10" spans="2:10" s="249" customFormat="1" ht="12.75" customHeight="1">
      <c r="B10" s="248"/>
      <c r="C10" s="626"/>
      <c r="D10" s="252"/>
      <c r="E10" s="253"/>
      <c r="G10" s="463"/>
      <c r="H10" s="463"/>
      <c r="I10" s="463"/>
      <c r="J10" s="463"/>
    </row>
    <row r="11" spans="2:10" s="249" customFormat="1" ht="12.75" customHeight="1">
      <c r="B11" s="248"/>
      <c r="C11" s="254" t="s">
        <v>140</v>
      </c>
      <c r="D11" s="252"/>
      <c r="E11" s="253"/>
      <c r="G11" s="463"/>
      <c r="H11" s="463"/>
      <c r="I11" s="463"/>
      <c r="J11" s="463"/>
    </row>
    <row r="12" spans="2:10" s="249" customFormat="1" ht="12.75" customHeight="1">
      <c r="B12" s="248"/>
      <c r="D12" s="252"/>
      <c r="E12" s="252"/>
      <c r="G12" s="463"/>
      <c r="H12" s="463"/>
      <c r="I12" s="463"/>
      <c r="J12" s="463"/>
    </row>
    <row r="13" spans="2:10" s="249" customFormat="1" ht="12.75" customHeight="1">
      <c r="B13" s="248"/>
      <c r="D13" s="252"/>
      <c r="E13" s="252"/>
      <c r="G13" s="463"/>
      <c r="H13" s="463"/>
      <c r="I13" s="463"/>
      <c r="J13" s="463"/>
    </row>
    <row r="14" spans="2:10" s="249" customFormat="1" ht="12.75" customHeight="1">
      <c r="B14" s="248"/>
      <c r="C14" s="255"/>
      <c r="D14" s="252"/>
      <c r="E14" s="252"/>
      <c r="G14" s="463"/>
      <c r="H14" s="463"/>
      <c r="I14" s="463"/>
      <c r="J14" s="463"/>
    </row>
    <row r="15" spans="2:10" s="249" customFormat="1" ht="12.75" customHeight="1">
      <c r="B15" s="248"/>
      <c r="D15" s="252"/>
      <c r="E15" s="252"/>
      <c r="G15" s="463"/>
      <c r="H15" s="463"/>
      <c r="I15" s="463"/>
      <c r="J15" s="463"/>
    </row>
    <row r="16" spans="2:10" s="249" customFormat="1" ht="12.75" customHeight="1">
      <c r="B16" s="248"/>
      <c r="C16" s="251"/>
      <c r="D16" s="252"/>
      <c r="E16" s="252"/>
      <c r="G16" s="463"/>
      <c r="H16" s="463"/>
      <c r="I16" s="463"/>
      <c r="J16" s="463"/>
    </row>
    <row r="17" spans="2:10" s="249" customFormat="1" ht="12.75" customHeight="1">
      <c r="B17" s="248"/>
      <c r="C17" s="251"/>
      <c r="D17" s="252"/>
      <c r="E17" s="252"/>
      <c r="G17" s="463"/>
      <c r="H17" s="463"/>
      <c r="I17" s="463"/>
      <c r="J17" s="463"/>
    </row>
    <row r="18" spans="2:10" s="249" customFormat="1" ht="12.75" customHeight="1">
      <c r="B18" s="248"/>
      <c r="C18" s="251"/>
      <c r="D18" s="252"/>
      <c r="E18" s="252"/>
      <c r="G18" s="463"/>
      <c r="H18" s="463"/>
      <c r="I18" s="463"/>
      <c r="J18" s="463"/>
    </row>
    <row r="19" spans="2:10" s="249" customFormat="1" ht="12.75" customHeight="1">
      <c r="B19" s="248"/>
      <c r="C19" s="251"/>
      <c r="D19" s="252"/>
      <c r="E19" s="252"/>
    </row>
    <row r="20" spans="2:10" s="249" customFormat="1" ht="12.75" customHeight="1">
      <c r="B20" s="248"/>
      <c r="C20" s="251"/>
      <c r="D20" s="252"/>
      <c r="E20" s="252"/>
    </row>
    <row r="21" spans="2:10" s="249" customFormat="1" ht="12.75" customHeight="1">
      <c r="B21" s="248"/>
      <c r="C21" s="251"/>
      <c r="D21" s="252"/>
      <c r="E21" s="252"/>
    </row>
    <row r="22" spans="2:10" s="249" customFormat="1" ht="12.75" customHeight="1">
      <c r="B22" s="248"/>
      <c r="C22" s="251"/>
      <c r="D22" s="252"/>
      <c r="E22" s="252"/>
    </row>
    <row r="23" spans="2:10" ht="12.75" customHeight="1">
      <c r="C23" s="626" t="s">
        <v>460</v>
      </c>
      <c r="E23" s="258"/>
    </row>
    <row r="24" spans="2:10">
      <c r="C24" s="626"/>
      <c r="E24" s="425"/>
      <c r="F24" s="425"/>
      <c r="G24" s="425"/>
      <c r="H24" s="425"/>
    </row>
    <row r="25" spans="2:10">
      <c r="C25" s="626"/>
      <c r="E25" s="425"/>
      <c r="F25" s="425"/>
      <c r="G25" s="425"/>
      <c r="H25" s="425"/>
    </row>
    <row r="26" spans="2:10">
      <c r="C26" s="626"/>
      <c r="E26" s="425"/>
      <c r="F26" s="425"/>
      <c r="G26" s="425"/>
      <c r="H26" s="425"/>
    </row>
    <row r="27" spans="2:10">
      <c r="C27" s="254" t="s">
        <v>140</v>
      </c>
      <c r="E27" s="425"/>
      <c r="F27" s="425"/>
      <c r="G27" s="425"/>
      <c r="H27" s="425"/>
    </row>
    <row r="28" spans="2:10">
      <c r="C28" s="422"/>
      <c r="E28" s="425"/>
      <c r="F28" s="425"/>
      <c r="G28" s="425"/>
      <c r="H28" s="425"/>
    </row>
    <row r="29" spans="2:10" ht="12.75" customHeight="1">
      <c r="E29" s="425"/>
      <c r="F29" s="425"/>
      <c r="G29" s="425"/>
      <c r="H29" s="425"/>
    </row>
    <row r="30" spans="2:10">
      <c r="E30" s="425"/>
      <c r="F30" s="425"/>
      <c r="G30" s="425"/>
      <c r="H30" s="425"/>
    </row>
    <row r="31" spans="2:10">
      <c r="E31" s="425"/>
      <c r="F31" s="425"/>
      <c r="G31" s="425"/>
      <c r="H31" s="425"/>
    </row>
    <row r="32" spans="2:10">
      <c r="E32" s="425"/>
      <c r="F32" s="425"/>
      <c r="G32" s="425"/>
      <c r="H32" s="425"/>
    </row>
    <row r="33" spans="5:8">
      <c r="E33" s="425"/>
      <c r="F33" s="425"/>
      <c r="G33" s="425"/>
      <c r="H33" s="425"/>
    </row>
    <row r="34" spans="5:8">
      <c r="E34" s="425"/>
      <c r="F34" s="425"/>
      <c r="G34" s="425"/>
      <c r="H34" s="425"/>
    </row>
  </sheetData>
  <mergeCells count="2">
    <mergeCell ref="C7:C10"/>
    <mergeCell ref="C23:C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23.710937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5" hidden="1"/>
    <row r="2" spans="2:5" s="247" customFormat="1" ht="21" customHeight="1">
      <c r="E2" s="437" t="s">
        <v>87</v>
      </c>
    </row>
    <row r="3" spans="2:5" s="247" customFormat="1" ht="15" customHeight="1">
      <c r="E3" s="437" t="s">
        <v>119</v>
      </c>
    </row>
    <row r="4" spans="2:5" s="247" customFormat="1" ht="20.100000000000001" customHeight="1">
      <c r="C4" s="168" t="s">
        <v>318</v>
      </c>
    </row>
    <row r="5" spans="2:5" s="249" customFormat="1">
      <c r="B5" s="248"/>
    </row>
    <row r="6" spans="2:5" s="249" customFormat="1" ht="12.75" customHeight="1">
      <c r="B6" s="248"/>
      <c r="C6" s="250"/>
    </row>
    <row r="7" spans="2:5" s="249" customFormat="1" ht="12.75" customHeight="1">
      <c r="B7" s="248"/>
      <c r="C7" s="626" t="s">
        <v>461</v>
      </c>
      <c r="D7" s="252"/>
      <c r="E7" s="252"/>
    </row>
    <row r="8" spans="2:5" s="249" customFormat="1" ht="12.75" customHeight="1">
      <c r="B8" s="248"/>
      <c r="C8" s="626"/>
      <c r="D8" s="252"/>
      <c r="E8" s="253"/>
    </row>
    <row r="9" spans="2:5" s="249" customFormat="1" ht="12.75" customHeight="1">
      <c r="B9" s="248"/>
      <c r="C9" s="626"/>
      <c r="D9" s="252"/>
      <c r="E9" s="253"/>
    </row>
    <row r="10" spans="2:5" s="249" customFormat="1" ht="12.75" customHeight="1">
      <c r="B10" s="248"/>
      <c r="C10" s="422"/>
      <c r="D10" s="252"/>
      <c r="E10" s="253"/>
    </row>
    <row r="11" spans="2:5" s="249" customFormat="1" ht="12.75" customHeight="1">
      <c r="B11" s="248"/>
      <c r="C11" s="254" t="str">
        <f>TEXT('Data 5'!E403,"#.##0")&amp;" MW"</f>
        <v>3.006 MW</v>
      </c>
      <c r="D11" s="252"/>
      <c r="E11" s="253"/>
    </row>
    <row r="12" spans="2:5" s="249" customFormat="1" ht="12.75" customHeight="1">
      <c r="B12" s="248"/>
      <c r="C12" s="254" t="s">
        <v>140</v>
      </c>
      <c r="D12" s="252"/>
      <c r="E12" s="252"/>
    </row>
    <row r="13" spans="2:5" s="249" customFormat="1" ht="12.75" customHeight="1">
      <c r="B13" s="248"/>
      <c r="D13" s="252"/>
      <c r="E13" s="252"/>
    </row>
    <row r="14" spans="2:5" s="249" customFormat="1" ht="12.75" customHeight="1">
      <c r="B14" s="248"/>
      <c r="C14" s="255"/>
      <c r="D14" s="252"/>
      <c r="E14" s="252"/>
    </row>
    <row r="15" spans="2:5" s="249" customFormat="1" ht="12.75" customHeight="1">
      <c r="B15" s="248"/>
      <c r="D15" s="252"/>
      <c r="E15" s="252"/>
    </row>
    <row r="16" spans="2:5" s="249" customFormat="1" ht="12.75" customHeight="1">
      <c r="B16" s="248"/>
      <c r="C16" s="251"/>
      <c r="D16" s="252"/>
      <c r="E16" s="252"/>
    </row>
    <row r="17" spans="2:8" s="249" customFormat="1" ht="12.75" customHeight="1">
      <c r="B17" s="248"/>
      <c r="C17" s="251"/>
      <c r="D17" s="252"/>
      <c r="E17" s="252"/>
    </row>
    <row r="18" spans="2:8" s="249" customFormat="1" ht="12.75" customHeight="1">
      <c r="B18" s="248"/>
      <c r="C18" s="251"/>
      <c r="D18" s="252"/>
      <c r="E18" s="252"/>
    </row>
    <row r="19" spans="2:8" s="249" customFormat="1" ht="12.75" customHeight="1">
      <c r="B19" s="248"/>
      <c r="C19" s="251"/>
      <c r="D19" s="252"/>
      <c r="E19" s="252"/>
    </row>
    <row r="20" spans="2:8" s="249" customFormat="1" ht="12.75" customHeight="1">
      <c r="B20" s="248"/>
      <c r="C20" s="251"/>
      <c r="D20" s="252"/>
      <c r="E20" s="252"/>
    </row>
    <row r="21" spans="2:8" s="249" customFormat="1" ht="12.75" customHeight="1">
      <c r="B21" s="248"/>
      <c r="C21" s="251"/>
      <c r="D21" s="252"/>
      <c r="E21" s="252"/>
    </row>
    <row r="22" spans="2:8" s="249" customFormat="1" ht="12.75" customHeight="1">
      <c r="B22" s="248"/>
      <c r="C22" s="251"/>
      <c r="D22" s="252"/>
      <c r="E22" s="252"/>
    </row>
    <row r="23" spans="2:8">
      <c r="E23" s="258"/>
    </row>
    <row r="24" spans="2:8">
      <c r="C24" s="257"/>
      <c r="E24" s="425"/>
      <c r="F24" s="425"/>
      <c r="G24" s="425"/>
      <c r="H24" s="425"/>
    </row>
    <row r="25" spans="2:8">
      <c r="C25" s="257"/>
      <c r="E25" s="425"/>
      <c r="F25" s="425"/>
      <c r="G25" s="425"/>
      <c r="H25" s="425"/>
    </row>
    <row r="26" spans="2:8">
      <c r="C26" s="422"/>
      <c r="E26" s="425"/>
      <c r="F26" s="425"/>
      <c r="G26" s="425"/>
      <c r="H26" s="425"/>
    </row>
    <row r="27" spans="2:8">
      <c r="C27" s="422"/>
      <c r="E27" s="425"/>
      <c r="F27" s="425"/>
      <c r="G27" s="425"/>
      <c r="H27" s="425"/>
    </row>
    <row r="28" spans="2:8">
      <c r="C28" s="422"/>
      <c r="E28" s="425"/>
      <c r="F28" s="425"/>
      <c r="G28" s="425"/>
      <c r="H28" s="425"/>
    </row>
    <row r="29" spans="2:8" ht="12.75" customHeight="1">
      <c r="C29" s="422"/>
      <c r="E29" s="425"/>
      <c r="F29" s="425"/>
      <c r="G29" s="425"/>
      <c r="H29" s="425"/>
    </row>
    <row r="30" spans="2:8">
      <c r="E30" s="425"/>
      <c r="F30" s="425"/>
      <c r="G30" s="425"/>
      <c r="H30" s="425"/>
    </row>
    <row r="31" spans="2:8">
      <c r="E31" s="425"/>
      <c r="F31" s="425"/>
      <c r="G31" s="425"/>
      <c r="H31" s="425"/>
    </row>
    <row r="32" spans="2:8">
      <c r="E32" s="425"/>
      <c r="F32" s="425"/>
      <c r="G32" s="425"/>
      <c r="H32" s="425"/>
    </row>
    <row r="33" spans="5:8">
      <c r="E33" s="425"/>
      <c r="F33" s="425"/>
      <c r="G33" s="425"/>
      <c r="H33" s="425"/>
    </row>
    <row r="34" spans="5:8">
      <c r="E34" s="425"/>
      <c r="F34" s="425"/>
      <c r="G34" s="425"/>
      <c r="H34" s="425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247" customWidth="1"/>
    <col min="2" max="2" width="2.7109375" style="247" customWidth="1"/>
    <col min="3" max="3" width="23.7109375" style="247" customWidth="1"/>
    <col min="4" max="4" width="1.28515625" style="247" customWidth="1"/>
    <col min="5" max="5" width="58.85546875" style="247" customWidth="1"/>
    <col min="6" max="16384" width="11.42578125" style="256"/>
  </cols>
  <sheetData>
    <row r="1" spans="2:10" hidden="1"/>
    <row r="2" spans="2:10" s="247" customFormat="1" ht="21" customHeight="1">
      <c r="E2" s="437" t="s">
        <v>87</v>
      </c>
    </row>
    <row r="3" spans="2:10" s="247" customFormat="1" ht="15" customHeight="1">
      <c r="E3" s="437" t="s">
        <v>119</v>
      </c>
    </row>
    <row r="4" spans="2:10" s="247" customFormat="1" ht="20.100000000000001" customHeight="1">
      <c r="C4" s="168" t="s">
        <v>318</v>
      </c>
    </row>
    <row r="5" spans="2:10" s="249" customFormat="1">
      <c r="B5" s="248"/>
    </row>
    <row r="6" spans="2:10" s="249" customFormat="1" ht="12.75" customHeight="1">
      <c r="B6" s="248"/>
      <c r="C6" s="250"/>
    </row>
    <row r="7" spans="2:10" s="249" customFormat="1" ht="12.75" customHeight="1">
      <c r="B7" s="248"/>
      <c r="C7" s="626" t="s">
        <v>383</v>
      </c>
      <c r="D7" s="252"/>
      <c r="E7" s="252"/>
      <c r="G7" s="463"/>
      <c r="H7" s="463"/>
      <c r="I7" s="463"/>
      <c r="J7" s="463"/>
    </row>
    <row r="8" spans="2:10" s="249" customFormat="1" ht="12.75" customHeight="1">
      <c r="B8" s="248"/>
      <c r="C8" s="626"/>
      <c r="D8" s="252"/>
      <c r="E8" s="253"/>
      <c r="G8" s="463"/>
      <c r="H8" s="463"/>
      <c r="I8" s="463"/>
      <c r="J8" s="463"/>
    </row>
    <row r="9" spans="2:10" s="249" customFormat="1" ht="12.75" customHeight="1">
      <c r="B9" s="248"/>
      <c r="C9" s="626"/>
      <c r="D9" s="252"/>
      <c r="E9" s="253"/>
      <c r="G9" s="463"/>
      <c r="H9" s="463"/>
      <c r="I9" s="463"/>
      <c r="J9" s="463"/>
    </row>
    <row r="10" spans="2:10" s="249" customFormat="1" ht="12.75" customHeight="1">
      <c r="B10" s="248"/>
      <c r="C10" s="626"/>
      <c r="D10" s="252"/>
      <c r="E10" s="253"/>
      <c r="G10" s="463"/>
      <c r="H10" s="463"/>
      <c r="I10" s="463"/>
      <c r="J10" s="463"/>
    </row>
    <row r="11" spans="2:10" s="249" customFormat="1" ht="12.75" customHeight="1">
      <c r="B11" s="248"/>
      <c r="C11" s="254" t="s">
        <v>140</v>
      </c>
      <c r="D11" s="252"/>
      <c r="E11" s="253"/>
      <c r="G11" s="463"/>
      <c r="H11" s="463"/>
      <c r="I11" s="463"/>
      <c r="J11" s="463"/>
    </row>
    <row r="12" spans="2:10" s="249" customFormat="1" ht="12.75" customHeight="1">
      <c r="B12" s="248"/>
      <c r="C12" s="277"/>
      <c r="D12" s="252"/>
      <c r="E12" s="252"/>
      <c r="G12" s="463"/>
      <c r="H12" s="463"/>
      <c r="I12" s="463"/>
      <c r="J12" s="463"/>
    </row>
    <row r="13" spans="2:10" s="249" customFormat="1" ht="12.75" customHeight="1">
      <c r="B13" s="248"/>
      <c r="D13" s="252"/>
      <c r="E13" s="252"/>
      <c r="G13" s="463"/>
      <c r="H13" s="463"/>
      <c r="I13" s="463"/>
      <c r="J13" s="463"/>
    </row>
    <row r="14" spans="2:10" s="249" customFormat="1" ht="12.75" customHeight="1">
      <c r="B14" s="248"/>
      <c r="C14" s="255"/>
      <c r="D14" s="252"/>
      <c r="E14" s="252"/>
      <c r="G14" s="463"/>
      <c r="H14" s="463"/>
      <c r="I14" s="463"/>
      <c r="J14" s="463"/>
    </row>
    <row r="15" spans="2:10" s="249" customFormat="1" ht="12.75" customHeight="1">
      <c r="B15" s="248"/>
      <c r="C15" s="422"/>
      <c r="D15" s="252"/>
      <c r="E15" s="252"/>
      <c r="G15" s="463"/>
      <c r="H15" s="463"/>
      <c r="I15" s="463"/>
      <c r="J15" s="463"/>
    </row>
    <row r="16" spans="2:10" s="249" customFormat="1" ht="12.75" customHeight="1">
      <c r="B16" s="248"/>
      <c r="C16" s="422"/>
      <c r="D16" s="252"/>
      <c r="E16" s="252"/>
      <c r="G16" s="463"/>
      <c r="H16" s="463"/>
      <c r="I16" s="463"/>
      <c r="J16" s="463"/>
    </row>
    <row r="17" spans="2:8" s="249" customFormat="1" ht="12.75" customHeight="1">
      <c r="B17" s="248"/>
      <c r="C17" s="422"/>
      <c r="D17" s="252"/>
      <c r="E17" s="252"/>
    </row>
    <row r="18" spans="2:8" s="249" customFormat="1" ht="12.75" customHeight="1">
      <c r="B18" s="248"/>
      <c r="C18" s="422"/>
      <c r="D18" s="252"/>
      <c r="E18" s="252"/>
    </row>
    <row r="19" spans="2:8" s="249" customFormat="1" ht="12.75" customHeight="1">
      <c r="B19" s="248"/>
      <c r="C19" s="254"/>
      <c r="D19" s="252"/>
      <c r="E19" s="252"/>
    </row>
    <row r="20" spans="2:8" s="249" customFormat="1" ht="12.75" customHeight="1">
      <c r="B20" s="248"/>
      <c r="C20" s="251"/>
      <c r="D20" s="252"/>
      <c r="E20" s="252"/>
    </row>
    <row r="21" spans="2:8" s="249" customFormat="1" ht="12.75" customHeight="1">
      <c r="B21" s="248"/>
      <c r="C21" s="251"/>
      <c r="D21" s="252"/>
      <c r="E21" s="252"/>
    </row>
    <row r="22" spans="2:8" s="249" customFormat="1" ht="12.75" customHeight="1">
      <c r="B22" s="248"/>
      <c r="C22" s="251"/>
      <c r="D22" s="252"/>
      <c r="E22" s="252"/>
    </row>
    <row r="23" spans="2:8">
      <c r="C23" s="626" t="s">
        <v>431</v>
      </c>
      <c r="E23" s="258"/>
    </row>
    <row r="24" spans="2:8">
      <c r="C24" s="626"/>
      <c r="E24" s="425"/>
      <c r="F24" s="425"/>
      <c r="G24" s="425"/>
      <c r="H24" s="425"/>
    </row>
    <row r="25" spans="2:8">
      <c r="C25" s="626"/>
      <c r="E25" s="425"/>
      <c r="F25" s="425"/>
      <c r="G25" s="425"/>
      <c r="H25" s="425"/>
    </row>
    <row r="26" spans="2:8">
      <c r="C26" s="626"/>
      <c r="E26" s="425"/>
      <c r="F26" s="425"/>
      <c r="G26" s="425"/>
      <c r="H26" s="425"/>
    </row>
    <row r="27" spans="2:8">
      <c r="C27" s="422"/>
      <c r="E27" s="425"/>
      <c r="F27" s="425"/>
      <c r="G27" s="425"/>
      <c r="H27" s="425"/>
    </row>
    <row r="28" spans="2:8">
      <c r="C28" s="422"/>
      <c r="E28" s="425"/>
      <c r="F28" s="425"/>
      <c r="G28" s="425"/>
      <c r="H28" s="425"/>
    </row>
    <row r="29" spans="2:8" ht="12.75" customHeight="1">
      <c r="C29" s="422"/>
      <c r="E29" s="425"/>
      <c r="F29" s="425"/>
      <c r="G29" s="425"/>
      <c r="H29" s="425"/>
    </row>
    <row r="30" spans="2:8">
      <c r="E30" s="425"/>
      <c r="F30" s="425"/>
      <c r="G30" s="425"/>
      <c r="H30" s="425"/>
    </row>
    <row r="31" spans="2:8">
      <c r="E31" s="425"/>
      <c r="F31" s="425"/>
      <c r="G31" s="425"/>
      <c r="H31" s="425"/>
    </row>
    <row r="32" spans="2:8">
      <c r="E32" s="425"/>
      <c r="F32" s="425"/>
      <c r="G32" s="425"/>
      <c r="H32" s="425"/>
    </row>
    <row r="33" spans="5:8">
      <c r="E33" s="425"/>
      <c r="F33" s="425"/>
      <c r="G33" s="425"/>
      <c r="H33" s="425"/>
    </row>
    <row r="34" spans="5:8">
      <c r="E34" s="425"/>
      <c r="F34" s="425"/>
      <c r="G34" s="425"/>
      <c r="H34" s="425"/>
    </row>
  </sheetData>
  <mergeCells count="2">
    <mergeCell ref="C7:C10"/>
    <mergeCell ref="C23:C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2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67" customWidth="1"/>
    <col min="2" max="2" width="2.7109375" style="167" customWidth="1"/>
    <col min="3" max="3" width="23.7109375" style="167" customWidth="1"/>
    <col min="4" max="4" width="1.28515625" style="167" customWidth="1"/>
    <col min="5" max="5" width="26.7109375" style="167" bestFit="1" customWidth="1"/>
    <col min="6" max="9" width="11.42578125" style="167" customWidth="1"/>
    <col min="10" max="16384" width="11.42578125" style="167"/>
  </cols>
  <sheetData>
    <row r="1" spans="3:11" ht="0.6" customHeight="1"/>
    <row r="2" spans="3:11" ht="21" customHeight="1">
      <c r="K2" s="337" t="s">
        <v>87</v>
      </c>
    </row>
    <row r="3" spans="3:11" ht="15" customHeight="1">
      <c r="K3" s="337" t="s">
        <v>119</v>
      </c>
    </row>
    <row r="4" spans="3:11" ht="19.899999999999999" customHeight="1">
      <c r="C4" s="168" t="s">
        <v>318</v>
      </c>
    </row>
    <row r="5" spans="3:11" ht="12.6" customHeight="1"/>
    <row r="7" spans="3:11" ht="12.75" customHeight="1">
      <c r="C7" s="624" t="s">
        <v>328</v>
      </c>
      <c r="E7" s="169"/>
      <c r="F7" s="169"/>
      <c r="G7" s="340"/>
      <c r="H7" s="239"/>
      <c r="I7" s="356"/>
      <c r="J7" s="356"/>
      <c r="K7" s="356"/>
    </row>
    <row r="8" spans="3:11">
      <c r="C8" s="624"/>
      <c r="E8" s="170"/>
      <c r="F8" s="170"/>
      <c r="G8" s="357">
        <v>2014</v>
      </c>
      <c r="H8" s="357">
        <v>2015</v>
      </c>
      <c r="I8" s="358">
        <v>2016</v>
      </c>
      <c r="J8" s="358">
        <v>2017</v>
      </c>
      <c r="K8" s="359" t="s">
        <v>284</v>
      </c>
    </row>
    <row r="9" spans="3:11">
      <c r="C9" s="624"/>
      <c r="E9" s="642" t="s">
        <v>329</v>
      </c>
      <c r="F9" s="28" t="s">
        <v>37</v>
      </c>
      <c r="G9" s="342">
        <f>'Data 3'!F38</f>
        <v>431.08800000000002</v>
      </c>
      <c r="H9" s="342">
        <f>'Data 3'!G38</f>
        <v>431.36</v>
      </c>
      <c r="I9" s="342">
        <f>'Data 3'!H38</f>
        <v>432.214</v>
      </c>
      <c r="J9" s="342">
        <f>'Data 3'!I38</f>
        <v>432.214</v>
      </c>
      <c r="K9" s="342">
        <f>'Data 3'!J38</f>
        <v>432.214</v>
      </c>
    </row>
    <row r="10" spans="3:11">
      <c r="C10" s="339"/>
      <c r="E10" s="643"/>
      <c r="F10" s="28" t="s">
        <v>38</v>
      </c>
      <c r="G10" s="342">
        <f>'Data 3'!F39</f>
        <v>163.35300000000001</v>
      </c>
      <c r="H10" s="342">
        <f>'Data 3'!G39</f>
        <v>215.86700000000002</v>
      </c>
      <c r="I10" s="342">
        <f>'Data 3'!H39</f>
        <v>220.24300000000002</v>
      </c>
      <c r="J10" s="342">
        <f>'Data 3'!I39</f>
        <v>220.24300000000002</v>
      </c>
      <c r="K10" s="342">
        <f>'Data 3'!J39</f>
        <v>238.03400000000002</v>
      </c>
    </row>
    <row r="11" spans="3:11">
      <c r="C11" s="339"/>
      <c r="E11" s="643"/>
      <c r="F11" s="404" t="s">
        <v>32</v>
      </c>
      <c r="G11" s="405">
        <f>SUM(G9:G10)</f>
        <v>594.44100000000003</v>
      </c>
      <c r="H11" s="405">
        <f t="shared" ref="H11:K11" si="0">SUM(H9:H10)</f>
        <v>647.22700000000009</v>
      </c>
      <c r="I11" s="405">
        <f t="shared" si="0"/>
        <v>652.45699999999999</v>
      </c>
      <c r="J11" s="405">
        <f t="shared" si="0"/>
        <v>652.45699999999999</v>
      </c>
      <c r="K11" s="405">
        <f t="shared" si="0"/>
        <v>670.24800000000005</v>
      </c>
    </row>
    <row r="12" spans="3:11">
      <c r="E12" s="643" t="s">
        <v>462</v>
      </c>
      <c r="F12" s="28" t="s">
        <v>37</v>
      </c>
      <c r="G12" s="342">
        <f>'Data 3'!F41</f>
        <v>220.21600000000001</v>
      </c>
      <c r="H12" s="342">
        <f>'Data 3'!G41</f>
        <v>346.05899999999997</v>
      </c>
      <c r="I12" s="342">
        <f>'Data 3'!H41</f>
        <v>471.55900000000003</v>
      </c>
      <c r="J12" s="342">
        <f>'Data 3'!I41</f>
        <v>471.55900000000003</v>
      </c>
      <c r="K12" s="342">
        <f>'Data 3'!J41</f>
        <v>516.86199999999997</v>
      </c>
    </row>
    <row r="13" spans="3:11">
      <c r="E13" s="643"/>
      <c r="F13" s="28" t="s">
        <v>38</v>
      </c>
      <c r="G13" s="342" t="str">
        <f>'Data 3'!F42</f>
        <v>-</v>
      </c>
      <c r="H13" s="342" t="str">
        <f>'Data 3'!G42</f>
        <v>-</v>
      </c>
      <c r="I13" s="342" t="str">
        <f>'Data 3'!H42</f>
        <v>-</v>
      </c>
      <c r="J13" s="342" t="str">
        <f>'Data 3'!I42</f>
        <v>-</v>
      </c>
      <c r="K13" s="342">
        <f>'Data 3'!J42</f>
        <v>68.748000000000005</v>
      </c>
    </row>
    <row r="14" spans="3:11">
      <c r="E14" s="643"/>
      <c r="F14" s="404" t="s">
        <v>32</v>
      </c>
      <c r="G14" s="405">
        <f>SUM(G12:G13)</f>
        <v>220.21600000000001</v>
      </c>
      <c r="H14" s="405">
        <f t="shared" ref="H14" si="1">SUM(H12:H13)</f>
        <v>346.05899999999997</v>
      </c>
      <c r="I14" s="405">
        <f t="shared" ref="I14" si="2">SUM(I12:I13)</f>
        <v>471.55900000000003</v>
      </c>
      <c r="J14" s="405">
        <f t="shared" ref="J14" si="3">SUM(J12:J13)</f>
        <v>471.55900000000003</v>
      </c>
      <c r="K14" s="405">
        <f>SUM(K12:K13)</f>
        <v>585.61</v>
      </c>
    </row>
    <row r="15" spans="3:11">
      <c r="E15" s="643" t="s">
        <v>463</v>
      </c>
      <c r="F15" s="28" t="s">
        <v>37</v>
      </c>
      <c r="G15" s="342">
        <f>'Data 3'!F44</f>
        <v>893.66800000000001</v>
      </c>
      <c r="H15" s="342">
        <f>'Data 3'!G44</f>
        <v>896.26300000000003</v>
      </c>
      <c r="I15" s="342">
        <f>'Data 3'!H44</f>
        <v>896.26300000000003</v>
      </c>
      <c r="J15" s="342">
        <f>'Data 3'!I44</f>
        <v>904.54600000000005</v>
      </c>
      <c r="K15" s="342">
        <f>'Data 3'!J44</f>
        <v>904.54600000000005</v>
      </c>
    </row>
    <row r="16" spans="3:11">
      <c r="E16" s="643"/>
      <c r="F16" s="28" t="s">
        <v>38</v>
      </c>
      <c r="G16" s="342">
        <f>'Data 3'!F45</f>
        <v>1125.7819999999999</v>
      </c>
      <c r="H16" s="342">
        <f>'Data 3'!G45</f>
        <v>1131.0919999999999</v>
      </c>
      <c r="I16" s="342">
        <f>'Data 3'!H45</f>
        <v>1133.9219999999998</v>
      </c>
      <c r="J16" s="342">
        <f>'Data 3'!I45</f>
        <v>1134.8539999999998</v>
      </c>
      <c r="K16" s="342">
        <f>'Data 3'!J45</f>
        <v>1183.7769999999998</v>
      </c>
    </row>
    <row r="17" spans="5:11">
      <c r="E17" s="643"/>
      <c r="F17" s="404" t="s">
        <v>32</v>
      </c>
      <c r="G17" s="405">
        <f>SUM(G15:G16)</f>
        <v>2019.4499999999998</v>
      </c>
      <c r="H17" s="405">
        <f t="shared" ref="H17" si="4">SUM(H15:H16)</f>
        <v>2027.355</v>
      </c>
      <c r="I17" s="405">
        <f t="shared" ref="I17" si="5">SUM(I15:I16)</f>
        <v>2030.1849999999999</v>
      </c>
      <c r="J17" s="405">
        <f t="shared" ref="J17" si="6">SUM(J15:J16)</f>
        <v>2039.3999999999999</v>
      </c>
      <c r="K17" s="405">
        <f t="shared" ref="K17" si="7">SUM(K15:K16)</f>
        <v>2088.3229999999999</v>
      </c>
    </row>
    <row r="18" spans="5:11">
      <c r="E18" s="644" t="s">
        <v>282</v>
      </c>
      <c r="F18" s="28" t="s">
        <v>37</v>
      </c>
      <c r="G18" s="342">
        <f>'Data 3'!F47</f>
        <v>2793</v>
      </c>
      <c r="H18" s="342">
        <f>'Data 3'!G47</f>
        <v>3273</v>
      </c>
      <c r="I18" s="342">
        <f>'Data 3'!H47</f>
        <v>3273</v>
      </c>
      <c r="J18" s="342">
        <f>'Data 3'!I47</f>
        <v>3273</v>
      </c>
      <c r="K18" s="342">
        <f>'Data 3'!J47</f>
        <v>3433</v>
      </c>
    </row>
    <row r="19" spans="5:11">
      <c r="E19" s="644"/>
      <c r="F19" s="28" t="s">
        <v>38</v>
      </c>
      <c r="G19" s="342">
        <f>'Data 3'!F48</f>
        <v>1875</v>
      </c>
      <c r="H19" s="342">
        <f>'Data 3'!G48</f>
        <v>2000</v>
      </c>
      <c r="I19" s="342">
        <f>'Data 3'!H48</f>
        <v>2000</v>
      </c>
      <c r="J19" s="342">
        <f>'Data 3'!I48</f>
        <v>2560</v>
      </c>
      <c r="K19" s="342">
        <f>'Data 3'!J48</f>
        <v>3310</v>
      </c>
    </row>
    <row r="20" spans="5:11">
      <c r="E20" s="644"/>
      <c r="F20" s="404" t="s">
        <v>32</v>
      </c>
      <c r="G20" s="346">
        <f>SUM(G18:G19)</f>
        <v>4668</v>
      </c>
      <c r="H20" s="346">
        <f t="shared" ref="H20" si="8">SUM(H18:H19)</f>
        <v>5273</v>
      </c>
      <c r="I20" s="346">
        <f t="shared" ref="I20" si="9">SUM(I18:I19)</f>
        <v>5273</v>
      </c>
      <c r="J20" s="346">
        <f t="shared" ref="J20" si="10">SUM(J18:J19)</f>
        <v>5833</v>
      </c>
      <c r="K20" s="346">
        <f t="shared" ref="K20" si="11">SUM(K18:K19)</f>
        <v>6743</v>
      </c>
    </row>
    <row r="21" spans="5:11">
      <c r="E21" s="630" t="s">
        <v>280</v>
      </c>
      <c r="F21" s="630"/>
      <c r="G21" s="630"/>
      <c r="H21" s="630"/>
      <c r="I21" s="630"/>
      <c r="J21" s="630"/>
      <c r="K21" s="630"/>
    </row>
    <row r="22" spans="5:11" ht="24" customHeight="1">
      <c r="E22" s="641" t="s">
        <v>466</v>
      </c>
      <c r="F22" s="641"/>
      <c r="G22" s="641"/>
      <c r="H22" s="641"/>
      <c r="I22" s="641"/>
      <c r="J22" s="641"/>
      <c r="K22" s="641"/>
    </row>
  </sheetData>
  <mergeCells count="7">
    <mergeCell ref="C7:C9"/>
    <mergeCell ref="E21:K21"/>
    <mergeCell ref="E22:K22"/>
    <mergeCell ref="E9:E11"/>
    <mergeCell ref="E12:E14"/>
    <mergeCell ref="E15:E17"/>
    <mergeCell ref="E18:E20"/>
  </mergeCells>
  <hyperlinks>
    <hyperlink ref="C4" location="Indice!A1" display="Indice!A1"/>
  </hyperlink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autoPageBreaks="0" fitToPage="1"/>
  </sheetPr>
  <dimension ref="A1:AS385"/>
  <sheetViews>
    <sheetView showGridLines="0" showRowColHeaders="0" showOutlineSymbols="0" zoomScaleNormal="100" workbookViewId="0">
      <selection activeCell="B1" sqref="B1"/>
    </sheetView>
  </sheetViews>
  <sheetFormatPr baseColWidth="10" defaultRowHeight="11.25"/>
  <cols>
    <col min="1" max="1" width="0.140625" style="69" customWidth="1"/>
    <col min="2" max="2" width="2.7109375" style="69" customWidth="1"/>
    <col min="3" max="3" width="21.7109375" style="73" customWidth="1"/>
    <col min="4" max="4" width="17.28515625" style="73" customWidth="1"/>
    <col min="5" max="5" width="12.7109375" style="73" customWidth="1"/>
    <col min="6" max="6" width="15.42578125" style="73" customWidth="1"/>
    <col min="7" max="11" width="12.5703125" style="73" customWidth="1"/>
    <col min="12" max="13" width="11.28515625" style="73" bestFit="1" customWidth="1"/>
    <col min="14" max="14" width="11" style="73" bestFit="1" customWidth="1"/>
    <col min="15" max="18" width="11.28515625" style="73" bestFit="1" customWidth="1"/>
    <col min="19" max="19" width="11" style="73" bestFit="1" customWidth="1"/>
    <col min="20" max="23" width="11.28515625" style="73" bestFit="1" customWidth="1"/>
    <col min="24" max="256" width="11.42578125" style="73"/>
    <col min="257" max="257" width="0.140625" style="73" customWidth="1"/>
    <col min="258" max="258" width="2.7109375" style="73" customWidth="1"/>
    <col min="259" max="259" width="42.5703125" style="73" customWidth="1"/>
    <col min="260" max="260" width="12.85546875" style="73" customWidth="1"/>
    <col min="261" max="261" width="12.7109375" style="73" customWidth="1"/>
    <col min="262" max="262" width="15.42578125" style="73" customWidth="1"/>
    <col min="263" max="267" width="12.5703125" style="73" customWidth="1"/>
    <col min="268" max="269" width="11.28515625" style="73" bestFit="1" customWidth="1"/>
    <col min="270" max="270" width="11" style="73" bestFit="1" customWidth="1"/>
    <col min="271" max="271" width="10.85546875" style="73" bestFit="1" customWidth="1"/>
    <col min="272" max="272" width="11.28515625" style="73" bestFit="1" customWidth="1"/>
    <col min="273" max="273" width="7.85546875" style="73" bestFit="1" customWidth="1"/>
    <col min="274" max="274" width="7" style="73" customWidth="1"/>
    <col min="275" max="275" width="17.42578125" style="73" customWidth="1"/>
    <col min="276" max="276" width="7.140625" style="73" customWidth="1"/>
    <col min="277" max="277" width="9.5703125" style="73" customWidth="1"/>
    <col min="278" max="279" width="15.5703125" style="73" customWidth="1"/>
    <col min="280" max="280" width="1.85546875" style="73" customWidth="1"/>
    <col min="281" max="281" width="1.7109375" style="73" customWidth="1"/>
    <col min="282" max="282" width="1.85546875" style="73" customWidth="1"/>
    <col min="283" max="286" width="12.140625" style="73" customWidth="1"/>
    <col min="287" max="287" width="1.85546875" style="73" customWidth="1"/>
    <col min="288" max="289" width="1.42578125" style="73" customWidth="1"/>
    <col min="290" max="290" width="11.42578125" style="73"/>
    <col min="291" max="293" width="18.7109375" style="73" customWidth="1"/>
    <col min="294" max="512" width="11.42578125" style="73"/>
    <col min="513" max="513" width="0.140625" style="73" customWidth="1"/>
    <col min="514" max="514" width="2.7109375" style="73" customWidth="1"/>
    <col min="515" max="515" width="42.5703125" style="73" customWidth="1"/>
    <col min="516" max="516" width="12.85546875" style="73" customWidth="1"/>
    <col min="517" max="517" width="12.7109375" style="73" customWidth="1"/>
    <col min="518" max="518" width="15.42578125" style="73" customWidth="1"/>
    <col min="519" max="523" width="12.5703125" style="73" customWidth="1"/>
    <col min="524" max="525" width="11.28515625" style="73" bestFit="1" customWidth="1"/>
    <col min="526" max="526" width="11" style="73" bestFit="1" customWidth="1"/>
    <col min="527" max="527" width="10.85546875" style="73" bestFit="1" customWidth="1"/>
    <col min="528" max="528" width="11.28515625" style="73" bestFit="1" customWidth="1"/>
    <col min="529" max="529" width="7.85546875" style="73" bestFit="1" customWidth="1"/>
    <col min="530" max="530" width="7" style="73" customWidth="1"/>
    <col min="531" max="531" width="17.42578125" style="73" customWidth="1"/>
    <col min="532" max="532" width="7.140625" style="73" customWidth="1"/>
    <col min="533" max="533" width="9.5703125" style="73" customWidth="1"/>
    <col min="534" max="535" width="15.5703125" style="73" customWidth="1"/>
    <col min="536" max="536" width="1.85546875" style="73" customWidth="1"/>
    <col min="537" max="537" width="1.7109375" style="73" customWidth="1"/>
    <col min="538" max="538" width="1.85546875" style="73" customWidth="1"/>
    <col min="539" max="542" width="12.140625" style="73" customWidth="1"/>
    <col min="543" max="543" width="1.85546875" style="73" customWidth="1"/>
    <col min="544" max="545" width="1.42578125" style="73" customWidth="1"/>
    <col min="546" max="546" width="11.42578125" style="73"/>
    <col min="547" max="549" width="18.7109375" style="73" customWidth="1"/>
    <col min="550" max="768" width="11.42578125" style="73"/>
    <col min="769" max="769" width="0.140625" style="73" customWidth="1"/>
    <col min="770" max="770" width="2.7109375" style="73" customWidth="1"/>
    <col min="771" max="771" width="42.5703125" style="73" customWidth="1"/>
    <col min="772" max="772" width="12.85546875" style="73" customWidth="1"/>
    <col min="773" max="773" width="12.7109375" style="73" customWidth="1"/>
    <col min="774" max="774" width="15.42578125" style="73" customWidth="1"/>
    <col min="775" max="779" width="12.5703125" style="73" customWidth="1"/>
    <col min="780" max="781" width="11.28515625" style="73" bestFit="1" customWidth="1"/>
    <col min="782" max="782" width="11" style="73" bestFit="1" customWidth="1"/>
    <col min="783" max="783" width="10.85546875" style="73" bestFit="1" customWidth="1"/>
    <col min="784" max="784" width="11.28515625" style="73" bestFit="1" customWidth="1"/>
    <col min="785" max="785" width="7.85546875" style="73" bestFit="1" customWidth="1"/>
    <col min="786" max="786" width="7" style="73" customWidth="1"/>
    <col min="787" max="787" width="17.42578125" style="73" customWidth="1"/>
    <col min="788" max="788" width="7.140625" style="73" customWidth="1"/>
    <col min="789" max="789" width="9.5703125" style="73" customWidth="1"/>
    <col min="790" max="791" width="15.5703125" style="73" customWidth="1"/>
    <col min="792" max="792" width="1.85546875" style="73" customWidth="1"/>
    <col min="793" max="793" width="1.7109375" style="73" customWidth="1"/>
    <col min="794" max="794" width="1.85546875" style="73" customWidth="1"/>
    <col min="795" max="798" width="12.140625" style="73" customWidth="1"/>
    <col min="799" max="799" width="1.85546875" style="73" customWidth="1"/>
    <col min="800" max="801" width="1.42578125" style="73" customWidth="1"/>
    <col min="802" max="802" width="11.42578125" style="73"/>
    <col min="803" max="805" width="18.7109375" style="73" customWidth="1"/>
    <col min="806" max="1024" width="11.42578125" style="73"/>
    <col min="1025" max="1025" width="0.140625" style="73" customWidth="1"/>
    <col min="1026" max="1026" width="2.7109375" style="73" customWidth="1"/>
    <col min="1027" max="1027" width="42.5703125" style="73" customWidth="1"/>
    <col min="1028" max="1028" width="12.85546875" style="73" customWidth="1"/>
    <col min="1029" max="1029" width="12.7109375" style="73" customWidth="1"/>
    <col min="1030" max="1030" width="15.42578125" style="73" customWidth="1"/>
    <col min="1031" max="1035" width="12.5703125" style="73" customWidth="1"/>
    <col min="1036" max="1037" width="11.28515625" style="73" bestFit="1" customWidth="1"/>
    <col min="1038" max="1038" width="11" style="73" bestFit="1" customWidth="1"/>
    <col min="1039" max="1039" width="10.85546875" style="73" bestFit="1" customWidth="1"/>
    <col min="1040" max="1040" width="11.28515625" style="73" bestFit="1" customWidth="1"/>
    <col min="1041" max="1041" width="7.85546875" style="73" bestFit="1" customWidth="1"/>
    <col min="1042" max="1042" width="7" style="73" customWidth="1"/>
    <col min="1043" max="1043" width="17.42578125" style="73" customWidth="1"/>
    <col min="1044" max="1044" width="7.140625" style="73" customWidth="1"/>
    <col min="1045" max="1045" width="9.5703125" style="73" customWidth="1"/>
    <col min="1046" max="1047" width="15.5703125" style="73" customWidth="1"/>
    <col min="1048" max="1048" width="1.85546875" style="73" customWidth="1"/>
    <col min="1049" max="1049" width="1.7109375" style="73" customWidth="1"/>
    <col min="1050" max="1050" width="1.85546875" style="73" customWidth="1"/>
    <col min="1051" max="1054" width="12.140625" style="73" customWidth="1"/>
    <col min="1055" max="1055" width="1.85546875" style="73" customWidth="1"/>
    <col min="1056" max="1057" width="1.42578125" style="73" customWidth="1"/>
    <col min="1058" max="1058" width="11.42578125" style="73"/>
    <col min="1059" max="1061" width="18.7109375" style="73" customWidth="1"/>
    <col min="1062" max="1280" width="11.42578125" style="73"/>
    <col min="1281" max="1281" width="0.140625" style="73" customWidth="1"/>
    <col min="1282" max="1282" width="2.7109375" style="73" customWidth="1"/>
    <col min="1283" max="1283" width="42.5703125" style="73" customWidth="1"/>
    <col min="1284" max="1284" width="12.85546875" style="73" customWidth="1"/>
    <col min="1285" max="1285" width="12.7109375" style="73" customWidth="1"/>
    <col min="1286" max="1286" width="15.42578125" style="73" customWidth="1"/>
    <col min="1287" max="1291" width="12.5703125" style="73" customWidth="1"/>
    <col min="1292" max="1293" width="11.28515625" style="73" bestFit="1" customWidth="1"/>
    <col min="1294" max="1294" width="11" style="73" bestFit="1" customWidth="1"/>
    <col min="1295" max="1295" width="10.85546875" style="73" bestFit="1" customWidth="1"/>
    <col min="1296" max="1296" width="11.28515625" style="73" bestFit="1" customWidth="1"/>
    <col min="1297" max="1297" width="7.85546875" style="73" bestFit="1" customWidth="1"/>
    <col min="1298" max="1298" width="7" style="73" customWidth="1"/>
    <col min="1299" max="1299" width="17.42578125" style="73" customWidth="1"/>
    <col min="1300" max="1300" width="7.140625" style="73" customWidth="1"/>
    <col min="1301" max="1301" width="9.5703125" style="73" customWidth="1"/>
    <col min="1302" max="1303" width="15.5703125" style="73" customWidth="1"/>
    <col min="1304" max="1304" width="1.85546875" style="73" customWidth="1"/>
    <col min="1305" max="1305" width="1.7109375" style="73" customWidth="1"/>
    <col min="1306" max="1306" width="1.85546875" style="73" customWidth="1"/>
    <col min="1307" max="1310" width="12.140625" style="73" customWidth="1"/>
    <col min="1311" max="1311" width="1.85546875" style="73" customWidth="1"/>
    <col min="1312" max="1313" width="1.42578125" style="73" customWidth="1"/>
    <col min="1314" max="1314" width="11.42578125" style="73"/>
    <col min="1315" max="1317" width="18.7109375" style="73" customWidth="1"/>
    <col min="1318" max="1536" width="11.42578125" style="73"/>
    <col min="1537" max="1537" width="0.140625" style="73" customWidth="1"/>
    <col min="1538" max="1538" width="2.7109375" style="73" customWidth="1"/>
    <col min="1539" max="1539" width="42.5703125" style="73" customWidth="1"/>
    <col min="1540" max="1540" width="12.85546875" style="73" customWidth="1"/>
    <col min="1541" max="1541" width="12.7109375" style="73" customWidth="1"/>
    <col min="1542" max="1542" width="15.42578125" style="73" customWidth="1"/>
    <col min="1543" max="1547" width="12.5703125" style="73" customWidth="1"/>
    <col min="1548" max="1549" width="11.28515625" style="73" bestFit="1" customWidth="1"/>
    <col min="1550" max="1550" width="11" style="73" bestFit="1" customWidth="1"/>
    <col min="1551" max="1551" width="10.85546875" style="73" bestFit="1" customWidth="1"/>
    <col min="1552" max="1552" width="11.28515625" style="73" bestFit="1" customWidth="1"/>
    <col min="1553" max="1553" width="7.85546875" style="73" bestFit="1" customWidth="1"/>
    <col min="1554" max="1554" width="7" style="73" customWidth="1"/>
    <col min="1555" max="1555" width="17.42578125" style="73" customWidth="1"/>
    <col min="1556" max="1556" width="7.140625" style="73" customWidth="1"/>
    <col min="1557" max="1557" width="9.5703125" style="73" customWidth="1"/>
    <col min="1558" max="1559" width="15.5703125" style="73" customWidth="1"/>
    <col min="1560" max="1560" width="1.85546875" style="73" customWidth="1"/>
    <col min="1561" max="1561" width="1.7109375" style="73" customWidth="1"/>
    <col min="1562" max="1562" width="1.85546875" style="73" customWidth="1"/>
    <col min="1563" max="1566" width="12.140625" style="73" customWidth="1"/>
    <col min="1567" max="1567" width="1.85546875" style="73" customWidth="1"/>
    <col min="1568" max="1569" width="1.42578125" style="73" customWidth="1"/>
    <col min="1570" max="1570" width="11.42578125" style="73"/>
    <col min="1571" max="1573" width="18.7109375" style="73" customWidth="1"/>
    <col min="1574" max="1792" width="11.42578125" style="73"/>
    <col min="1793" max="1793" width="0.140625" style="73" customWidth="1"/>
    <col min="1794" max="1794" width="2.7109375" style="73" customWidth="1"/>
    <col min="1795" max="1795" width="42.5703125" style="73" customWidth="1"/>
    <col min="1796" max="1796" width="12.85546875" style="73" customWidth="1"/>
    <col min="1797" max="1797" width="12.7109375" style="73" customWidth="1"/>
    <col min="1798" max="1798" width="15.42578125" style="73" customWidth="1"/>
    <col min="1799" max="1803" width="12.5703125" style="73" customWidth="1"/>
    <col min="1804" max="1805" width="11.28515625" style="73" bestFit="1" customWidth="1"/>
    <col min="1806" max="1806" width="11" style="73" bestFit="1" customWidth="1"/>
    <col min="1807" max="1807" width="10.85546875" style="73" bestFit="1" customWidth="1"/>
    <col min="1808" max="1808" width="11.28515625" style="73" bestFit="1" customWidth="1"/>
    <col min="1809" max="1809" width="7.85546875" style="73" bestFit="1" customWidth="1"/>
    <col min="1810" max="1810" width="7" style="73" customWidth="1"/>
    <col min="1811" max="1811" width="17.42578125" style="73" customWidth="1"/>
    <col min="1812" max="1812" width="7.140625" style="73" customWidth="1"/>
    <col min="1813" max="1813" width="9.5703125" style="73" customWidth="1"/>
    <col min="1814" max="1815" width="15.5703125" style="73" customWidth="1"/>
    <col min="1816" max="1816" width="1.85546875" style="73" customWidth="1"/>
    <col min="1817" max="1817" width="1.7109375" style="73" customWidth="1"/>
    <col min="1818" max="1818" width="1.85546875" style="73" customWidth="1"/>
    <col min="1819" max="1822" width="12.140625" style="73" customWidth="1"/>
    <col min="1823" max="1823" width="1.85546875" style="73" customWidth="1"/>
    <col min="1824" max="1825" width="1.42578125" style="73" customWidth="1"/>
    <col min="1826" max="1826" width="11.42578125" style="73"/>
    <col min="1827" max="1829" width="18.7109375" style="73" customWidth="1"/>
    <col min="1830" max="2048" width="11.42578125" style="73"/>
    <col min="2049" max="2049" width="0.140625" style="73" customWidth="1"/>
    <col min="2050" max="2050" width="2.7109375" style="73" customWidth="1"/>
    <col min="2051" max="2051" width="42.5703125" style="73" customWidth="1"/>
    <col min="2052" max="2052" width="12.85546875" style="73" customWidth="1"/>
    <col min="2053" max="2053" width="12.7109375" style="73" customWidth="1"/>
    <col min="2054" max="2054" width="15.42578125" style="73" customWidth="1"/>
    <col min="2055" max="2059" width="12.5703125" style="73" customWidth="1"/>
    <col min="2060" max="2061" width="11.28515625" style="73" bestFit="1" customWidth="1"/>
    <col min="2062" max="2062" width="11" style="73" bestFit="1" customWidth="1"/>
    <col min="2063" max="2063" width="10.85546875" style="73" bestFit="1" customWidth="1"/>
    <col min="2064" max="2064" width="11.28515625" style="73" bestFit="1" customWidth="1"/>
    <col min="2065" max="2065" width="7.85546875" style="73" bestFit="1" customWidth="1"/>
    <col min="2066" max="2066" width="7" style="73" customWidth="1"/>
    <col min="2067" max="2067" width="17.42578125" style="73" customWidth="1"/>
    <col min="2068" max="2068" width="7.140625" style="73" customWidth="1"/>
    <col min="2069" max="2069" width="9.5703125" style="73" customWidth="1"/>
    <col min="2070" max="2071" width="15.5703125" style="73" customWidth="1"/>
    <col min="2072" max="2072" width="1.85546875" style="73" customWidth="1"/>
    <col min="2073" max="2073" width="1.7109375" style="73" customWidth="1"/>
    <col min="2074" max="2074" width="1.85546875" style="73" customWidth="1"/>
    <col min="2075" max="2078" width="12.140625" style="73" customWidth="1"/>
    <col min="2079" max="2079" width="1.85546875" style="73" customWidth="1"/>
    <col min="2080" max="2081" width="1.42578125" style="73" customWidth="1"/>
    <col min="2082" max="2082" width="11.42578125" style="73"/>
    <col min="2083" max="2085" width="18.7109375" style="73" customWidth="1"/>
    <col min="2086" max="2304" width="11.42578125" style="73"/>
    <col min="2305" max="2305" width="0.140625" style="73" customWidth="1"/>
    <col min="2306" max="2306" width="2.7109375" style="73" customWidth="1"/>
    <col min="2307" max="2307" width="42.5703125" style="73" customWidth="1"/>
    <col min="2308" max="2308" width="12.85546875" style="73" customWidth="1"/>
    <col min="2309" max="2309" width="12.7109375" style="73" customWidth="1"/>
    <col min="2310" max="2310" width="15.42578125" style="73" customWidth="1"/>
    <col min="2311" max="2315" width="12.5703125" style="73" customWidth="1"/>
    <col min="2316" max="2317" width="11.28515625" style="73" bestFit="1" customWidth="1"/>
    <col min="2318" max="2318" width="11" style="73" bestFit="1" customWidth="1"/>
    <col min="2319" max="2319" width="10.85546875" style="73" bestFit="1" customWidth="1"/>
    <col min="2320" max="2320" width="11.28515625" style="73" bestFit="1" customWidth="1"/>
    <col min="2321" max="2321" width="7.85546875" style="73" bestFit="1" customWidth="1"/>
    <col min="2322" max="2322" width="7" style="73" customWidth="1"/>
    <col min="2323" max="2323" width="17.42578125" style="73" customWidth="1"/>
    <col min="2324" max="2324" width="7.140625" style="73" customWidth="1"/>
    <col min="2325" max="2325" width="9.5703125" style="73" customWidth="1"/>
    <col min="2326" max="2327" width="15.5703125" style="73" customWidth="1"/>
    <col min="2328" max="2328" width="1.85546875" style="73" customWidth="1"/>
    <col min="2329" max="2329" width="1.7109375" style="73" customWidth="1"/>
    <col min="2330" max="2330" width="1.85546875" style="73" customWidth="1"/>
    <col min="2331" max="2334" width="12.140625" style="73" customWidth="1"/>
    <col min="2335" max="2335" width="1.85546875" style="73" customWidth="1"/>
    <col min="2336" max="2337" width="1.42578125" style="73" customWidth="1"/>
    <col min="2338" max="2338" width="11.42578125" style="73"/>
    <col min="2339" max="2341" width="18.7109375" style="73" customWidth="1"/>
    <col min="2342" max="2560" width="11.42578125" style="73"/>
    <col min="2561" max="2561" width="0.140625" style="73" customWidth="1"/>
    <col min="2562" max="2562" width="2.7109375" style="73" customWidth="1"/>
    <col min="2563" max="2563" width="42.5703125" style="73" customWidth="1"/>
    <col min="2564" max="2564" width="12.85546875" style="73" customWidth="1"/>
    <col min="2565" max="2565" width="12.7109375" style="73" customWidth="1"/>
    <col min="2566" max="2566" width="15.42578125" style="73" customWidth="1"/>
    <col min="2567" max="2571" width="12.5703125" style="73" customWidth="1"/>
    <col min="2572" max="2573" width="11.28515625" style="73" bestFit="1" customWidth="1"/>
    <col min="2574" max="2574" width="11" style="73" bestFit="1" customWidth="1"/>
    <col min="2575" max="2575" width="10.85546875" style="73" bestFit="1" customWidth="1"/>
    <col min="2576" max="2576" width="11.28515625" style="73" bestFit="1" customWidth="1"/>
    <col min="2577" max="2577" width="7.85546875" style="73" bestFit="1" customWidth="1"/>
    <col min="2578" max="2578" width="7" style="73" customWidth="1"/>
    <col min="2579" max="2579" width="17.42578125" style="73" customWidth="1"/>
    <col min="2580" max="2580" width="7.140625" style="73" customWidth="1"/>
    <col min="2581" max="2581" width="9.5703125" style="73" customWidth="1"/>
    <col min="2582" max="2583" width="15.5703125" style="73" customWidth="1"/>
    <col min="2584" max="2584" width="1.85546875" style="73" customWidth="1"/>
    <col min="2585" max="2585" width="1.7109375" style="73" customWidth="1"/>
    <col min="2586" max="2586" width="1.85546875" style="73" customWidth="1"/>
    <col min="2587" max="2590" width="12.140625" style="73" customWidth="1"/>
    <col min="2591" max="2591" width="1.85546875" style="73" customWidth="1"/>
    <col min="2592" max="2593" width="1.42578125" style="73" customWidth="1"/>
    <col min="2594" max="2594" width="11.42578125" style="73"/>
    <col min="2595" max="2597" width="18.7109375" style="73" customWidth="1"/>
    <col min="2598" max="2816" width="11.42578125" style="73"/>
    <col min="2817" max="2817" width="0.140625" style="73" customWidth="1"/>
    <col min="2818" max="2818" width="2.7109375" style="73" customWidth="1"/>
    <col min="2819" max="2819" width="42.5703125" style="73" customWidth="1"/>
    <col min="2820" max="2820" width="12.85546875" style="73" customWidth="1"/>
    <col min="2821" max="2821" width="12.7109375" style="73" customWidth="1"/>
    <col min="2822" max="2822" width="15.42578125" style="73" customWidth="1"/>
    <col min="2823" max="2827" width="12.5703125" style="73" customWidth="1"/>
    <col min="2828" max="2829" width="11.28515625" style="73" bestFit="1" customWidth="1"/>
    <col min="2830" max="2830" width="11" style="73" bestFit="1" customWidth="1"/>
    <col min="2831" max="2831" width="10.85546875" style="73" bestFit="1" customWidth="1"/>
    <col min="2832" max="2832" width="11.28515625" style="73" bestFit="1" customWidth="1"/>
    <col min="2833" max="2833" width="7.85546875" style="73" bestFit="1" customWidth="1"/>
    <col min="2834" max="2834" width="7" style="73" customWidth="1"/>
    <col min="2835" max="2835" width="17.42578125" style="73" customWidth="1"/>
    <col min="2836" max="2836" width="7.140625" style="73" customWidth="1"/>
    <col min="2837" max="2837" width="9.5703125" style="73" customWidth="1"/>
    <col min="2838" max="2839" width="15.5703125" style="73" customWidth="1"/>
    <col min="2840" max="2840" width="1.85546875" style="73" customWidth="1"/>
    <col min="2841" max="2841" width="1.7109375" style="73" customWidth="1"/>
    <col min="2842" max="2842" width="1.85546875" style="73" customWidth="1"/>
    <col min="2843" max="2846" width="12.140625" style="73" customWidth="1"/>
    <col min="2847" max="2847" width="1.85546875" style="73" customWidth="1"/>
    <col min="2848" max="2849" width="1.42578125" style="73" customWidth="1"/>
    <col min="2850" max="2850" width="11.42578125" style="73"/>
    <col min="2851" max="2853" width="18.7109375" style="73" customWidth="1"/>
    <col min="2854" max="3072" width="11.42578125" style="73"/>
    <col min="3073" max="3073" width="0.140625" style="73" customWidth="1"/>
    <col min="3074" max="3074" width="2.7109375" style="73" customWidth="1"/>
    <col min="3075" max="3075" width="42.5703125" style="73" customWidth="1"/>
    <col min="3076" max="3076" width="12.85546875" style="73" customWidth="1"/>
    <col min="3077" max="3077" width="12.7109375" style="73" customWidth="1"/>
    <col min="3078" max="3078" width="15.42578125" style="73" customWidth="1"/>
    <col min="3079" max="3083" width="12.5703125" style="73" customWidth="1"/>
    <col min="3084" max="3085" width="11.28515625" style="73" bestFit="1" customWidth="1"/>
    <col min="3086" max="3086" width="11" style="73" bestFit="1" customWidth="1"/>
    <col min="3087" max="3087" width="10.85546875" style="73" bestFit="1" customWidth="1"/>
    <col min="3088" max="3088" width="11.28515625" style="73" bestFit="1" customWidth="1"/>
    <col min="3089" max="3089" width="7.85546875" style="73" bestFit="1" customWidth="1"/>
    <col min="3090" max="3090" width="7" style="73" customWidth="1"/>
    <col min="3091" max="3091" width="17.42578125" style="73" customWidth="1"/>
    <col min="3092" max="3092" width="7.140625" style="73" customWidth="1"/>
    <col min="3093" max="3093" width="9.5703125" style="73" customWidth="1"/>
    <col min="3094" max="3095" width="15.5703125" style="73" customWidth="1"/>
    <col min="3096" max="3096" width="1.85546875" style="73" customWidth="1"/>
    <col min="3097" max="3097" width="1.7109375" style="73" customWidth="1"/>
    <col min="3098" max="3098" width="1.85546875" style="73" customWidth="1"/>
    <col min="3099" max="3102" width="12.140625" style="73" customWidth="1"/>
    <col min="3103" max="3103" width="1.85546875" style="73" customWidth="1"/>
    <col min="3104" max="3105" width="1.42578125" style="73" customWidth="1"/>
    <col min="3106" max="3106" width="11.42578125" style="73"/>
    <col min="3107" max="3109" width="18.7109375" style="73" customWidth="1"/>
    <col min="3110" max="3328" width="11.42578125" style="73"/>
    <col min="3329" max="3329" width="0.140625" style="73" customWidth="1"/>
    <col min="3330" max="3330" width="2.7109375" style="73" customWidth="1"/>
    <col min="3331" max="3331" width="42.5703125" style="73" customWidth="1"/>
    <col min="3332" max="3332" width="12.85546875" style="73" customWidth="1"/>
    <col min="3333" max="3333" width="12.7109375" style="73" customWidth="1"/>
    <col min="3334" max="3334" width="15.42578125" style="73" customWidth="1"/>
    <col min="3335" max="3339" width="12.5703125" style="73" customWidth="1"/>
    <col min="3340" max="3341" width="11.28515625" style="73" bestFit="1" customWidth="1"/>
    <col min="3342" max="3342" width="11" style="73" bestFit="1" customWidth="1"/>
    <col min="3343" max="3343" width="10.85546875" style="73" bestFit="1" customWidth="1"/>
    <col min="3344" max="3344" width="11.28515625" style="73" bestFit="1" customWidth="1"/>
    <col min="3345" max="3345" width="7.85546875" style="73" bestFit="1" customWidth="1"/>
    <col min="3346" max="3346" width="7" style="73" customWidth="1"/>
    <col min="3347" max="3347" width="17.42578125" style="73" customWidth="1"/>
    <col min="3348" max="3348" width="7.140625" style="73" customWidth="1"/>
    <col min="3349" max="3349" width="9.5703125" style="73" customWidth="1"/>
    <col min="3350" max="3351" width="15.5703125" style="73" customWidth="1"/>
    <col min="3352" max="3352" width="1.85546875" style="73" customWidth="1"/>
    <col min="3353" max="3353" width="1.7109375" style="73" customWidth="1"/>
    <col min="3354" max="3354" width="1.85546875" style="73" customWidth="1"/>
    <col min="3355" max="3358" width="12.140625" style="73" customWidth="1"/>
    <col min="3359" max="3359" width="1.85546875" style="73" customWidth="1"/>
    <col min="3360" max="3361" width="1.42578125" style="73" customWidth="1"/>
    <col min="3362" max="3362" width="11.42578125" style="73"/>
    <col min="3363" max="3365" width="18.7109375" style="73" customWidth="1"/>
    <col min="3366" max="3584" width="11.42578125" style="73"/>
    <col min="3585" max="3585" width="0.140625" style="73" customWidth="1"/>
    <col min="3586" max="3586" width="2.7109375" style="73" customWidth="1"/>
    <col min="3587" max="3587" width="42.5703125" style="73" customWidth="1"/>
    <col min="3588" max="3588" width="12.85546875" style="73" customWidth="1"/>
    <col min="3589" max="3589" width="12.7109375" style="73" customWidth="1"/>
    <col min="3590" max="3590" width="15.42578125" style="73" customWidth="1"/>
    <col min="3591" max="3595" width="12.5703125" style="73" customWidth="1"/>
    <col min="3596" max="3597" width="11.28515625" style="73" bestFit="1" customWidth="1"/>
    <col min="3598" max="3598" width="11" style="73" bestFit="1" customWidth="1"/>
    <col min="3599" max="3599" width="10.85546875" style="73" bestFit="1" customWidth="1"/>
    <col min="3600" max="3600" width="11.28515625" style="73" bestFit="1" customWidth="1"/>
    <col min="3601" max="3601" width="7.85546875" style="73" bestFit="1" customWidth="1"/>
    <col min="3602" max="3602" width="7" style="73" customWidth="1"/>
    <col min="3603" max="3603" width="17.42578125" style="73" customWidth="1"/>
    <col min="3604" max="3604" width="7.140625" style="73" customWidth="1"/>
    <col min="3605" max="3605" width="9.5703125" style="73" customWidth="1"/>
    <col min="3606" max="3607" width="15.5703125" style="73" customWidth="1"/>
    <col min="3608" max="3608" width="1.85546875" style="73" customWidth="1"/>
    <col min="3609" max="3609" width="1.7109375" style="73" customWidth="1"/>
    <col min="3610" max="3610" width="1.85546875" style="73" customWidth="1"/>
    <col min="3611" max="3614" width="12.140625" style="73" customWidth="1"/>
    <col min="3615" max="3615" width="1.85546875" style="73" customWidth="1"/>
    <col min="3616" max="3617" width="1.42578125" style="73" customWidth="1"/>
    <col min="3618" max="3618" width="11.42578125" style="73"/>
    <col min="3619" max="3621" width="18.7109375" style="73" customWidth="1"/>
    <col min="3622" max="3840" width="11.42578125" style="73"/>
    <col min="3841" max="3841" width="0.140625" style="73" customWidth="1"/>
    <col min="3842" max="3842" width="2.7109375" style="73" customWidth="1"/>
    <col min="3843" max="3843" width="42.5703125" style="73" customWidth="1"/>
    <col min="3844" max="3844" width="12.85546875" style="73" customWidth="1"/>
    <col min="3845" max="3845" width="12.7109375" style="73" customWidth="1"/>
    <col min="3846" max="3846" width="15.42578125" style="73" customWidth="1"/>
    <col min="3847" max="3851" width="12.5703125" style="73" customWidth="1"/>
    <col min="3852" max="3853" width="11.28515625" style="73" bestFit="1" customWidth="1"/>
    <col min="3854" max="3854" width="11" style="73" bestFit="1" customWidth="1"/>
    <col min="3855" max="3855" width="10.85546875" style="73" bestFit="1" customWidth="1"/>
    <col min="3856" max="3856" width="11.28515625" style="73" bestFit="1" customWidth="1"/>
    <col min="3857" max="3857" width="7.85546875" style="73" bestFit="1" customWidth="1"/>
    <col min="3858" max="3858" width="7" style="73" customWidth="1"/>
    <col min="3859" max="3859" width="17.42578125" style="73" customWidth="1"/>
    <col min="3860" max="3860" width="7.140625" style="73" customWidth="1"/>
    <col min="3861" max="3861" width="9.5703125" style="73" customWidth="1"/>
    <col min="3862" max="3863" width="15.5703125" style="73" customWidth="1"/>
    <col min="3864" max="3864" width="1.85546875" style="73" customWidth="1"/>
    <col min="3865" max="3865" width="1.7109375" style="73" customWidth="1"/>
    <col min="3866" max="3866" width="1.85546875" style="73" customWidth="1"/>
    <col min="3867" max="3870" width="12.140625" style="73" customWidth="1"/>
    <col min="3871" max="3871" width="1.85546875" style="73" customWidth="1"/>
    <col min="3872" max="3873" width="1.42578125" style="73" customWidth="1"/>
    <col min="3874" max="3874" width="11.42578125" style="73"/>
    <col min="3875" max="3877" width="18.7109375" style="73" customWidth="1"/>
    <col min="3878" max="4096" width="11.42578125" style="73"/>
    <col min="4097" max="4097" width="0.140625" style="73" customWidth="1"/>
    <col min="4098" max="4098" width="2.7109375" style="73" customWidth="1"/>
    <col min="4099" max="4099" width="42.5703125" style="73" customWidth="1"/>
    <col min="4100" max="4100" width="12.85546875" style="73" customWidth="1"/>
    <col min="4101" max="4101" width="12.7109375" style="73" customWidth="1"/>
    <col min="4102" max="4102" width="15.42578125" style="73" customWidth="1"/>
    <col min="4103" max="4107" width="12.5703125" style="73" customWidth="1"/>
    <col min="4108" max="4109" width="11.28515625" style="73" bestFit="1" customWidth="1"/>
    <col min="4110" max="4110" width="11" style="73" bestFit="1" customWidth="1"/>
    <col min="4111" max="4111" width="10.85546875" style="73" bestFit="1" customWidth="1"/>
    <col min="4112" max="4112" width="11.28515625" style="73" bestFit="1" customWidth="1"/>
    <col min="4113" max="4113" width="7.85546875" style="73" bestFit="1" customWidth="1"/>
    <col min="4114" max="4114" width="7" style="73" customWidth="1"/>
    <col min="4115" max="4115" width="17.42578125" style="73" customWidth="1"/>
    <col min="4116" max="4116" width="7.140625" style="73" customWidth="1"/>
    <col min="4117" max="4117" width="9.5703125" style="73" customWidth="1"/>
    <col min="4118" max="4119" width="15.5703125" style="73" customWidth="1"/>
    <col min="4120" max="4120" width="1.85546875" style="73" customWidth="1"/>
    <col min="4121" max="4121" width="1.7109375" style="73" customWidth="1"/>
    <col min="4122" max="4122" width="1.85546875" style="73" customWidth="1"/>
    <col min="4123" max="4126" width="12.140625" style="73" customWidth="1"/>
    <col min="4127" max="4127" width="1.85546875" style="73" customWidth="1"/>
    <col min="4128" max="4129" width="1.42578125" style="73" customWidth="1"/>
    <col min="4130" max="4130" width="11.42578125" style="73"/>
    <col min="4131" max="4133" width="18.7109375" style="73" customWidth="1"/>
    <col min="4134" max="4352" width="11.42578125" style="73"/>
    <col min="4353" max="4353" width="0.140625" style="73" customWidth="1"/>
    <col min="4354" max="4354" width="2.7109375" style="73" customWidth="1"/>
    <col min="4355" max="4355" width="42.5703125" style="73" customWidth="1"/>
    <col min="4356" max="4356" width="12.85546875" style="73" customWidth="1"/>
    <col min="4357" max="4357" width="12.7109375" style="73" customWidth="1"/>
    <col min="4358" max="4358" width="15.42578125" style="73" customWidth="1"/>
    <col min="4359" max="4363" width="12.5703125" style="73" customWidth="1"/>
    <col min="4364" max="4365" width="11.28515625" style="73" bestFit="1" customWidth="1"/>
    <col min="4366" max="4366" width="11" style="73" bestFit="1" customWidth="1"/>
    <col min="4367" max="4367" width="10.85546875" style="73" bestFit="1" customWidth="1"/>
    <col min="4368" max="4368" width="11.28515625" style="73" bestFit="1" customWidth="1"/>
    <col min="4369" max="4369" width="7.85546875" style="73" bestFit="1" customWidth="1"/>
    <col min="4370" max="4370" width="7" style="73" customWidth="1"/>
    <col min="4371" max="4371" width="17.42578125" style="73" customWidth="1"/>
    <col min="4372" max="4372" width="7.140625" style="73" customWidth="1"/>
    <col min="4373" max="4373" width="9.5703125" style="73" customWidth="1"/>
    <col min="4374" max="4375" width="15.5703125" style="73" customWidth="1"/>
    <col min="4376" max="4376" width="1.85546875" style="73" customWidth="1"/>
    <col min="4377" max="4377" width="1.7109375" style="73" customWidth="1"/>
    <col min="4378" max="4378" width="1.85546875" style="73" customWidth="1"/>
    <col min="4379" max="4382" width="12.140625" style="73" customWidth="1"/>
    <col min="4383" max="4383" width="1.85546875" style="73" customWidth="1"/>
    <col min="4384" max="4385" width="1.42578125" style="73" customWidth="1"/>
    <col min="4386" max="4386" width="11.42578125" style="73"/>
    <col min="4387" max="4389" width="18.7109375" style="73" customWidth="1"/>
    <col min="4390" max="4608" width="11.42578125" style="73"/>
    <col min="4609" max="4609" width="0.140625" style="73" customWidth="1"/>
    <col min="4610" max="4610" width="2.7109375" style="73" customWidth="1"/>
    <col min="4611" max="4611" width="42.5703125" style="73" customWidth="1"/>
    <col min="4612" max="4612" width="12.85546875" style="73" customWidth="1"/>
    <col min="4613" max="4613" width="12.7109375" style="73" customWidth="1"/>
    <col min="4614" max="4614" width="15.42578125" style="73" customWidth="1"/>
    <col min="4615" max="4619" width="12.5703125" style="73" customWidth="1"/>
    <col min="4620" max="4621" width="11.28515625" style="73" bestFit="1" customWidth="1"/>
    <col min="4622" max="4622" width="11" style="73" bestFit="1" customWidth="1"/>
    <col min="4623" max="4623" width="10.85546875" style="73" bestFit="1" customWidth="1"/>
    <col min="4624" max="4624" width="11.28515625" style="73" bestFit="1" customWidth="1"/>
    <col min="4625" max="4625" width="7.85546875" style="73" bestFit="1" customWidth="1"/>
    <col min="4626" max="4626" width="7" style="73" customWidth="1"/>
    <col min="4627" max="4627" width="17.42578125" style="73" customWidth="1"/>
    <col min="4628" max="4628" width="7.140625" style="73" customWidth="1"/>
    <col min="4629" max="4629" width="9.5703125" style="73" customWidth="1"/>
    <col min="4630" max="4631" width="15.5703125" style="73" customWidth="1"/>
    <col min="4632" max="4632" width="1.85546875" style="73" customWidth="1"/>
    <col min="4633" max="4633" width="1.7109375" style="73" customWidth="1"/>
    <col min="4634" max="4634" width="1.85546875" style="73" customWidth="1"/>
    <col min="4635" max="4638" width="12.140625" style="73" customWidth="1"/>
    <col min="4639" max="4639" width="1.85546875" style="73" customWidth="1"/>
    <col min="4640" max="4641" width="1.42578125" style="73" customWidth="1"/>
    <col min="4642" max="4642" width="11.42578125" style="73"/>
    <col min="4643" max="4645" width="18.7109375" style="73" customWidth="1"/>
    <col min="4646" max="4864" width="11.42578125" style="73"/>
    <col min="4865" max="4865" width="0.140625" style="73" customWidth="1"/>
    <col min="4866" max="4866" width="2.7109375" style="73" customWidth="1"/>
    <col min="4867" max="4867" width="42.5703125" style="73" customWidth="1"/>
    <col min="4868" max="4868" width="12.85546875" style="73" customWidth="1"/>
    <col min="4869" max="4869" width="12.7109375" style="73" customWidth="1"/>
    <col min="4870" max="4870" width="15.42578125" style="73" customWidth="1"/>
    <col min="4871" max="4875" width="12.5703125" style="73" customWidth="1"/>
    <col min="4876" max="4877" width="11.28515625" style="73" bestFit="1" customWidth="1"/>
    <col min="4878" max="4878" width="11" style="73" bestFit="1" customWidth="1"/>
    <col min="4879" max="4879" width="10.85546875" style="73" bestFit="1" customWidth="1"/>
    <col min="4880" max="4880" width="11.28515625" style="73" bestFit="1" customWidth="1"/>
    <col min="4881" max="4881" width="7.85546875" style="73" bestFit="1" customWidth="1"/>
    <col min="4882" max="4882" width="7" style="73" customWidth="1"/>
    <col min="4883" max="4883" width="17.42578125" style="73" customWidth="1"/>
    <col min="4884" max="4884" width="7.140625" style="73" customWidth="1"/>
    <col min="4885" max="4885" width="9.5703125" style="73" customWidth="1"/>
    <col min="4886" max="4887" width="15.5703125" style="73" customWidth="1"/>
    <col min="4888" max="4888" width="1.85546875" style="73" customWidth="1"/>
    <col min="4889" max="4889" width="1.7109375" style="73" customWidth="1"/>
    <col min="4890" max="4890" width="1.85546875" style="73" customWidth="1"/>
    <col min="4891" max="4894" width="12.140625" style="73" customWidth="1"/>
    <col min="4895" max="4895" width="1.85546875" style="73" customWidth="1"/>
    <col min="4896" max="4897" width="1.42578125" style="73" customWidth="1"/>
    <col min="4898" max="4898" width="11.42578125" style="73"/>
    <col min="4899" max="4901" width="18.7109375" style="73" customWidth="1"/>
    <col min="4902" max="5120" width="11.42578125" style="73"/>
    <col min="5121" max="5121" width="0.140625" style="73" customWidth="1"/>
    <col min="5122" max="5122" width="2.7109375" style="73" customWidth="1"/>
    <col min="5123" max="5123" width="42.5703125" style="73" customWidth="1"/>
    <col min="5124" max="5124" width="12.85546875" style="73" customWidth="1"/>
    <col min="5125" max="5125" width="12.7109375" style="73" customWidth="1"/>
    <col min="5126" max="5126" width="15.42578125" style="73" customWidth="1"/>
    <col min="5127" max="5131" width="12.5703125" style="73" customWidth="1"/>
    <col min="5132" max="5133" width="11.28515625" style="73" bestFit="1" customWidth="1"/>
    <col min="5134" max="5134" width="11" style="73" bestFit="1" customWidth="1"/>
    <col min="5135" max="5135" width="10.85546875" style="73" bestFit="1" customWidth="1"/>
    <col min="5136" max="5136" width="11.28515625" style="73" bestFit="1" customWidth="1"/>
    <col min="5137" max="5137" width="7.85546875" style="73" bestFit="1" customWidth="1"/>
    <col min="5138" max="5138" width="7" style="73" customWidth="1"/>
    <col min="5139" max="5139" width="17.42578125" style="73" customWidth="1"/>
    <col min="5140" max="5140" width="7.140625" style="73" customWidth="1"/>
    <col min="5141" max="5141" width="9.5703125" style="73" customWidth="1"/>
    <col min="5142" max="5143" width="15.5703125" style="73" customWidth="1"/>
    <col min="5144" max="5144" width="1.85546875" style="73" customWidth="1"/>
    <col min="5145" max="5145" width="1.7109375" style="73" customWidth="1"/>
    <col min="5146" max="5146" width="1.85546875" style="73" customWidth="1"/>
    <col min="5147" max="5150" width="12.140625" style="73" customWidth="1"/>
    <col min="5151" max="5151" width="1.85546875" style="73" customWidth="1"/>
    <col min="5152" max="5153" width="1.42578125" style="73" customWidth="1"/>
    <col min="5154" max="5154" width="11.42578125" style="73"/>
    <col min="5155" max="5157" width="18.7109375" style="73" customWidth="1"/>
    <col min="5158" max="5376" width="11.42578125" style="73"/>
    <col min="5377" max="5377" width="0.140625" style="73" customWidth="1"/>
    <col min="5378" max="5378" width="2.7109375" style="73" customWidth="1"/>
    <col min="5379" max="5379" width="42.5703125" style="73" customWidth="1"/>
    <col min="5380" max="5380" width="12.85546875" style="73" customWidth="1"/>
    <col min="5381" max="5381" width="12.7109375" style="73" customWidth="1"/>
    <col min="5382" max="5382" width="15.42578125" style="73" customWidth="1"/>
    <col min="5383" max="5387" width="12.5703125" style="73" customWidth="1"/>
    <col min="5388" max="5389" width="11.28515625" style="73" bestFit="1" customWidth="1"/>
    <col min="5390" max="5390" width="11" style="73" bestFit="1" customWidth="1"/>
    <col min="5391" max="5391" width="10.85546875" style="73" bestFit="1" customWidth="1"/>
    <col min="5392" max="5392" width="11.28515625" style="73" bestFit="1" customWidth="1"/>
    <col min="5393" max="5393" width="7.85546875" style="73" bestFit="1" customWidth="1"/>
    <col min="5394" max="5394" width="7" style="73" customWidth="1"/>
    <col min="5395" max="5395" width="17.42578125" style="73" customWidth="1"/>
    <col min="5396" max="5396" width="7.140625" style="73" customWidth="1"/>
    <col min="5397" max="5397" width="9.5703125" style="73" customWidth="1"/>
    <col min="5398" max="5399" width="15.5703125" style="73" customWidth="1"/>
    <col min="5400" max="5400" width="1.85546875" style="73" customWidth="1"/>
    <col min="5401" max="5401" width="1.7109375" style="73" customWidth="1"/>
    <col min="5402" max="5402" width="1.85546875" style="73" customWidth="1"/>
    <col min="5403" max="5406" width="12.140625" style="73" customWidth="1"/>
    <col min="5407" max="5407" width="1.85546875" style="73" customWidth="1"/>
    <col min="5408" max="5409" width="1.42578125" style="73" customWidth="1"/>
    <col min="5410" max="5410" width="11.42578125" style="73"/>
    <col min="5411" max="5413" width="18.7109375" style="73" customWidth="1"/>
    <col min="5414" max="5632" width="11.42578125" style="73"/>
    <col min="5633" max="5633" width="0.140625" style="73" customWidth="1"/>
    <col min="5634" max="5634" width="2.7109375" style="73" customWidth="1"/>
    <col min="5635" max="5635" width="42.5703125" style="73" customWidth="1"/>
    <col min="5636" max="5636" width="12.85546875" style="73" customWidth="1"/>
    <col min="5637" max="5637" width="12.7109375" style="73" customWidth="1"/>
    <col min="5638" max="5638" width="15.42578125" style="73" customWidth="1"/>
    <col min="5639" max="5643" width="12.5703125" style="73" customWidth="1"/>
    <col min="5644" max="5645" width="11.28515625" style="73" bestFit="1" customWidth="1"/>
    <col min="5646" max="5646" width="11" style="73" bestFit="1" customWidth="1"/>
    <col min="5647" max="5647" width="10.85546875" style="73" bestFit="1" customWidth="1"/>
    <col min="5648" max="5648" width="11.28515625" style="73" bestFit="1" customWidth="1"/>
    <col min="5649" max="5649" width="7.85546875" style="73" bestFit="1" customWidth="1"/>
    <col min="5650" max="5650" width="7" style="73" customWidth="1"/>
    <col min="5651" max="5651" width="17.42578125" style="73" customWidth="1"/>
    <col min="5652" max="5652" width="7.140625" style="73" customWidth="1"/>
    <col min="5653" max="5653" width="9.5703125" style="73" customWidth="1"/>
    <col min="5654" max="5655" width="15.5703125" style="73" customWidth="1"/>
    <col min="5656" max="5656" width="1.85546875" style="73" customWidth="1"/>
    <col min="5657" max="5657" width="1.7109375" style="73" customWidth="1"/>
    <col min="5658" max="5658" width="1.85546875" style="73" customWidth="1"/>
    <col min="5659" max="5662" width="12.140625" style="73" customWidth="1"/>
    <col min="5663" max="5663" width="1.85546875" style="73" customWidth="1"/>
    <col min="5664" max="5665" width="1.42578125" style="73" customWidth="1"/>
    <col min="5666" max="5666" width="11.42578125" style="73"/>
    <col min="5667" max="5669" width="18.7109375" style="73" customWidth="1"/>
    <col min="5670" max="5888" width="11.42578125" style="73"/>
    <col min="5889" max="5889" width="0.140625" style="73" customWidth="1"/>
    <col min="5890" max="5890" width="2.7109375" style="73" customWidth="1"/>
    <col min="5891" max="5891" width="42.5703125" style="73" customWidth="1"/>
    <col min="5892" max="5892" width="12.85546875" style="73" customWidth="1"/>
    <col min="5893" max="5893" width="12.7109375" style="73" customWidth="1"/>
    <col min="5894" max="5894" width="15.42578125" style="73" customWidth="1"/>
    <col min="5895" max="5899" width="12.5703125" style="73" customWidth="1"/>
    <col min="5900" max="5901" width="11.28515625" style="73" bestFit="1" customWidth="1"/>
    <col min="5902" max="5902" width="11" style="73" bestFit="1" customWidth="1"/>
    <col min="5903" max="5903" width="10.85546875" style="73" bestFit="1" customWidth="1"/>
    <col min="5904" max="5904" width="11.28515625" style="73" bestFit="1" customWidth="1"/>
    <col min="5905" max="5905" width="7.85546875" style="73" bestFit="1" customWidth="1"/>
    <col min="5906" max="5906" width="7" style="73" customWidth="1"/>
    <col min="5907" max="5907" width="17.42578125" style="73" customWidth="1"/>
    <col min="5908" max="5908" width="7.140625" style="73" customWidth="1"/>
    <col min="5909" max="5909" width="9.5703125" style="73" customWidth="1"/>
    <col min="5910" max="5911" width="15.5703125" style="73" customWidth="1"/>
    <col min="5912" max="5912" width="1.85546875" style="73" customWidth="1"/>
    <col min="5913" max="5913" width="1.7109375" style="73" customWidth="1"/>
    <col min="5914" max="5914" width="1.85546875" style="73" customWidth="1"/>
    <col min="5915" max="5918" width="12.140625" style="73" customWidth="1"/>
    <col min="5919" max="5919" width="1.85546875" style="73" customWidth="1"/>
    <col min="5920" max="5921" width="1.42578125" style="73" customWidth="1"/>
    <col min="5922" max="5922" width="11.42578125" style="73"/>
    <col min="5923" max="5925" width="18.7109375" style="73" customWidth="1"/>
    <col min="5926" max="6144" width="11.42578125" style="73"/>
    <col min="6145" max="6145" width="0.140625" style="73" customWidth="1"/>
    <col min="6146" max="6146" width="2.7109375" style="73" customWidth="1"/>
    <col min="6147" max="6147" width="42.5703125" style="73" customWidth="1"/>
    <col min="6148" max="6148" width="12.85546875" style="73" customWidth="1"/>
    <col min="6149" max="6149" width="12.7109375" style="73" customWidth="1"/>
    <col min="6150" max="6150" width="15.42578125" style="73" customWidth="1"/>
    <col min="6151" max="6155" width="12.5703125" style="73" customWidth="1"/>
    <col min="6156" max="6157" width="11.28515625" style="73" bestFit="1" customWidth="1"/>
    <col min="6158" max="6158" width="11" style="73" bestFit="1" customWidth="1"/>
    <col min="6159" max="6159" width="10.85546875" style="73" bestFit="1" customWidth="1"/>
    <col min="6160" max="6160" width="11.28515625" style="73" bestFit="1" customWidth="1"/>
    <col min="6161" max="6161" width="7.85546875" style="73" bestFit="1" customWidth="1"/>
    <col min="6162" max="6162" width="7" style="73" customWidth="1"/>
    <col min="6163" max="6163" width="17.42578125" style="73" customWidth="1"/>
    <col min="6164" max="6164" width="7.140625" style="73" customWidth="1"/>
    <col min="6165" max="6165" width="9.5703125" style="73" customWidth="1"/>
    <col min="6166" max="6167" width="15.5703125" style="73" customWidth="1"/>
    <col min="6168" max="6168" width="1.85546875" style="73" customWidth="1"/>
    <col min="6169" max="6169" width="1.7109375" style="73" customWidth="1"/>
    <col min="6170" max="6170" width="1.85546875" style="73" customWidth="1"/>
    <col min="6171" max="6174" width="12.140625" style="73" customWidth="1"/>
    <col min="6175" max="6175" width="1.85546875" style="73" customWidth="1"/>
    <col min="6176" max="6177" width="1.42578125" style="73" customWidth="1"/>
    <col min="6178" max="6178" width="11.42578125" style="73"/>
    <col min="6179" max="6181" width="18.7109375" style="73" customWidth="1"/>
    <col min="6182" max="6400" width="11.42578125" style="73"/>
    <col min="6401" max="6401" width="0.140625" style="73" customWidth="1"/>
    <col min="6402" max="6402" width="2.7109375" style="73" customWidth="1"/>
    <col min="6403" max="6403" width="42.5703125" style="73" customWidth="1"/>
    <col min="6404" max="6404" width="12.85546875" style="73" customWidth="1"/>
    <col min="6405" max="6405" width="12.7109375" style="73" customWidth="1"/>
    <col min="6406" max="6406" width="15.42578125" style="73" customWidth="1"/>
    <col min="6407" max="6411" width="12.5703125" style="73" customWidth="1"/>
    <col min="6412" max="6413" width="11.28515625" style="73" bestFit="1" customWidth="1"/>
    <col min="6414" max="6414" width="11" style="73" bestFit="1" customWidth="1"/>
    <col min="6415" max="6415" width="10.85546875" style="73" bestFit="1" customWidth="1"/>
    <col min="6416" max="6416" width="11.28515625" style="73" bestFit="1" customWidth="1"/>
    <col min="6417" max="6417" width="7.85546875" style="73" bestFit="1" customWidth="1"/>
    <col min="6418" max="6418" width="7" style="73" customWidth="1"/>
    <col min="6419" max="6419" width="17.42578125" style="73" customWidth="1"/>
    <col min="6420" max="6420" width="7.140625" style="73" customWidth="1"/>
    <col min="6421" max="6421" width="9.5703125" style="73" customWidth="1"/>
    <col min="6422" max="6423" width="15.5703125" style="73" customWidth="1"/>
    <col min="6424" max="6424" width="1.85546875" style="73" customWidth="1"/>
    <col min="6425" max="6425" width="1.7109375" style="73" customWidth="1"/>
    <col min="6426" max="6426" width="1.85546875" style="73" customWidth="1"/>
    <col min="6427" max="6430" width="12.140625" style="73" customWidth="1"/>
    <col min="6431" max="6431" width="1.85546875" style="73" customWidth="1"/>
    <col min="6432" max="6433" width="1.42578125" style="73" customWidth="1"/>
    <col min="6434" max="6434" width="11.42578125" style="73"/>
    <col min="6435" max="6437" width="18.7109375" style="73" customWidth="1"/>
    <col min="6438" max="6656" width="11.42578125" style="73"/>
    <col min="6657" max="6657" width="0.140625" style="73" customWidth="1"/>
    <col min="6658" max="6658" width="2.7109375" style="73" customWidth="1"/>
    <col min="6659" max="6659" width="42.5703125" style="73" customWidth="1"/>
    <col min="6660" max="6660" width="12.85546875" style="73" customWidth="1"/>
    <col min="6661" max="6661" width="12.7109375" style="73" customWidth="1"/>
    <col min="6662" max="6662" width="15.42578125" style="73" customWidth="1"/>
    <col min="6663" max="6667" width="12.5703125" style="73" customWidth="1"/>
    <col min="6668" max="6669" width="11.28515625" style="73" bestFit="1" customWidth="1"/>
    <col min="6670" max="6670" width="11" style="73" bestFit="1" customWidth="1"/>
    <col min="6671" max="6671" width="10.85546875" style="73" bestFit="1" customWidth="1"/>
    <col min="6672" max="6672" width="11.28515625" style="73" bestFit="1" customWidth="1"/>
    <col min="6673" max="6673" width="7.85546875" style="73" bestFit="1" customWidth="1"/>
    <col min="6674" max="6674" width="7" style="73" customWidth="1"/>
    <col min="6675" max="6675" width="17.42578125" style="73" customWidth="1"/>
    <col min="6676" max="6676" width="7.140625" style="73" customWidth="1"/>
    <col min="6677" max="6677" width="9.5703125" style="73" customWidth="1"/>
    <col min="6678" max="6679" width="15.5703125" style="73" customWidth="1"/>
    <col min="6680" max="6680" width="1.85546875" style="73" customWidth="1"/>
    <col min="6681" max="6681" width="1.7109375" style="73" customWidth="1"/>
    <col min="6682" max="6682" width="1.85546875" style="73" customWidth="1"/>
    <col min="6683" max="6686" width="12.140625" style="73" customWidth="1"/>
    <col min="6687" max="6687" width="1.85546875" style="73" customWidth="1"/>
    <col min="6688" max="6689" width="1.42578125" style="73" customWidth="1"/>
    <col min="6690" max="6690" width="11.42578125" style="73"/>
    <col min="6691" max="6693" width="18.7109375" style="73" customWidth="1"/>
    <col min="6694" max="6912" width="11.42578125" style="73"/>
    <col min="6913" max="6913" width="0.140625" style="73" customWidth="1"/>
    <col min="6914" max="6914" width="2.7109375" style="73" customWidth="1"/>
    <col min="6915" max="6915" width="42.5703125" style="73" customWidth="1"/>
    <col min="6916" max="6916" width="12.85546875" style="73" customWidth="1"/>
    <col min="6917" max="6917" width="12.7109375" style="73" customWidth="1"/>
    <col min="6918" max="6918" width="15.42578125" style="73" customWidth="1"/>
    <col min="6919" max="6923" width="12.5703125" style="73" customWidth="1"/>
    <col min="6924" max="6925" width="11.28515625" style="73" bestFit="1" customWidth="1"/>
    <col min="6926" max="6926" width="11" style="73" bestFit="1" customWidth="1"/>
    <col min="6927" max="6927" width="10.85546875" style="73" bestFit="1" customWidth="1"/>
    <col min="6928" max="6928" width="11.28515625" style="73" bestFit="1" customWidth="1"/>
    <col min="6929" max="6929" width="7.85546875" style="73" bestFit="1" customWidth="1"/>
    <col min="6930" max="6930" width="7" style="73" customWidth="1"/>
    <col min="6931" max="6931" width="17.42578125" style="73" customWidth="1"/>
    <col min="6932" max="6932" width="7.140625" style="73" customWidth="1"/>
    <col min="6933" max="6933" width="9.5703125" style="73" customWidth="1"/>
    <col min="6934" max="6935" width="15.5703125" style="73" customWidth="1"/>
    <col min="6936" max="6936" width="1.85546875" style="73" customWidth="1"/>
    <col min="6937" max="6937" width="1.7109375" style="73" customWidth="1"/>
    <col min="6938" max="6938" width="1.85546875" style="73" customWidth="1"/>
    <col min="6939" max="6942" width="12.140625" style="73" customWidth="1"/>
    <col min="6943" max="6943" width="1.85546875" style="73" customWidth="1"/>
    <col min="6944" max="6945" width="1.42578125" style="73" customWidth="1"/>
    <col min="6946" max="6946" width="11.42578125" style="73"/>
    <col min="6947" max="6949" width="18.7109375" style="73" customWidth="1"/>
    <col min="6950" max="7168" width="11.42578125" style="73"/>
    <col min="7169" max="7169" width="0.140625" style="73" customWidth="1"/>
    <col min="7170" max="7170" width="2.7109375" style="73" customWidth="1"/>
    <col min="7171" max="7171" width="42.5703125" style="73" customWidth="1"/>
    <col min="7172" max="7172" width="12.85546875" style="73" customWidth="1"/>
    <col min="7173" max="7173" width="12.7109375" style="73" customWidth="1"/>
    <col min="7174" max="7174" width="15.42578125" style="73" customWidth="1"/>
    <col min="7175" max="7179" width="12.5703125" style="73" customWidth="1"/>
    <col min="7180" max="7181" width="11.28515625" style="73" bestFit="1" customWidth="1"/>
    <col min="7182" max="7182" width="11" style="73" bestFit="1" customWidth="1"/>
    <col min="7183" max="7183" width="10.85546875" style="73" bestFit="1" customWidth="1"/>
    <col min="7184" max="7184" width="11.28515625" style="73" bestFit="1" customWidth="1"/>
    <col min="7185" max="7185" width="7.85546875" style="73" bestFit="1" customWidth="1"/>
    <col min="7186" max="7186" width="7" style="73" customWidth="1"/>
    <col min="7187" max="7187" width="17.42578125" style="73" customWidth="1"/>
    <col min="7188" max="7188" width="7.140625" style="73" customWidth="1"/>
    <col min="7189" max="7189" width="9.5703125" style="73" customWidth="1"/>
    <col min="7190" max="7191" width="15.5703125" style="73" customWidth="1"/>
    <col min="7192" max="7192" width="1.85546875" style="73" customWidth="1"/>
    <col min="7193" max="7193" width="1.7109375" style="73" customWidth="1"/>
    <col min="7194" max="7194" width="1.85546875" style="73" customWidth="1"/>
    <col min="7195" max="7198" width="12.140625" style="73" customWidth="1"/>
    <col min="7199" max="7199" width="1.85546875" style="73" customWidth="1"/>
    <col min="7200" max="7201" width="1.42578125" style="73" customWidth="1"/>
    <col min="7202" max="7202" width="11.42578125" style="73"/>
    <col min="7203" max="7205" width="18.7109375" style="73" customWidth="1"/>
    <col min="7206" max="7424" width="11.42578125" style="73"/>
    <col min="7425" max="7425" width="0.140625" style="73" customWidth="1"/>
    <col min="7426" max="7426" width="2.7109375" style="73" customWidth="1"/>
    <col min="7427" max="7427" width="42.5703125" style="73" customWidth="1"/>
    <col min="7428" max="7428" width="12.85546875" style="73" customWidth="1"/>
    <col min="7429" max="7429" width="12.7109375" style="73" customWidth="1"/>
    <col min="7430" max="7430" width="15.42578125" style="73" customWidth="1"/>
    <col min="7431" max="7435" width="12.5703125" style="73" customWidth="1"/>
    <col min="7436" max="7437" width="11.28515625" style="73" bestFit="1" customWidth="1"/>
    <col min="7438" max="7438" width="11" style="73" bestFit="1" customWidth="1"/>
    <col min="7439" max="7439" width="10.85546875" style="73" bestFit="1" customWidth="1"/>
    <col min="7440" max="7440" width="11.28515625" style="73" bestFit="1" customWidth="1"/>
    <col min="7441" max="7441" width="7.85546875" style="73" bestFit="1" customWidth="1"/>
    <col min="7442" max="7442" width="7" style="73" customWidth="1"/>
    <col min="7443" max="7443" width="17.42578125" style="73" customWidth="1"/>
    <col min="7444" max="7444" width="7.140625" style="73" customWidth="1"/>
    <col min="7445" max="7445" width="9.5703125" style="73" customWidth="1"/>
    <col min="7446" max="7447" width="15.5703125" style="73" customWidth="1"/>
    <col min="7448" max="7448" width="1.85546875" style="73" customWidth="1"/>
    <col min="7449" max="7449" width="1.7109375" style="73" customWidth="1"/>
    <col min="7450" max="7450" width="1.85546875" style="73" customWidth="1"/>
    <col min="7451" max="7454" width="12.140625" style="73" customWidth="1"/>
    <col min="7455" max="7455" width="1.85546875" style="73" customWidth="1"/>
    <col min="7456" max="7457" width="1.42578125" style="73" customWidth="1"/>
    <col min="7458" max="7458" width="11.42578125" style="73"/>
    <col min="7459" max="7461" width="18.7109375" style="73" customWidth="1"/>
    <col min="7462" max="7680" width="11.42578125" style="73"/>
    <col min="7681" max="7681" width="0.140625" style="73" customWidth="1"/>
    <col min="7682" max="7682" width="2.7109375" style="73" customWidth="1"/>
    <col min="7683" max="7683" width="42.5703125" style="73" customWidth="1"/>
    <col min="7684" max="7684" width="12.85546875" style="73" customWidth="1"/>
    <col min="7685" max="7685" width="12.7109375" style="73" customWidth="1"/>
    <col min="7686" max="7686" width="15.42578125" style="73" customWidth="1"/>
    <col min="7687" max="7691" width="12.5703125" style="73" customWidth="1"/>
    <col min="7692" max="7693" width="11.28515625" style="73" bestFit="1" customWidth="1"/>
    <col min="7694" max="7694" width="11" style="73" bestFit="1" customWidth="1"/>
    <col min="7695" max="7695" width="10.85546875" style="73" bestFit="1" customWidth="1"/>
    <col min="7696" max="7696" width="11.28515625" style="73" bestFit="1" customWidth="1"/>
    <col min="7697" max="7697" width="7.85546875" style="73" bestFit="1" customWidth="1"/>
    <col min="7698" max="7698" width="7" style="73" customWidth="1"/>
    <col min="7699" max="7699" width="17.42578125" style="73" customWidth="1"/>
    <col min="7700" max="7700" width="7.140625" style="73" customWidth="1"/>
    <col min="7701" max="7701" width="9.5703125" style="73" customWidth="1"/>
    <col min="7702" max="7703" width="15.5703125" style="73" customWidth="1"/>
    <col min="7704" max="7704" width="1.85546875" style="73" customWidth="1"/>
    <col min="7705" max="7705" width="1.7109375" style="73" customWidth="1"/>
    <col min="7706" max="7706" width="1.85546875" style="73" customWidth="1"/>
    <col min="7707" max="7710" width="12.140625" style="73" customWidth="1"/>
    <col min="7711" max="7711" width="1.85546875" style="73" customWidth="1"/>
    <col min="7712" max="7713" width="1.42578125" style="73" customWidth="1"/>
    <col min="7714" max="7714" width="11.42578125" style="73"/>
    <col min="7715" max="7717" width="18.7109375" style="73" customWidth="1"/>
    <col min="7718" max="7936" width="11.42578125" style="73"/>
    <col min="7937" max="7937" width="0.140625" style="73" customWidth="1"/>
    <col min="7938" max="7938" width="2.7109375" style="73" customWidth="1"/>
    <col min="7939" max="7939" width="42.5703125" style="73" customWidth="1"/>
    <col min="7940" max="7940" width="12.85546875" style="73" customWidth="1"/>
    <col min="7941" max="7941" width="12.7109375" style="73" customWidth="1"/>
    <col min="7942" max="7942" width="15.42578125" style="73" customWidth="1"/>
    <col min="7943" max="7947" width="12.5703125" style="73" customWidth="1"/>
    <col min="7948" max="7949" width="11.28515625" style="73" bestFit="1" customWidth="1"/>
    <col min="7950" max="7950" width="11" style="73" bestFit="1" customWidth="1"/>
    <col min="7951" max="7951" width="10.85546875" style="73" bestFit="1" customWidth="1"/>
    <col min="7952" max="7952" width="11.28515625" style="73" bestFit="1" customWidth="1"/>
    <col min="7953" max="7953" width="7.85546875" style="73" bestFit="1" customWidth="1"/>
    <col min="7954" max="7954" width="7" style="73" customWidth="1"/>
    <col min="7955" max="7955" width="17.42578125" style="73" customWidth="1"/>
    <col min="7956" max="7956" width="7.140625" style="73" customWidth="1"/>
    <col min="7957" max="7957" width="9.5703125" style="73" customWidth="1"/>
    <col min="7958" max="7959" width="15.5703125" style="73" customWidth="1"/>
    <col min="7960" max="7960" width="1.85546875" style="73" customWidth="1"/>
    <col min="7961" max="7961" width="1.7109375" style="73" customWidth="1"/>
    <col min="7962" max="7962" width="1.85546875" style="73" customWidth="1"/>
    <col min="7963" max="7966" width="12.140625" style="73" customWidth="1"/>
    <col min="7967" max="7967" width="1.85546875" style="73" customWidth="1"/>
    <col min="7968" max="7969" width="1.42578125" style="73" customWidth="1"/>
    <col min="7970" max="7970" width="11.42578125" style="73"/>
    <col min="7971" max="7973" width="18.7109375" style="73" customWidth="1"/>
    <col min="7974" max="8192" width="11.42578125" style="73"/>
    <col min="8193" max="8193" width="0.140625" style="73" customWidth="1"/>
    <col min="8194" max="8194" width="2.7109375" style="73" customWidth="1"/>
    <col min="8195" max="8195" width="42.5703125" style="73" customWidth="1"/>
    <col min="8196" max="8196" width="12.85546875" style="73" customWidth="1"/>
    <col min="8197" max="8197" width="12.7109375" style="73" customWidth="1"/>
    <col min="8198" max="8198" width="15.42578125" style="73" customWidth="1"/>
    <col min="8199" max="8203" width="12.5703125" style="73" customWidth="1"/>
    <col min="8204" max="8205" width="11.28515625" style="73" bestFit="1" customWidth="1"/>
    <col min="8206" max="8206" width="11" style="73" bestFit="1" customWidth="1"/>
    <col min="8207" max="8207" width="10.85546875" style="73" bestFit="1" customWidth="1"/>
    <col min="8208" max="8208" width="11.28515625" style="73" bestFit="1" customWidth="1"/>
    <col min="8209" max="8209" width="7.85546875" style="73" bestFit="1" customWidth="1"/>
    <col min="8210" max="8210" width="7" style="73" customWidth="1"/>
    <col min="8211" max="8211" width="17.42578125" style="73" customWidth="1"/>
    <col min="8212" max="8212" width="7.140625" style="73" customWidth="1"/>
    <col min="8213" max="8213" width="9.5703125" style="73" customWidth="1"/>
    <col min="8214" max="8215" width="15.5703125" style="73" customWidth="1"/>
    <col min="8216" max="8216" width="1.85546875" style="73" customWidth="1"/>
    <col min="8217" max="8217" width="1.7109375" style="73" customWidth="1"/>
    <col min="8218" max="8218" width="1.85546875" style="73" customWidth="1"/>
    <col min="8219" max="8222" width="12.140625" style="73" customWidth="1"/>
    <col min="8223" max="8223" width="1.85546875" style="73" customWidth="1"/>
    <col min="8224" max="8225" width="1.42578125" style="73" customWidth="1"/>
    <col min="8226" max="8226" width="11.42578125" style="73"/>
    <col min="8227" max="8229" width="18.7109375" style="73" customWidth="1"/>
    <col min="8230" max="8448" width="11.42578125" style="73"/>
    <col min="8449" max="8449" width="0.140625" style="73" customWidth="1"/>
    <col min="8450" max="8450" width="2.7109375" style="73" customWidth="1"/>
    <col min="8451" max="8451" width="42.5703125" style="73" customWidth="1"/>
    <col min="8452" max="8452" width="12.85546875" style="73" customWidth="1"/>
    <col min="8453" max="8453" width="12.7109375" style="73" customWidth="1"/>
    <col min="8454" max="8454" width="15.42578125" style="73" customWidth="1"/>
    <col min="8455" max="8459" width="12.5703125" style="73" customWidth="1"/>
    <col min="8460" max="8461" width="11.28515625" style="73" bestFit="1" customWidth="1"/>
    <col min="8462" max="8462" width="11" style="73" bestFit="1" customWidth="1"/>
    <col min="8463" max="8463" width="10.85546875" style="73" bestFit="1" customWidth="1"/>
    <col min="8464" max="8464" width="11.28515625" style="73" bestFit="1" customWidth="1"/>
    <col min="8465" max="8465" width="7.85546875" style="73" bestFit="1" customWidth="1"/>
    <col min="8466" max="8466" width="7" style="73" customWidth="1"/>
    <col min="8467" max="8467" width="17.42578125" style="73" customWidth="1"/>
    <col min="8468" max="8468" width="7.140625" style="73" customWidth="1"/>
    <col min="8469" max="8469" width="9.5703125" style="73" customWidth="1"/>
    <col min="8470" max="8471" width="15.5703125" style="73" customWidth="1"/>
    <col min="8472" max="8472" width="1.85546875" style="73" customWidth="1"/>
    <col min="8473" max="8473" width="1.7109375" style="73" customWidth="1"/>
    <col min="8474" max="8474" width="1.85546875" style="73" customWidth="1"/>
    <col min="8475" max="8478" width="12.140625" style="73" customWidth="1"/>
    <col min="8479" max="8479" width="1.85546875" style="73" customWidth="1"/>
    <col min="8480" max="8481" width="1.42578125" style="73" customWidth="1"/>
    <col min="8482" max="8482" width="11.42578125" style="73"/>
    <col min="8483" max="8485" width="18.7109375" style="73" customWidth="1"/>
    <col min="8486" max="8704" width="11.42578125" style="73"/>
    <col min="8705" max="8705" width="0.140625" style="73" customWidth="1"/>
    <col min="8706" max="8706" width="2.7109375" style="73" customWidth="1"/>
    <col min="8707" max="8707" width="42.5703125" style="73" customWidth="1"/>
    <col min="8708" max="8708" width="12.85546875" style="73" customWidth="1"/>
    <col min="8709" max="8709" width="12.7109375" style="73" customWidth="1"/>
    <col min="8710" max="8710" width="15.42578125" style="73" customWidth="1"/>
    <col min="8711" max="8715" width="12.5703125" style="73" customWidth="1"/>
    <col min="8716" max="8717" width="11.28515625" style="73" bestFit="1" customWidth="1"/>
    <col min="8718" max="8718" width="11" style="73" bestFit="1" customWidth="1"/>
    <col min="8719" max="8719" width="10.85546875" style="73" bestFit="1" customWidth="1"/>
    <col min="8720" max="8720" width="11.28515625" style="73" bestFit="1" customWidth="1"/>
    <col min="8721" max="8721" width="7.85546875" style="73" bestFit="1" customWidth="1"/>
    <col min="8722" max="8722" width="7" style="73" customWidth="1"/>
    <col min="8723" max="8723" width="17.42578125" style="73" customWidth="1"/>
    <col min="8724" max="8724" width="7.140625" style="73" customWidth="1"/>
    <col min="8725" max="8725" width="9.5703125" style="73" customWidth="1"/>
    <col min="8726" max="8727" width="15.5703125" style="73" customWidth="1"/>
    <col min="8728" max="8728" width="1.85546875" style="73" customWidth="1"/>
    <col min="8729" max="8729" width="1.7109375" style="73" customWidth="1"/>
    <col min="8730" max="8730" width="1.85546875" style="73" customWidth="1"/>
    <col min="8731" max="8734" width="12.140625" style="73" customWidth="1"/>
    <col min="8735" max="8735" width="1.85546875" style="73" customWidth="1"/>
    <col min="8736" max="8737" width="1.42578125" style="73" customWidth="1"/>
    <col min="8738" max="8738" width="11.42578125" style="73"/>
    <col min="8739" max="8741" width="18.7109375" style="73" customWidth="1"/>
    <col min="8742" max="8960" width="11.42578125" style="73"/>
    <col min="8961" max="8961" width="0.140625" style="73" customWidth="1"/>
    <col min="8962" max="8962" width="2.7109375" style="73" customWidth="1"/>
    <col min="8963" max="8963" width="42.5703125" style="73" customWidth="1"/>
    <col min="8964" max="8964" width="12.85546875" style="73" customWidth="1"/>
    <col min="8965" max="8965" width="12.7109375" style="73" customWidth="1"/>
    <col min="8966" max="8966" width="15.42578125" style="73" customWidth="1"/>
    <col min="8967" max="8971" width="12.5703125" style="73" customWidth="1"/>
    <col min="8972" max="8973" width="11.28515625" style="73" bestFit="1" customWidth="1"/>
    <col min="8974" max="8974" width="11" style="73" bestFit="1" customWidth="1"/>
    <col min="8975" max="8975" width="10.85546875" style="73" bestFit="1" customWidth="1"/>
    <col min="8976" max="8976" width="11.28515625" style="73" bestFit="1" customWidth="1"/>
    <col min="8977" max="8977" width="7.85546875" style="73" bestFit="1" customWidth="1"/>
    <col min="8978" max="8978" width="7" style="73" customWidth="1"/>
    <col min="8979" max="8979" width="17.42578125" style="73" customWidth="1"/>
    <col min="8980" max="8980" width="7.140625" style="73" customWidth="1"/>
    <col min="8981" max="8981" width="9.5703125" style="73" customWidth="1"/>
    <col min="8982" max="8983" width="15.5703125" style="73" customWidth="1"/>
    <col min="8984" max="8984" width="1.85546875" style="73" customWidth="1"/>
    <col min="8985" max="8985" width="1.7109375" style="73" customWidth="1"/>
    <col min="8986" max="8986" width="1.85546875" style="73" customWidth="1"/>
    <col min="8987" max="8990" width="12.140625" style="73" customWidth="1"/>
    <col min="8991" max="8991" width="1.85546875" style="73" customWidth="1"/>
    <col min="8992" max="8993" width="1.42578125" style="73" customWidth="1"/>
    <col min="8994" max="8994" width="11.42578125" style="73"/>
    <col min="8995" max="8997" width="18.7109375" style="73" customWidth="1"/>
    <col min="8998" max="9216" width="11.42578125" style="73"/>
    <col min="9217" max="9217" width="0.140625" style="73" customWidth="1"/>
    <col min="9218" max="9218" width="2.7109375" style="73" customWidth="1"/>
    <col min="9219" max="9219" width="42.5703125" style="73" customWidth="1"/>
    <col min="9220" max="9220" width="12.85546875" style="73" customWidth="1"/>
    <col min="9221" max="9221" width="12.7109375" style="73" customWidth="1"/>
    <col min="9222" max="9222" width="15.42578125" style="73" customWidth="1"/>
    <col min="9223" max="9227" width="12.5703125" style="73" customWidth="1"/>
    <col min="9228" max="9229" width="11.28515625" style="73" bestFit="1" customWidth="1"/>
    <col min="9230" max="9230" width="11" style="73" bestFit="1" customWidth="1"/>
    <col min="9231" max="9231" width="10.85546875" style="73" bestFit="1" customWidth="1"/>
    <col min="9232" max="9232" width="11.28515625" style="73" bestFit="1" customWidth="1"/>
    <col min="9233" max="9233" width="7.85546875" style="73" bestFit="1" customWidth="1"/>
    <col min="9234" max="9234" width="7" style="73" customWidth="1"/>
    <col min="9235" max="9235" width="17.42578125" style="73" customWidth="1"/>
    <col min="9236" max="9236" width="7.140625" style="73" customWidth="1"/>
    <col min="9237" max="9237" width="9.5703125" style="73" customWidth="1"/>
    <col min="9238" max="9239" width="15.5703125" style="73" customWidth="1"/>
    <col min="9240" max="9240" width="1.85546875" style="73" customWidth="1"/>
    <col min="9241" max="9241" width="1.7109375" style="73" customWidth="1"/>
    <col min="9242" max="9242" width="1.85546875" style="73" customWidth="1"/>
    <col min="9243" max="9246" width="12.140625" style="73" customWidth="1"/>
    <col min="9247" max="9247" width="1.85546875" style="73" customWidth="1"/>
    <col min="9248" max="9249" width="1.42578125" style="73" customWidth="1"/>
    <col min="9250" max="9250" width="11.42578125" style="73"/>
    <col min="9251" max="9253" width="18.7109375" style="73" customWidth="1"/>
    <col min="9254" max="9472" width="11.42578125" style="73"/>
    <col min="9473" max="9473" width="0.140625" style="73" customWidth="1"/>
    <col min="9474" max="9474" width="2.7109375" style="73" customWidth="1"/>
    <col min="9475" max="9475" width="42.5703125" style="73" customWidth="1"/>
    <col min="9476" max="9476" width="12.85546875" style="73" customWidth="1"/>
    <col min="9477" max="9477" width="12.7109375" style="73" customWidth="1"/>
    <col min="9478" max="9478" width="15.42578125" style="73" customWidth="1"/>
    <col min="9479" max="9483" width="12.5703125" style="73" customWidth="1"/>
    <col min="9484" max="9485" width="11.28515625" style="73" bestFit="1" customWidth="1"/>
    <col min="9486" max="9486" width="11" style="73" bestFit="1" customWidth="1"/>
    <col min="9487" max="9487" width="10.85546875" style="73" bestFit="1" customWidth="1"/>
    <col min="9488" max="9488" width="11.28515625" style="73" bestFit="1" customWidth="1"/>
    <col min="9489" max="9489" width="7.85546875" style="73" bestFit="1" customWidth="1"/>
    <col min="9490" max="9490" width="7" style="73" customWidth="1"/>
    <col min="9491" max="9491" width="17.42578125" style="73" customWidth="1"/>
    <col min="9492" max="9492" width="7.140625" style="73" customWidth="1"/>
    <col min="9493" max="9493" width="9.5703125" style="73" customWidth="1"/>
    <col min="9494" max="9495" width="15.5703125" style="73" customWidth="1"/>
    <col min="9496" max="9496" width="1.85546875" style="73" customWidth="1"/>
    <col min="9497" max="9497" width="1.7109375" style="73" customWidth="1"/>
    <col min="9498" max="9498" width="1.85546875" style="73" customWidth="1"/>
    <col min="9499" max="9502" width="12.140625" style="73" customWidth="1"/>
    <col min="9503" max="9503" width="1.85546875" style="73" customWidth="1"/>
    <col min="9504" max="9505" width="1.42578125" style="73" customWidth="1"/>
    <col min="9506" max="9506" width="11.42578125" style="73"/>
    <col min="9507" max="9509" width="18.7109375" style="73" customWidth="1"/>
    <col min="9510" max="9728" width="11.42578125" style="73"/>
    <col min="9729" max="9729" width="0.140625" style="73" customWidth="1"/>
    <col min="9730" max="9730" width="2.7109375" style="73" customWidth="1"/>
    <col min="9731" max="9731" width="42.5703125" style="73" customWidth="1"/>
    <col min="9732" max="9732" width="12.85546875" style="73" customWidth="1"/>
    <col min="9733" max="9733" width="12.7109375" style="73" customWidth="1"/>
    <col min="9734" max="9734" width="15.42578125" style="73" customWidth="1"/>
    <col min="9735" max="9739" width="12.5703125" style="73" customWidth="1"/>
    <col min="9740" max="9741" width="11.28515625" style="73" bestFit="1" customWidth="1"/>
    <col min="9742" max="9742" width="11" style="73" bestFit="1" customWidth="1"/>
    <col min="9743" max="9743" width="10.85546875" style="73" bestFit="1" customWidth="1"/>
    <col min="9744" max="9744" width="11.28515625" style="73" bestFit="1" customWidth="1"/>
    <col min="9745" max="9745" width="7.85546875" style="73" bestFit="1" customWidth="1"/>
    <col min="9746" max="9746" width="7" style="73" customWidth="1"/>
    <col min="9747" max="9747" width="17.42578125" style="73" customWidth="1"/>
    <col min="9748" max="9748" width="7.140625" style="73" customWidth="1"/>
    <col min="9749" max="9749" width="9.5703125" style="73" customWidth="1"/>
    <col min="9750" max="9751" width="15.5703125" style="73" customWidth="1"/>
    <col min="9752" max="9752" width="1.85546875" style="73" customWidth="1"/>
    <col min="9753" max="9753" width="1.7109375" style="73" customWidth="1"/>
    <col min="9754" max="9754" width="1.85546875" style="73" customWidth="1"/>
    <col min="9755" max="9758" width="12.140625" style="73" customWidth="1"/>
    <col min="9759" max="9759" width="1.85546875" style="73" customWidth="1"/>
    <col min="9760" max="9761" width="1.42578125" style="73" customWidth="1"/>
    <col min="9762" max="9762" width="11.42578125" style="73"/>
    <col min="9763" max="9765" width="18.7109375" style="73" customWidth="1"/>
    <col min="9766" max="9984" width="11.42578125" style="73"/>
    <col min="9985" max="9985" width="0.140625" style="73" customWidth="1"/>
    <col min="9986" max="9986" width="2.7109375" style="73" customWidth="1"/>
    <col min="9987" max="9987" width="42.5703125" style="73" customWidth="1"/>
    <col min="9988" max="9988" width="12.85546875" style="73" customWidth="1"/>
    <col min="9989" max="9989" width="12.7109375" style="73" customWidth="1"/>
    <col min="9990" max="9990" width="15.42578125" style="73" customWidth="1"/>
    <col min="9991" max="9995" width="12.5703125" style="73" customWidth="1"/>
    <col min="9996" max="9997" width="11.28515625" style="73" bestFit="1" customWidth="1"/>
    <col min="9998" max="9998" width="11" style="73" bestFit="1" customWidth="1"/>
    <col min="9999" max="9999" width="10.85546875" style="73" bestFit="1" customWidth="1"/>
    <col min="10000" max="10000" width="11.28515625" style="73" bestFit="1" customWidth="1"/>
    <col min="10001" max="10001" width="7.85546875" style="73" bestFit="1" customWidth="1"/>
    <col min="10002" max="10002" width="7" style="73" customWidth="1"/>
    <col min="10003" max="10003" width="17.42578125" style="73" customWidth="1"/>
    <col min="10004" max="10004" width="7.140625" style="73" customWidth="1"/>
    <col min="10005" max="10005" width="9.5703125" style="73" customWidth="1"/>
    <col min="10006" max="10007" width="15.5703125" style="73" customWidth="1"/>
    <col min="10008" max="10008" width="1.85546875" style="73" customWidth="1"/>
    <col min="10009" max="10009" width="1.7109375" style="73" customWidth="1"/>
    <col min="10010" max="10010" width="1.85546875" style="73" customWidth="1"/>
    <col min="10011" max="10014" width="12.140625" style="73" customWidth="1"/>
    <col min="10015" max="10015" width="1.85546875" style="73" customWidth="1"/>
    <col min="10016" max="10017" width="1.42578125" style="73" customWidth="1"/>
    <col min="10018" max="10018" width="11.42578125" style="73"/>
    <col min="10019" max="10021" width="18.7109375" style="73" customWidth="1"/>
    <col min="10022" max="10240" width="11.42578125" style="73"/>
    <col min="10241" max="10241" width="0.140625" style="73" customWidth="1"/>
    <col min="10242" max="10242" width="2.7109375" style="73" customWidth="1"/>
    <col min="10243" max="10243" width="42.5703125" style="73" customWidth="1"/>
    <col min="10244" max="10244" width="12.85546875" style="73" customWidth="1"/>
    <col min="10245" max="10245" width="12.7109375" style="73" customWidth="1"/>
    <col min="10246" max="10246" width="15.42578125" style="73" customWidth="1"/>
    <col min="10247" max="10251" width="12.5703125" style="73" customWidth="1"/>
    <col min="10252" max="10253" width="11.28515625" style="73" bestFit="1" customWidth="1"/>
    <col min="10254" max="10254" width="11" style="73" bestFit="1" customWidth="1"/>
    <col min="10255" max="10255" width="10.85546875" style="73" bestFit="1" customWidth="1"/>
    <col min="10256" max="10256" width="11.28515625" style="73" bestFit="1" customWidth="1"/>
    <col min="10257" max="10257" width="7.85546875" style="73" bestFit="1" customWidth="1"/>
    <col min="10258" max="10258" width="7" style="73" customWidth="1"/>
    <col min="10259" max="10259" width="17.42578125" style="73" customWidth="1"/>
    <col min="10260" max="10260" width="7.140625" style="73" customWidth="1"/>
    <col min="10261" max="10261" width="9.5703125" style="73" customWidth="1"/>
    <col min="10262" max="10263" width="15.5703125" style="73" customWidth="1"/>
    <col min="10264" max="10264" width="1.85546875" style="73" customWidth="1"/>
    <col min="10265" max="10265" width="1.7109375" style="73" customWidth="1"/>
    <col min="10266" max="10266" width="1.85546875" style="73" customWidth="1"/>
    <col min="10267" max="10270" width="12.140625" style="73" customWidth="1"/>
    <col min="10271" max="10271" width="1.85546875" style="73" customWidth="1"/>
    <col min="10272" max="10273" width="1.42578125" style="73" customWidth="1"/>
    <col min="10274" max="10274" width="11.42578125" style="73"/>
    <col min="10275" max="10277" width="18.7109375" style="73" customWidth="1"/>
    <col min="10278" max="10496" width="11.42578125" style="73"/>
    <col min="10497" max="10497" width="0.140625" style="73" customWidth="1"/>
    <col min="10498" max="10498" width="2.7109375" style="73" customWidth="1"/>
    <col min="10499" max="10499" width="42.5703125" style="73" customWidth="1"/>
    <col min="10500" max="10500" width="12.85546875" style="73" customWidth="1"/>
    <col min="10501" max="10501" width="12.7109375" style="73" customWidth="1"/>
    <col min="10502" max="10502" width="15.42578125" style="73" customWidth="1"/>
    <col min="10503" max="10507" width="12.5703125" style="73" customWidth="1"/>
    <col min="10508" max="10509" width="11.28515625" style="73" bestFit="1" customWidth="1"/>
    <col min="10510" max="10510" width="11" style="73" bestFit="1" customWidth="1"/>
    <col min="10511" max="10511" width="10.85546875" style="73" bestFit="1" customWidth="1"/>
    <col min="10512" max="10512" width="11.28515625" style="73" bestFit="1" customWidth="1"/>
    <col min="10513" max="10513" width="7.85546875" style="73" bestFit="1" customWidth="1"/>
    <col min="10514" max="10514" width="7" style="73" customWidth="1"/>
    <col min="10515" max="10515" width="17.42578125" style="73" customWidth="1"/>
    <col min="10516" max="10516" width="7.140625" style="73" customWidth="1"/>
    <col min="10517" max="10517" width="9.5703125" style="73" customWidth="1"/>
    <col min="10518" max="10519" width="15.5703125" style="73" customWidth="1"/>
    <col min="10520" max="10520" width="1.85546875" style="73" customWidth="1"/>
    <col min="10521" max="10521" width="1.7109375" style="73" customWidth="1"/>
    <col min="10522" max="10522" width="1.85546875" style="73" customWidth="1"/>
    <col min="10523" max="10526" width="12.140625" style="73" customWidth="1"/>
    <col min="10527" max="10527" width="1.85546875" style="73" customWidth="1"/>
    <col min="10528" max="10529" width="1.42578125" style="73" customWidth="1"/>
    <col min="10530" max="10530" width="11.42578125" style="73"/>
    <col min="10531" max="10533" width="18.7109375" style="73" customWidth="1"/>
    <col min="10534" max="10752" width="11.42578125" style="73"/>
    <col min="10753" max="10753" width="0.140625" style="73" customWidth="1"/>
    <col min="10754" max="10754" width="2.7109375" style="73" customWidth="1"/>
    <col min="10755" max="10755" width="42.5703125" style="73" customWidth="1"/>
    <col min="10756" max="10756" width="12.85546875" style="73" customWidth="1"/>
    <col min="10757" max="10757" width="12.7109375" style="73" customWidth="1"/>
    <col min="10758" max="10758" width="15.42578125" style="73" customWidth="1"/>
    <col min="10759" max="10763" width="12.5703125" style="73" customWidth="1"/>
    <col min="10764" max="10765" width="11.28515625" style="73" bestFit="1" customWidth="1"/>
    <col min="10766" max="10766" width="11" style="73" bestFit="1" customWidth="1"/>
    <col min="10767" max="10767" width="10.85546875" style="73" bestFit="1" customWidth="1"/>
    <col min="10768" max="10768" width="11.28515625" style="73" bestFit="1" customWidth="1"/>
    <col min="10769" max="10769" width="7.85546875" style="73" bestFit="1" customWidth="1"/>
    <col min="10770" max="10770" width="7" style="73" customWidth="1"/>
    <col min="10771" max="10771" width="17.42578125" style="73" customWidth="1"/>
    <col min="10772" max="10772" width="7.140625" style="73" customWidth="1"/>
    <col min="10773" max="10773" width="9.5703125" style="73" customWidth="1"/>
    <col min="10774" max="10775" width="15.5703125" style="73" customWidth="1"/>
    <col min="10776" max="10776" width="1.85546875" style="73" customWidth="1"/>
    <col min="10777" max="10777" width="1.7109375" style="73" customWidth="1"/>
    <col min="10778" max="10778" width="1.85546875" style="73" customWidth="1"/>
    <col min="10779" max="10782" width="12.140625" style="73" customWidth="1"/>
    <col min="10783" max="10783" width="1.85546875" style="73" customWidth="1"/>
    <col min="10784" max="10785" width="1.42578125" style="73" customWidth="1"/>
    <col min="10786" max="10786" width="11.42578125" style="73"/>
    <col min="10787" max="10789" width="18.7109375" style="73" customWidth="1"/>
    <col min="10790" max="11008" width="11.42578125" style="73"/>
    <col min="11009" max="11009" width="0.140625" style="73" customWidth="1"/>
    <col min="11010" max="11010" width="2.7109375" style="73" customWidth="1"/>
    <col min="11011" max="11011" width="42.5703125" style="73" customWidth="1"/>
    <col min="11012" max="11012" width="12.85546875" style="73" customWidth="1"/>
    <col min="11013" max="11013" width="12.7109375" style="73" customWidth="1"/>
    <col min="11014" max="11014" width="15.42578125" style="73" customWidth="1"/>
    <col min="11015" max="11019" width="12.5703125" style="73" customWidth="1"/>
    <col min="11020" max="11021" width="11.28515625" style="73" bestFit="1" customWidth="1"/>
    <col min="11022" max="11022" width="11" style="73" bestFit="1" customWidth="1"/>
    <col min="11023" max="11023" width="10.85546875" style="73" bestFit="1" customWidth="1"/>
    <col min="11024" max="11024" width="11.28515625" style="73" bestFit="1" customWidth="1"/>
    <col min="11025" max="11025" width="7.85546875" style="73" bestFit="1" customWidth="1"/>
    <col min="11026" max="11026" width="7" style="73" customWidth="1"/>
    <col min="11027" max="11027" width="17.42578125" style="73" customWidth="1"/>
    <col min="11028" max="11028" width="7.140625" style="73" customWidth="1"/>
    <col min="11029" max="11029" width="9.5703125" style="73" customWidth="1"/>
    <col min="11030" max="11031" width="15.5703125" style="73" customWidth="1"/>
    <col min="11032" max="11032" width="1.85546875" style="73" customWidth="1"/>
    <col min="11033" max="11033" width="1.7109375" style="73" customWidth="1"/>
    <col min="11034" max="11034" width="1.85546875" style="73" customWidth="1"/>
    <col min="11035" max="11038" width="12.140625" style="73" customWidth="1"/>
    <col min="11039" max="11039" width="1.85546875" style="73" customWidth="1"/>
    <col min="11040" max="11041" width="1.42578125" style="73" customWidth="1"/>
    <col min="11042" max="11042" width="11.42578125" style="73"/>
    <col min="11043" max="11045" width="18.7109375" style="73" customWidth="1"/>
    <col min="11046" max="11264" width="11.42578125" style="73"/>
    <col min="11265" max="11265" width="0.140625" style="73" customWidth="1"/>
    <col min="11266" max="11266" width="2.7109375" style="73" customWidth="1"/>
    <col min="11267" max="11267" width="42.5703125" style="73" customWidth="1"/>
    <col min="11268" max="11268" width="12.85546875" style="73" customWidth="1"/>
    <col min="11269" max="11269" width="12.7109375" style="73" customWidth="1"/>
    <col min="11270" max="11270" width="15.42578125" style="73" customWidth="1"/>
    <col min="11271" max="11275" width="12.5703125" style="73" customWidth="1"/>
    <col min="11276" max="11277" width="11.28515625" style="73" bestFit="1" customWidth="1"/>
    <col min="11278" max="11278" width="11" style="73" bestFit="1" customWidth="1"/>
    <col min="11279" max="11279" width="10.85546875" style="73" bestFit="1" customWidth="1"/>
    <col min="11280" max="11280" width="11.28515625" style="73" bestFit="1" customWidth="1"/>
    <col min="11281" max="11281" width="7.85546875" style="73" bestFit="1" customWidth="1"/>
    <col min="11282" max="11282" width="7" style="73" customWidth="1"/>
    <col min="11283" max="11283" width="17.42578125" style="73" customWidth="1"/>
    <col min="11284" max="11284" width="7.140625" style="73" customWidth="1"/>
    <col min="11285" max="11285" width="9.5703125" style="73" customWidth="1"/>
    <col min="11286" max="11287" width="15.5703125" style="73" customWidth="1"/>
    <col min="11288" max="11288" width="1.85546875" style="73" customWidth="1"/>
    <col min="11289" max="11289" width="1.7109375" style="73" customWidth="1"/>
    <col min="11290" max="11290" width="1.85546875" style="73" customWidth="1"/>
    <col min="11291" max="11294" width="12.140625" style="73" customWidth="1"/>
    <col min="11295" max="11295" width="1.85546875" style="73" customWidth="1"/>
    <col min="11296" max="11297" width="1.42578125" style="73" customWidth="1"/>
    <col min="11298" max="11298" width="11.42578125" style="73"/>
    <col min="11299" max="11301" width="18.7109375" style="73" customWidth="1"/>
    <col min="11302" max="11520" width="11.42578125" style="73"/>
    <col min="11521" max="11521" width="0.140625" style="73" customWidth="1"/>
    <col min="11522" max="11522" width="2.7109375" style="73" customWidth="1"/>
    <col min="11523" max="11523" width="42.5703125" style="73" customWidth="1"/>
    <col min="11524" max="11524" width="12.85546875" style="73" customWidth="1"/>
    <col min="11525" max="11525" width="12.7109375" style="73" customWidth="1"/>
    <col min="11526" max="11526" width="15.42578125" style="73" customWidth="1"/>
    <col min="11527" max="11531" width="12.5703125" style="73" customWidth="1"/>
    <col min="11532" max="11533" width="11.28515625" style="73" bestFit="1" customWidth="1"/>
    <col min="11534" max="11534" width="11" style="73" bestFit="1" customWidth="1"/>
    <col min="11535" max="11535" width="10.85546875" style="73" bestFit="1" customWidth="1"/>
    <col min="11536" max="11536" width="11.28515625" style="73" bestFit="1" customWidth="1"/>
    <col min="11537" max="11537" width="7.85546875" style="73" bestFit="1" customWidth="1"/>
    <col min="11538" max="11538" width="7" style="73" customWidth="1"/>
    <col min="11539" max="11539" width="17.42578125" style="73" customWidth="1"/>
    <col min="11540" max="11540" width="7.140625" style="73" customWidth="1"/>
    <col min="11541" max="11541" width="9.5703125" style="73" customWidth="1"/>
    <col min="11542" max="11543" width="15.5703125" style="73" customWidth="1"/>
    <col min="11544" max="11544" width="1.85546875" style="73" customWidth="1"/>
    <col min="11545" max="11545" width="1.7109375" style="73" customWidth="1"/>
    <col min="11546" max="11546" width="1.85546875" style="73" customWidth="1"/>
    <col min="11547" max="11550" width="12.140625" style="73" customWidth="1"/>
    <col min="11551" max="11551" width="1.85546875" style="73" customWidth="1"/>
    <col min="11552" max="11553" width="1.42578125" style="73" customWidth="1"/>
    <col min="11554" max="11554" width="11.42578125" style="73"/>
    <col min="11555" max="11557" width="18.7109375" style="73" customWidth="1"/>
    <col min="11558" max="11776" width="11.42578125" style="73"/>
    <col min="11777" max="11777" width="0.140625" style="73" customWidth="1"/>
    <col min="11778" max="11778" width="2.7109375" style="73" customWidth="1"/>
    <col min="11779" max="11779" width="42.5703125" style="73" customWidth="1"/>
    <col min="11780" max="11780" width="12.85546875" style="73" customWidth="1"/>
    <col min="11781" max="11781" width="12.7109375" style="73" customWidth="1"/>
    <col min="11782" max="11782" width="15.42578125" style="73" customWidth="1"/>
    <col min="11783" max="11787" width="12.5703125" style="73" customWidth="1"/>
    <col min="11788" max="11789" width="11.28515625" style="73" bestFit="1" customWidth="1"/>
    <col min="11790" max="11790" width="11" style="73" bestFit="1" customWidth="1"/>
    <col min="11791" max="11791" width="10.85546875" style="73" bestFit="1" customWidth="1"/>
    <col min="11792" max="11792" width="11.28515625" style="73" bestFit="1" customWidth="1"/>
    <col min="11793" max="11793" width="7.85546875" style="73" bestFit="1" customWidth="1"/>
    <col min="11794" max="11794" width="7" style="73" customWidth="1"/>
    <col min="11795" max="11795" width="17.42578125" style="73" customWidth="1"/>
    <col min="11796" max="11796" width="7.140625" style="73" customWidth="1"/>
    <col min="11797" max="11797" width="9.5703125" style="73" customWidth="1"/>
    <col min="11798" max="11799" width="15.5703125" style="73" customWidth="1"/>
    <col min="11800" max="11800" width="1.85546875" style="73" customWidth="1"/>
    <col min="11801" max="11801" width="1.7109375" style="73" customWidth="1"/>
    <col min="11802" max="11802" width="1.85546875" style="73" customWidth="1"/>
    <col min="11803" max="11806" width="12.140625" style="73" customWidth="1"/>
    <col min="11807" max="11807" width="1.85546875" style="73" customWidth="1"/>
    <col min="11808" max="11809" width="1.42578125" style="73" customWidth="1"/>
    <col min="11810" max="11810" width="11.42578125" style="73"/>
    <col min="11811" max="11813" width="18.7109375" style="73" customWidth="1"/>
    <col min="11814" max="12032" width="11.42578125" style="73"/>
    <col min="12033" max="12033" width="0.140625" style="73" customWidth="1"/>
    <col min="12034" max="12034" width="2.7109375" style="73" customWidth="1"/>
    <col min="12035" max="12035" width="42.5703125" style="73" customWidth="1"/>
    <col min="12036" max="12036" width="12.85546875" style="73" customWidth="1"/>
    <col min="12037" max="12037" width="12.7109375" style="73" customWidth="1"/>
    <col min="12038" max="12038" width="15.42578125" style="73" customWidth="1"/>
    <col min="12039" max="12043" width="12.5703125" style="73" customWidth="1"/>
    <col min="12044" max="12045" width="11.28515625" style="73" bestFit="1" customWidth="1"/>
    <col min="12046" max="12046" width="11" style="73" bestFit="1" customWidth="1"/>
    <col min="12047" max="12047" width="10.85546875" style="73" bestFit="1" customWidth="1"/>
    <col min="12048" max="12048" width="11.28515625" style="73" bestFit="1" customWidth="1"/>
    <col min="12049" max="12049" width="7.85546875" style="73" bestFit="1" customWidth="1"/>
    <col min="12050" max="12050" width="7" style="73" customWidth="1"/>
    <col min="12051" max="12051" width="17.42578125" style="73" customWidth="1"/>
    <col min="12052" max="12052" width="7.140625" style="73" customWidth="1"/>
    <col min="12053" max="12053" width="9.5703125" style="73" customWidth="1"/>
    <col min="12054" max="12055" width="15.5703125" style="73" customWidth="1"/>
    <col min="12056" max="12056" width="1.85546875" style="73" customWidth="1"/>
    <col min="12057" max="12057" width="1.7109375" style="73" customWidth="1"/>
    <col min="12058" max="12058" width="1.85546875" style="73" customWidth="1"/>
    <col min="12059" max="12062" width="12.140625" style="73" customWidth="1"/>
    <col min="12063" max="12063" width="1.85546875" style="73" customWidth="1"/>
    <col min="12064" max="12065" width="1.42578125" style="73" customWidth="1"/>
    <col min="12066" max="12066" width="11.42578125" style="73"/>
    <col min="12067" max="12069" width="18.7109375" style="73" customWidth="1"/>
    <col min="12070" max="12288" width="11.42578125" style="73"/>
    <col min="12289" max="12289" width="0.140625" style="73" customWidth="1"/>
    <col min="12290" max="12290" width="2.7109375" style="73" customWidth="1"/>
    <col min="12291" max="12291" width="42.5703125" style="73" customWidth="1"/>
    <col min="12292" max="12292" width="12.85546875" style="73" customWidth="1"/>
    <col min="12293" max="12293" width="12.7109375" style="73" customWidth="1"/>
    <col min="12294" max="12294" width="15.42578125" style="73" customWidth="1"/>
    <col min="12295" max="12299" width="12.5703125" style="73" customWidth="1"/>
    <col min="12300" max="12301" width="11.28515625" style="73" bestFit="1" customWidth="1"/>
    <col min="12302" max="12302" width="11" style="73" bestFit="1" customWidth="1"/>
    <col min="12303" max="12303" width="10.85546875" style="73" bestFit="1" customWidth="1"/>
    <col min="12304" max="12304" width="11.28515625" style="73" bestFit="1" customWidth="1"/>
    <col min="12305" max="12305" width="7.85546875" style="73" bestFit="1" customWidth="1"/>
    <col min="12306" max="12306" width="7" style="73" customWidth="1"/>
    <col min="12307" max="12307" width="17.42578125" style="73" customWidth="1"/>
    <col min="12308" max="12308" width="7.140625" style="73" customWidth="1"/>
    <col min="12309" max="12309" width="9.5703125" style="73" customWidth="1"/>
    <col min="12310" max="12311" width="15.5703125" style="73" customWidth="1"/>
    <col min="12312" max="12312" width="1.85546875" style="73" customWidth="1"/>
    <col min="12313" max="12313" width="1.7109375" style="73" customWidth="1"/>
    <col min="12314" max="12314" width="1.85546875" style="73" customWidth="1"/>
    <col min="12315" max="12318" width="12.140625" style="73" customWidth="1"/>
    <col min="12319" max="12319" width="1.85546875" style="73" customWidth="1"/>
    <col min="12320" max="12321" width="1.42578125" style="73" customWidth="1"/>
    <col min="12322" max="12322" width="11.42578125" style="73"/>
    <col min="12323" max="12325" width="18.7109375" style="73" customWidth="1"/>
    <col min="12326" max="12544" width="11.42578125" style="73"/>
    <col min="12545" max="12545" width="0.140625" style="73" customWidth="1"/>
    <col min="12546" max="12546" width="2.7109375" style="73" customWidth="1"/>
    <col min="12547" max="12547" width="42.5703125" style="73" customWidth="1"/>
    <col min="12548" max="12548" width="12.85546875" style="73" customWidth="1"/>
    <col min="12549" max="12549" width="12.7109375" style="73" customWidth="1"/>
    <col min="12550" max="12550" width="15.42578125" style="73" customWidth="1"/>
    <col min="12551" max="12555" width="12.5703125" style="73" customWidth="1"/>
    <col min="12556" max="12557" width="11.28515625" style="73" bestFit="1" customWidth="1"/>
    <col min="12558" max="12558" width="11" style="73" bestFit="1" customWidth="1"/>
    <col min="12559" max="12559" width="10.85546875" style="73" bestFit="1" customWidth="1"/>
    <col min="12560" max="12560" width="11.28515625" style="73" bestFit="1" customWidth="1"/>
    <col min="12561" max="12561" width="7.85546875" style="73" bestFit="1" customWidth="1"/>
    <col min="12562" max="12562" width="7" style="73" customWidth="1"/>
    <col min="12563" max="12563" width="17.42578125" style="73" customWidth="1"/>
    <col min="12564" max="12564" width="7.140625" style="73" customWidth="1"/>
    <col min="12565" max="12565" width="9.5703125" style="73" customWidth="1"/>
    <col min="12566" max="12567" width="15.5703125" style="73" customWidth="1"/>
    <col min="12568" max="12568" width="1.85546875" style="73" customWidth="1"/>
    <col min="12569" max="12569" width="1.7109375" style="73" customWidth="1"/>
    <col min="12570" max="12570" width="1.85546875" style="73" customWidth="1"/>
    <col min="12571" max="12574" width="12.140625" style="73" customWidth="1"/>
    <col min="12575" max="12575" width="1.85546875" style="73" customWidth="1"/>
    <col min="12576" max="12577" width="1.42578125" style="73" customWidth="1"/>
    <col min="12578" max="12578" width="11.42578125" style="73"/>
    <col min="12579" max="12581" width="18.7109375" style="73" customWidth="1"/>
    <col min="12582" max="12800" width="11.42578125" style="73"/>
    <col min="12801" max="12801" width="0.140625" style="73" customWidth="1"/>
    <col min="12802" max="12802" width="2.7109375" style="73" customWidth="1"/>
    <col min="12803" max="12803" width="42.5703125" style="73" customWidth="1"/>
    <col min="12804" max="12804" width="12.85546875" style="73" customWidth="1"/>
    <col min="12805" max="12805" width="12.7109375" style="73" customWidth="1"/>
    <col min="12806" max="12806" width="15.42578125" style="73" customWidth="1"/>
    <col min="12807" max="12811" width="12.5703125" style="73" customWidth="1"/>
    <col min="12812" max="12813" width="11.28515625" style="73" bestFit="1" customWidth="1"/>
    <col min="12814" max="12814" width="11" style="73" bestFit="1" customWidth="1"/>
    <col min="12815" max="12815" width="10.85546875" style="73" bestFit="1" customWidth="1"/>
    <col min="12816" max="12816" width="11.28515625" style="73" bestFit="1" customWidth="1"/>
    <col min="12817" max="12817" width="7.85546875" style="73" bestFit="1" customWidth="1"/>
    <col min="12818" max="12818" width="7" style="73" customWidth="1"/>
    <col min="12819" max="12819" width="17.42578125" style="73" customWidth="1"/>
    <col min="12820" max="12820" width="7.140625" style="73" customWidth="1"/>
    <col min="12821" max="12821" width="9.5703125" style="73" customWidth="1"/>
    <col min="12822" max="12823" width="15.5703125" style="73" customWidth="1"/>
    <col min="12824" max="12824" width="1.85546875" style="73" customWidth="1"/>
    <col min="12825" max="12825" width="1.7109375" style="73" customWidth="1"/>
    <col min="12826" max="12826" width="1.85546875" style="73" customWidth="1"/>
    <col min="12827" max="12830" width="12.140625" style="73" customWidth="1"/>
    <col min="12831" max="12831" width="1.85546875" style="73" customWidth="1"/>
    <col min="12832" max="12833" width="1.42578125" style="73" customWidth="1"/>
    <col min="12834" max="12834" width="11.42578125" style="73"/>
    <col min="12835" max="12837" width="18.7109375" style="73" customWidth="1"/>
    <col min="12838" max="13056" width="11.42578125" style="73"/>
    <col min="13057" max="13057" width="0.140625" style="73" customWidth="1"/>
    <col min="13058" max="13058" width="2.7109375" style="73" customWidth="1"/>
    <col min="13059" max="13059" width="42.5703125" style="73" customWidth="1"/>
    <col min="13060" max="13060" width="12.85546875" style="73" customWidth="1"/>
    <col min="13061" max="13061" width="12.7109375" style="73" customWidth="1"/>
    <col min="13062" max="13062" width="15.42578125" style="73" customWidth="1"/>
    <col min="13063" max="13067" width="12.5703125" style="73" customWidth="1"/>
    <col min="13068" max="13069" width="11.28515625" style="73" bestFit="1" customWidth="1"/>
    <col min="13070" max="13070" width="11" style="73" bestFit="1" customWidth="1"/>
    <col min="13071" max="13071" width="10.85546875" style="73" bestFit="1" customWidth="1"/>
    <col min="13072" max="13072" width="11.28515625" style="73" bestFit="1" customWidth="1"/>
    <col min="13073" max="13073" width="7.85546875" style="73" bestFit="1" customWidth="1"/>
    <col min="13074" max="13074" width="7" style="73" customWidth="1"/>
    <col min="13075" max="13075" width="17.42578125" style="73" customWidth="1"/>
    <col min="13076" max="13076" width="7.140625" style="73" customWidth="1"/>
    <col min="13077" max="13077" width="9.5703125" style="73" customWidth="1"/>
    <col min="13078" max="13079" width="15.5703125" style="73" customWidth="1"/>
    <col min="13080" max="13080" width="1.85546875" style="73" customWidth="1"/>
    <col min="13081" max="13081" width="1.7109375" style="73" customWidth="1"/>
    <col min="13082" max="13082" width="1.85546875" style="73" customWidth="1"/>
    <col min="13083" max="13086" width="12.140625" style="73" customWidth="1"/>
    <col min="13087" max="13087" width="1.85546875" style="73" customWidth="1"/>
    <col min="13088" max="13089" width="1.42578125" style="73" customWidth="1"/>
    <col min="13090" max="13090" width="11.42578125" style="73"/>
    <col min="13091" max="13093" width="18.7109375" style="73" customWidth="1"/>
    <col min="13094" max="13312" width="11.42578125" style="73"/>
    <col min="13313" max="13313" width="0.140625" style="73" customWidth="1"/>
    <col min="13314" max="13314" width="2.7109375" style="73" customWidth="1"/>
    <col min="13315" max="13315" width="42.5703125" style="73" customWidth="1"/>
    <col min="13316" max="13316" width="12.85546875" style="73" customWidth="1"/>
    <col min="13317" max="13317" width="12.7109375" style="73" customWidth="1"/>
    <col min="13318" max="13318" width="15.42578125" style="73" customWidth="1"/>
    <col min="13319" max="13323" width="12.5703125" style="73" customWidth="1"/>
    <col min="13324" max="13325" width="11.28515625" style="73" bestFit="1" customWidth="1"/>
    <col min="13326" max="13326" width="11" style="73" bestFit="1" customWidth="1"/>
    <col min="13327" max="13327" width="10.85546875" style="73" bestFit="1" customWidth="1"/>
    <col min="13328" max="13328" width="11.28515625" style="73" bestFit="1" customWidth="1"/>
    <col min="13329" max="13329" width="7.85546875" style="73" bestFit="1" customWidth="1"/>
    <col min="13330" max="13330" width="7" style="73" customWidth="1"/>
    <col min="13331" max="13331" width="17.42578125" style="73" customWidth="1"/>
    <col min="13332" max="13332" width="7.140625" style="73" customWidth="1"/>
    <col min="13333" max="13333" width="9.5703125" style="73" customWidth="1"/>
    <col min="13334" max="13335" width="15.5703125" style="73" customWidth="1"/>
    <col min="13336" max="13336" width="1.85546875" style="73" customWidth="1"/>
    <col min="13337" max="13337" width="1.7109375" style="73" customWidth="1"/>
    <col min="13338" max="13338" width="1.85546875" style="73" customWidth="1"/>
    <col min="13339" max="13342" width="12.140625" style="73" customWidth="1"/>
    <col min="13343" max="13343" width="1.85546875" style="73" customWidth="1"/>
    <col min="13344" max="13345" width="1.42578125" style="73" customWidth="1"/>
    <col min="13346" max="13346" width="11.42578125" style="73"/>
    <col min="13347" max="13349" width="18.7109375" style="73" customWidth="1"/>
    <col min="13350" max="13568" width="11.42578125" style="73"/>
    <col min="13569" max="13569" width="0.140625" style="73" customWidth="1"/>
    <col min="13570" max="13570" width="2.7109375" style="73" customWidth="1"/>
    <col min="13571" max="13571" width="42.5703125" style="73" customWidth="1"/>
    <col min="13572" max="13572" width="12.85546875" style="73" customWidth="1"/>
    <col min="13573" max="13573" width="12.7109375" style="73" customWidth="1"/>
    <col min="13574" max="13574" width="15.42578125" style="73" customWidth="1"/>
    <col min="13575" max="13579" width="12.5703125" style="73" customWidth="1"/>
    <col min="13580" max="13581" width="11.28515625" style="73" bestFit="1" customWidth="1"/>
    <col min="13582" max="13582" width="11" style="73" bestFit="1" customWidth="1"/>
    <col min="13583" max="13583" width="10.85546875" style="73" bestFit="1" customWidth="1"/>
    <col min="13584" max="13584" width="11.28515625" style="73" bestFit="1" customWidth="1"/>
    <col min="13585" max="13585" width="7.85546875" style="73" bestFit="1" customWidth="1"/>
    <col min="13586" max="13586" width="7" style="73" customWidth="1"/>
    <col min="13587" max="13587" width="17.42578125" style="73" customWidth="1"/>
    <col min="13588" max="13588" width="7.140625" style="73" customWidth="1"/>
    <col min="13589" max="13589" width="9.5703125" style="73" customWidth="1"/>
    <col min="13590" max="13591" width="15.5703125" style="73" customWidth="1"/>
    <col min="13592" max="13592" width="1.85546875" style="73" customWidth="1"/>
    <col min="13593" max="13593" width="1.7109375" style="73" customWidth="1"/>
    <col min="13594" max="13594" width="1.85546875" style="73" customWidth="1"/>
    <col min="13595" max="13598" width="12.140625" style="73" customWidth="1"/>
    <col min="13599" max="13599" width="1.85546875" style="73" customWidth="1"/>
    <col min="13600" max="13601" width="1.42578125" style="73" customWidth="1"/>
    <col min="13602" max="13602" width="11.42578125" style="73"/>
    <col min="13603" max="13605" width="18.7109375" style="73" customWidth="1"/>
    <col min="13606" max="13824" width="11.42578125" style="73"/>
    <col min="13825" max="13825" width="0.140625" style="73" customWidth="1"/>
    <col min="13826" max="13826" width="2.7109375" style="73" customWidth="1"/>
    <col min="13827" max="13827" width="42.5703125" style="73" customWidth="1"/>
    <col min="13828" max="13828" width="12.85546875" style="73" customWidth="1"/>
    <col min="13829" max="13829" width="12.7109375" style="73" customWidth="1"/>
    <col min="13830" max="13830" width="15.42578125" style="73" customWidth="1"/>
    <col min="13831" max="13835" width="12.5703125" style="73" customWidth="1"/>
    <col min="13836" max="13837" width="11.28515625" style="73" bestFit="1" customWidth="1"/>
    <col min="13838" max="13838" width="11" style="73" bestFit="1" customWidth="1"/>
    <col min="13839" max="13839" width="10.85546875" style="73" bestFit="1" customWidth="1"/>
    <col min="13840" max="13840" width="11.28515625" style="73" bestFit="1" customWidth="1"/>
    <col min="13841" max="13841" width="7.85546875" style="73" bestFit="1" customWidth="1"/>
    <col min="13842" max="13842" width="7" style="73" customWidth="1"/>
    <col min="13843" max="13843" width="17.42578125" style="73" customWidth="1"/>
    <col min="13844" max="13844" width="7.140625" style="73" customWidth="1"/>
    <col min="13845" max="13845" width="9.5703125" style="73" customWidth="1"/>
    <col min="13846" max="13847" width="15.5703125" style="73" customWidth="1"/>
    <col min="13848" max="13848" width="1.85546875" style="73" customWidth="1"/>
    <col min="13849" max="13849" width="1.7109375" style="73" customWidth="1"/>
    <col min="13850" max="13850" width="1.85546875" style="73" customWidth="1"/>
    <col min="13851" max="13854" width="12.140625" style="73" customWidth="1"/>
    <col min="13855" max="13855" width="1.85546875" style="73" customWidth="1"/>
    <col min="13856" max="13857" width="1.42578125" style="73" customWidth="1"/>
    <col min="13858" max="13858" width="11.42578125" style="73"/>
    <col min="13859" max="13861" width="18.7109375" style="73" customWidth="1"/>
    <col min="13862" max="14080" width="11.42578125" style="73"/>
    <col min="14081" max="14081" width="0.140625" style="73" customWidth="1"/>
    <col min="14082" max="14082" width="2.7109375" style="73" customWidth="1"/>
    <col min="14083" max="14083" width="42.5703125" style="73" customWidth="1"/>
    <col min="14084" max="14084" width="12.85546875" style="73" customWidth="1"/>
    <col min="14085" max="14085" width="12.7109375" style="73" customWidth="1"/>
    <col min="14086" max="14086" width="15.42578125" style="73" customWidth="1"/>
    <col min="14087" max="14091" width="12.5703125" style="73" customWidth="1"/>
    <col min="14092" max="14093" width="11.28515625" style="73" bestFit="1" customWidth="1"/>
    <col min="14094" max="14094" width="11" style="73" bestFit="1" customWidth="1"/>
    <col min="14095" max="14095" width="10.85546875" style="73" bestFit="1" customWidth="1"/>
    <col min="14096" max="14096" width="11.28515625" style="73" bestFit="1" customWidth="1"/>
    <col min="14097" max="14097" width="7.85546875" style="73" bestFit="1" customWidth="1"/>
    <col min="14098" max="14098" width="7" style="73" customWidth="1"/>
    <col min="14099" max="14099" width="17.42578125" style="73" customWidth="1"/>
    <col min="14100" max="14100" width="7.140625" style="73" customWidth="1"/>
    <col min="14101" max="14101" width="9.5703125" style="73" customWidth="1"/>
    <col min="14102" max="14103" width="15.5703125" style="73" customWidth="1"/>
    <col min="14104" max="14104" width="1.85546875" style="73" customWidth="1"/>
    <col min="14105" max="14105" width="1.7109375" style="73" customWidth="1"/>
    <col min="14106" max="14106" width="1.85546875" style="73" customWidth="1"/>
    <col min="14107" max="14110" width="12.140625" style="73" customWidth="1"/>
    <col min="14111" max="14111" width="1.85546875" style="73" customWidth="1"/>
    <col min="14112" max="14113" width="1.42578125" style="73" customWidth="1"/>
    <col min="14114" max="14114" width="11.42578125" style="73"/>
    <col min="14115" max="14117" width="18.7109375" style="73" customWidth="1"/>
    <col min="14118" max="14336" width="11.42578125" style="73"/>
    <col min="14337" max="14337" width="0.140625" style="73" customWidth="1"/>
    <col min="14338" max="14338" width="2.7109375" style="73" customWidth="1"/>
    <col min="14339" max="14339" width="42.5703125" style="73" customWidth="1"/>
    <col min="14340" max="14340" width="12.85546875" style="73" customWidth="1"/>
    <col min="14341" max="14341" width="12.7109375" style="73" customWidth="1"/>
    <col min="14342" max="14342" width="15.42578125" style="73" customWidth="1"/>
    <col min="14343" max="14347" width="12.5703125" style="73" customWidth="1"/>
    <col min="14348" max="14349" width="11.28515625" style="73" bestFit="1" customWidth="1"/>
    <col min="14350" max="14350" width="11" style="73" bestFit="1" customWidth="1"/>
    <col min="14351" max="14351" width="10.85546875" style="73" bestFit="1" customWidth="1"/>
    <col min="14352" max="14352" width="11.28515625" style="73" bestFit="1" customWidth="1"/>
    <col min="14353" max="14353" width="7.85546875" style="73" bestFit="1" customWidth="1"/>
    <col min="14354" max="14354" width="7" style="73" customWidth="1"/>
    <col min="14355" max="14355" width="17.42578125" style="73" customWidth="1"/>
    <col min="14356" max="14356" width="7.140625" style="73" customWidth="1"/>
    <col min="14357" max="14357" width="9.5703125" style="73" customWidth="1"/>
    <col min="14358" max="14359" width="15.5703125" style="73" customWidth="1"/>
    <col min="14360" max="14360" width="1.85546875" style="73" customWidth="1"/>
    <col min="14361" max="14361" width="1.7109375" style="73" customWidth="1"/>
    <col min="14362" max="14362" width="1.85546875" style="73" customWidth="1"/>
    <col min="14363" max="14366" width="12.140625" style="73" customWidth="1"/>
    <col min="14367" max="14367" width="1.85546875" style="73" customWidth="1"/>
    <col min="14368" max="14369" width="1.42578125" style="73" customWidth="1"/>
    <col min="14370" max="14370" width="11.42578125" style="73"/>
    <col min="14371" max="14373" width="18.7109375" style="73" customWidth="1"/>
    <col min="14374" max="14592" width="11.42578125" style="73"/>
    <col min="14593" max="14593" width="0.140625" style="73" customWidth="1"/>
    <col min="14594" max="14594" width="2.7109375" style="73" customWidth="1"/>
    <col min="14595" max="14595" width="42.5703125" style="73" customWidth="1"/>
    <col min="14596" max="14596" width="12.85546875" style="73" customWidth="1"/>
    <col min="14597" max="14597" width="12.7109375" style="73" customWidth="1"/>
    <col min="14598" max="14598" width="15.42578125" style="73" customWidth="1"/>
    <col min="14599" max="14603" width="12.5703125" style="73" customWidth="1"/>
    <col min="14604" max="14605" width="11.28515625" style="73" bestFit="1" customWidth="1"/>
    <col min="14606" max="14606" width="11" style="73" bestFit="1" customWidth="1"/>
    <col min="14607" max="14607" width="10.85546875" style="73" bestFit="1" customWidth="1"/>
    <col min="14608" max="14608" width="11.28515625" style="73" bestFit="1" customWidth="1"/>
    <col min="14609" max="14609" width="7.85546875" style="73" bestFit="1" customWidth="1"/>
    <col min="14610" max="14610" width="7" style="73" customWidth="1"/>
    <col min="14611" max="14611" width="17.42578125" style="73" customWidth="1"/>
    <col min="14612" max="14612" width="7.140625" style="73" customWidth="1"/>
    <col min="14613" max="14613" width="9.5703125" style="73" customWidth="1"/>
    <col min="14614" max="14615" width="15.5703125" style="73" customWidth="1"/>
    <col min="14616" max="14616" width="1.85546875" style="73" customWidth="1"/>
    <col min="14617" max="14617" width="1.7109375" style="73" customWidth="1"/>
    <col min="14618" max="14618" width="1.85546875" style="73" customWidth="1"/>
    <col min="14619" max="14622" width="12.140625" style="73" customWidth="1"/>
    <col min="14623" max="14623" width="1.85546875" style="73" customWidth="1"/>
    <col min="14624" max="14625" width="1.42578125" style="73" customWidth="1"/>
    <col min="14626" max="14626" width="11.42578125" style="73"/>
    <col min="14627" max="14629" width="18.7109375" style="73" customWidth="1"/>
    <col min="14630" max="14848" width="11.42578125" style="73"/>
    <col min="14849" max="14849" width="0.140625" style="73" customWidth="1"/>
    <col min="14850" max="14850" width="2.7109375" style="73" customWidth="1"/>
    <col min="14851" max="14851" width="42.5703125" style="73" customWidth="1"/>
    <col min="14852" max="14852" width="12.85546875" style="73" customWidth="1"/>
    <col min="14853" max="14853" width="12.7109375" style="73" customWidth="1"/>
    <col min="14854" max="14854" width="15.42578125" style="73" customWidth="1"/>
    <col min="14855" max="14859" width="12.5703125" style="73" customWidth="1"/>
    <col min="14860" max="14861" width="11.28515625" style="73" bestFit="1" customWidth="1"/>
    <col min="14862" max="14862" width="11" style="73" bestFit="1" customWidth="1"/>
    <col min="14863" max="14863" width="10.85546875" style="73" bestFit="1" customWidth="1"/>
    <col min="14864" max="14864" width="11.28515625" style="73" bestFit="1" customWidth="1"/>
    <col min="14865" max="14865" width="7.85546875" style="73" bestFit="1" customWidth="1"/>
    <col min="14866" max="14866" width="7" style="73" customWidth="1"/>
    <col min="14867" max="14867" width="17.42578125" style="73" customWidth="1"/>
    <col min="14868" max="14868" width="7.140625" style="73" customWidth="1"/>
    <col min="14869" max="14869" width="9.5703125" style="73" customWidth="1"/>
    <col min="14870" max="14871" width="15.5703125" style="73" customWidth="1"/>
    <col min="14872" max="14872" width="1.85546875" style="73" customWidth="1"/>
    <col min="14873" max="14873" width="1.7109375" style="73" customWidth="1"/>
    <col min="14874" max="14874" width="1.85546875" style="73" customWidth="1"/>
    <col min="14875" max="14878" width="12.140625" style="73" customWidth="1"/>
    <col min="14879" max="14879" width="1.85546875" style="73" customWidth="1"/>
    <col min="14880" max="14881" width="1.42578125" style="73" customWidth="1"/>
    <col min="14882" max="14882" width="11.42578125" style="73"/>
    <col min="14883" max="14885" width="18.7109375" style="73" customWidth="1"/>
    <col min="14886" max="15104" width="11.42578125" style="73"/>
    <col min="15105" max="15105" width="0.140625" style="73" customWidth="1"/>
    <col min="15106" max="15106" width="2.7109375" style="73" customWidth="1"/>
    <col min="15107" max="15107" width="42.5703125" style="73" customWidth="1"/>
    <col min="15108" max="15108" width="12.85546875" style="73" customWidth="1"/>
    <col min="15109" max="15109" width="12.7109375" style="73" customWidth="1"/>
    <col min="15110" max="15110" width="15.42578125" style="73" customWidth="1"/>
    <col min="15111" max="15115" width="12.5703125" style="73" customWidth="1"/>
    <col min="15116" max="15117" width="11.28515625" style="73" bestFit="1" customWidth="1"/>
    <col min="15118" max="15118" width="11" style="73" bestFit="1" customWidth="1"/>
    <col min="15119" max="15119" width="10.85546875" style="73" bestFit="1" customWidth="1"/>
    <col min="15120" max="15120" width="11.28515625" style="73" bestFit="1" customWidth="1"/>
    <col min="15121" max="15121" width="7.85546875" style="73" bestFit="1" customWidth="1"/>
    <col min="15122" max="15122" width="7" style="73" customWidth="1"/>
    <col min="15123" max="15123" width="17.42578125" style="73" customWidth="1"/>
    <col min="15124" max="15124" width="7.140625" style="73" customWidth="1"/>
    <col min="15125" max="15125" width="9.5703125" style="73" customWidth="1"/>
    <col min="15126" max="15127" width="15.5703125" style="73" customWidth="1"/>
    <col min="15128" max="15128" width="1.85546875" style="73" customWidth="1"/>
    <col min="15129" max="15129" width="1.7109375" style="73" customWidth="1"/>
    <col min="15130" max="15130" width="1.85546875" style="73" customWidth="1"/>
    <col min="15131" max="15134" width="12.140625" style="73" customWidth="1"/>
    <col min="15135" max="15135" width="1.85546875" style="73" customWidth="1"/>
    <col min="15136" max="15137" width="1.42578125" style="73" customWidth="1"/>
    <col min="15138" max="15138" width="11.42578125" style="73"/>
    <col min="15139" max="15141" width="18.7109375" style="73" customWidth="1"/>
    <col min="15142" max="15360" width="11.42578125" style="73"/>
    <col min="15361" max="15361" width="0.140625" style="73" customWidth="1"/>
    <col min="15362" max="15362" width="2.7109375" style="73" customWidth="1"/>
    <col min="15363" max="15363" width="42.5703125" style="73" customWidth="1"/>
    <col min="15364" max="15364" width="12.85546875" style="73" customWidth="1"/>
    <col min="15365" max="15365" width="12.7109375" style="73" customWidth="1"/>
    <col min="15366" max="15366" width="15.42578125" style="73" customWidth="1"/>
    <col min="15367" max="15371" width="12.5703125" style="73" customWidth="1"/>
    <col min="15372" max="15373" width="11.28515625" style="73" bestFit="1" customWidth="1"/>
    <col min="15374" max="15374" width="11" style="73" bestFit="1" customWidth="1"/>
    <col min="15375" max="15375" width="10.85546875" style="73" bestFit="1" customWidth="1"/>
    <col min="15376" max="15376" width="11.28515625" style="73" bestFit="1" customWidth="1"/>
    <col min="15377" max="15377" width="7.85546875" style="73" bestFit="1" customWidth="1"/>
    <col min="15378" max="15378" width="7" style="73" customWidth="1"/>
    <col min="15379" max="15379" width="17.42578125" style="73" customWidth="1"/>
    <col min="15380" max="15380" width="7.140625" style="73" customWidth="1"/>
    <col min="15381" max="15381" width="9.5703125" style="73" customWidth="1"/>
    <col min="15382" max="15383" width="15.5703125" style="73" customWidth="1"/>
    <col min="15384" max="15384" width="1.85546875" style="73" customWidth="1"/>
    <col min="15385" max="15385" width="1.7109375" style="73" customWidth="1"/>
    <col min="15386" max="15386" width="1.85546875" style="73" customWidth="1"/>
    <col min="15387" max="15390" width="12.140625" style="73" customWidth="1"/>
    <col min="15391" max="15391" width="1.85546875" style="73" customWidth="1"/>
    <col min="15392" max="15393" width="1.42578125" style="73" customWidth="1"/>
    <col min="15394" max="15394" width="11.42578125" style="73"/>
    <col min="15395" max="15397" width="18.7109375" style="73" customWidth="1"/>
    <col min="15398" max="15616" width="11.42578125" style="73"/>
    <col min="15617" max="15617" width="0.140625" style="73" customWidth="1"/>
    <col min="15618" max="15618" width="2.7109375" style="73" customWidth="1"/>
    <col min="15619" max="15619" width="42.5703125" style="73" customWidth="1"/>
    <col min="15620" max="15620" width="12.85546875" style="73" customWidth="1"/>
    <col min="15621" max="15621" width="12.7109375" style="73" customWidth="1"/>
    <col min="15622" max="15622" width="15.42578125" style="73" customWidth="1"/>
    <col min="15623" max="15627" width="12.5703125" style="73" customWidth="1"/>
    <col min="15628" max="15629" width="11.28515625" style="73" bestFit="1" customWidth="1"/>
    <col min="15630" max="15630" width="11" style="73" bestFit="1" customWidth="1"/>
    <col min="15631" max="15631" width="10.85546875" style="73" bestFit="1" customWidth="1"/>
    <col min="15632" max="15632" width="11.28515625" style="73" bestFit="1" customWidth="1"/>
    <col min="15633" max="15633" width="7.85546875" style="73" bestFit="1" customWidth="1"/>
    <col min="15634" max="15634" width="7" style="73" customWidth="1"/>
    <col min="15635" max="15635" width="17.42578125" style="73" customWidth="1"/>
    <col min="15636" max="15636" width="7.140625" style="73" customWidth="1"/>
    <col min="15637" max="15637" width="9.5703125" style="73" customWidth="1"/>
    <col min="15638" max="15639" width="15.5703125" style="73" customWidth="1"/>
    <col min="15640" max="15640" width="1.85546875" style="73" customWidth="1"/>
    <col min="15641" max="15641" width="1.7109375" style="73" customWidth="1"/>
    <col min="15642" max="15642" width="1.85546875" style="73" customWidth="1"/>
    <col min="15643" max="15646" width="12.140625" style="73" customWidth="1"/>
    <col min="15647" max="15647" width="1.85546875" style="73" customWidth="1"/>
    <col min="15648" max="15649" width="1.42578125" style="73" customWidth="1"/>
    <col min="15650" max="15650" width="11.42578125" style="73"/>
    <col min="15651" max="15653" width="18.7109375" style="73" customWidth="1"/>
    <col min="15654" max="15872" width="11.42578125" style="73"/>
    <col min="15873" max="15873" width="0.140625" style="73" customWidth="1"/>
    <col min="15874" max="15874" width="2.7109375" style="73" customWidth="1"/>
    <col min="15875" max="15875" width="42.5703125" style="73" customWidth="1"/>
    <col min="15876" max="15876" width="12.85546875" style="73" customWidth="1"/>
    <col min="15877" max="15877" width="12.7109375" style="73" customWidth="1"/>
    <col min="15878" max="15878" width="15.42578125" style="73" customWidth="1"/>
    <col min="15879" max="15883" width="12.5703125" style="73" customWidth="1"/>
    <col min="15884" max="15885" width="11.28515625" style="73" bestFit="1" customWidth="1"/>
    <col min="15886" max="15886" width="11" style="73" bestFit="1" customWidth="1"/>
    <col min="15887" max="15887" width="10.85546875" style="73" bestFit="1" customWidth="1"/>
    <col min="15888" max="15888" width="11.28515625" style="73" bestFit="1" customWidth="1"/>
    <col min="15889" max="15889" width="7.85546875" style="73" bestFit="1" customWidth="1"/>
    <col min="15890" max="15890" width="7" style="73" customWidth="1"/>
    <col min="15891" max="15891" width="17.42578125" style="73" customWidth="1"/>
    <col min="15892" max="15892" width="7.140625" style="73" customWidth="1"/>
    <col min="15893" max="15893" width="9.5703125" style="73" customWidth="1"/>
    <col min="15894" max="15895" width="15.5703125" style="73" customWidth="1"/>
    <col min="15896" max="15896" width="1.85546875" style="73" customWidth="1"/>
    <col min="15897" max="15897" width="1.7109375" style="73" customWidth="1"/>
    <col min="15898" max="15898" width="1.85546875" style="73" customWidth="1"/>
    <col min="15899" max="15902" width="12.140625" style="73" customWidth="1"/>
    <col min="15903" max="15903" width="1.85546875" style="73" customWidth="1"/>
    <col min="15904" max="15905" width="1.42578125" style="73" customWidth="1"/>
    <col min="15906" max="15906" width="11.42578125" style="73"/>
    <col min="15907" max="15909" width="18.7109375" style="73" customWidth="1"/>
    <col min="15910" max="16128" width="11.42578125" style="73"/>
    <col min="16129" max="16129" width="0.140625" style="73" customWidth="1"/>
    <col min="16130" max="16130" width="2.7109375" style="73" customWidth="1"/>
    <col min="16131" max="16131" width="42.5703125" style="73" customWidth="1"/>
    <col min="16132" max="16132" width="12.85546875" style="73" customWidth="1"/>
    <col min="16133" max="16133" width="12.7109375" style="73" customWidth="1"/>
    <col min="16134" max="16134" width="15.42578125" style="73" customWidth="1"/>
    <col min="16135" max="16139" width="12.5703125" style="73" customWidth="1"/>
    <col min="16140" max="16141" width="11.28515625" style="73" bestFit="1" customWidth="1"/>
    <col min="16142" max="16142" width="11" style="73" bestFit="1" customWidth="1"/>
    <col min="16143" max="16143" width="10.85546875" style="73" bestFit="1" customWidth="1"/>
    <col min="16144" max="16144" width="11.28515625" style="73" bestFit="1" customWidth="1"/>
    <col min="16145" max="16145" width="7.85546875" style="73" bestFit="1" customWidth="1"/>
    <col min="16146" max="16146" width="7" style="73" customWidth="1"/>
    <col min="16147" max="16147" width="17.42578125" style="73" customWidth="1"/>
    <col min="16148" max="16148" width="7.140625" style="73" customWidth="1"/>
    <col min="16149" max="16149" width="9.5703125" style="73" customWidth="1"/>
    <col min="16150" max="16151" width="15.5703125" style="73" customWidth="1"/>
    <col min="16152" max="16152" width="1.85546875" style="73" customWidth="1"/>
    <col min="16153" max="16153" width="1.7109375" style="73" customWidth="1"/>
    <col min="16154" max="16154" width="1.85546875" style="73" customWidth="1"/>
    <col min="16155" max="16158" width="12.140625" style="73" customWidth="1"/>
    <col min="16159" max="16159" width="1.85546875" style="73" customWidth="1"/>
    <col min="16160" max="16161" width="1.42578125" style="73" customWidth="1"/>
    <col min="16162" max="16162" width="11.42578125" style="73"/>
    <col min="16163" max="16165" width="18.7109375" style="73" customWidth="1"/>
    <col min="16166" max="16384" width="11.42578125" style="73"/>
  </cols>
  <sheetData>
    <row r="1" spans="2:44" s="69" customFormat="1" ht="21.75" customHeight="1">
      <c r="E1" s="70"/>
      <c r="H1" s="71" t="s">
        <v>87</v>
      </c>
    </row>
    <row r="2" spans="2:44" s="69" customFormat="1" ht="15" customHeight="1">
      <c r="E2" s="70"/>
      <c r="H2" s="7" t="s">
        <v>119</v>
      </c>
    </row>
    <row r="3" spans="2:44" s="69" customFormat="1" ht="19.899999999999999" customHeight="1">
      <c r="C3" s="72"/>
    </row>
    <row r="4" spans="2:44" ht="12" customHeight="1"/>
    <row r="5" spans="2:44">
      <c r="B5" s="77"/>
      <c r="C5" s="78" t="s">
        <v>126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44" ht="81.75">
      <c r="B6" s="77"/>
      <c r="C6" s="79"/>
      <c r="D6" s="80" t="s">
        <v>89</v>
      </c>
      <c r="E6" s="80" t="s">
        <v>72</v>
      </c>
      <c r="F6" s="80" t="s">
        <v>75</v>
      </c>
      <c r="G6" s="80" t="s">
        <v>37</v>
      </c>
      <c r="H6" s="80" t="s">
        <v>82</v>
      </c>
      <c r="I6" s="80" t="s">
        <v>38</v>
      </c>
      <c r="J6" s="80" t="s">
        <v>90</v>
      </c>
      <c r="K6" s="80" t="s">
        <v>84</v>
      </c>
      <c r="L6" s="80" t="s">
        <v>81</v>
      </c>
      <c r="M6" s="80" t="s">
        <v>66</v>
      </c>
      <c r="N6" s="80" t="s">
        <v>42</v>
      </c>
      <c r="O6" s="80" t="s">
        <v>101</v>
      </c>
      <c r="P6" s="80" t="s">
        <v>102</v>
      </c>
      <c r="Q6" s="80" t="s">
        <v>103</v>
      </c>
      <c r="R6" s="80" t="s">
        <v>83</v>
      </c>
      <c r="S6" s="80" t="s">
        <v>39</v>
      </c>
      <c r="T6" s="80" t="s">
        <v>104</v>
      </c>
      <c r="U6" s="80" t="s">
        <v>105</v>
      </c>
      <c r="V6" s="80" t="s">
        <v>71</v>
      </c>
      <c r="W6" s="81" t="s">
        <v>41</v>
      </c>
      <c r="X6" s="220" t="s">
        <v>122</v>
      </c>
      <c r="Y6" s="220" t="s">
        <v>123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2:44">
      <c r="B7" s="77"/>
      <c r="C7" s="24" t="s">
        <v>26</v>
      </c>
      <c r="D7" s="83">
        <v>550.23144589599997</v>
      </c>
      <c r="E7" s="83">
        <v>2497.1654780000003</v>
      </c>
      <c r="F7" s="83">
        <v>977.87085339999999</v>
      </c>
      <c r="G7" s="83" t="s">
        <v>0</v>
      </c>
      <c r="H7" s="83">
        <v>374.359758</v>
      </c>
      <c r="I7" s="83">
        <v>3.271979</v>
      </c>
      <c r="J7" s="83">
        <v>173.81045800000004</v>
      </c>
      <c r="K7" s="83">
        <v>410.07784399999997</v>
      </c>
      <c r="L7" s="83">
        <v>4174.5784734919998</v>
      </c>
      <c r="M7" s="83">
        <v>3698.4708293559997</v>
      </c>
      <c r="N7" s="83" t="s">
        <v>0</v>
      </c>
      <c r="O7" s="83">
        <v>1354.3381945160002</v>
      </c>
      <c r="P7" s="83">
        <v>3263.525791</v>
      </c>
      <c r="Q7" s="83">
        <v>85.742902999999998</v>
      </c>
      <c r="R7" s="83">
        <v>139.123233</v>
      </c>
      <c r="S7" s="83" t="s">
        <v>0</v>
      </c>
      <c r="T7" s="83">
        <v>74.543739000000002</v>
      </c>
      <c r="U7" s="83">
        <v>378.35135600000001</v>
      </c>
      <c r="V7" s="83">
        <v>295.15641499999998</v>
      </c>
      <c r="W7" s="83">
        <f t="shared" ref="W7:W20" si="0">SUM(D7:V7)</f>
        <v>18450.61875066</v>
      </c>
      <c r="X7" s="222">
        <f t="shared" ref="X7:X24" si="1">SUM(D7:F7,H7,J7:M7,O7:R7,T7:V7)</f>
        <v>18447.346771659999</v>
      </c>
      <c r="Y7" s="222">
        <f t="shared" ref="Y7:Y24" si="2">SUM(G7,I7,N7,S7)</f>
        <v>3.271979</v>
      </c>
      <c r="Z7" s="75"/>
      <c r="AA7" s="75"/>
      <c r="AB7" s="75"/>
      <c r="AC7" s="75"/>
      <c r="AD7" s="75"/>
      <c r="AE7" s="75"/>
      <c r="AF7" s="75"/>
      <c r="AG7" s="75"/>
      <c r="AH7" s="75"/>
      <c r="AI7" s="85"/>
      <c r="AJ7" s="75"/>
      <c r="AK7" s="75"/>
      <c r="AL7" s="75"/>
      <c r="AM7" s="75"/>
      <c r="AN7" s="75"/>
      <c r="AO7" s="75"/>
      <c r="AP7" s="75"/>
      <c r="AQ7" s="75"/>
      <c r="AR7" s="75"/>
    </row>
    <row r="8" spans="2:44" ht="11.25" customHeight="1">
      <c r="B8" s="77"/>
      <c r="C8" s="24" t="s">
        <v>68</v>
      </c>
      <c r="D8" s="83">
        <v>146.520704104</v>
      </c>
      <c r="E8" s="83">
        <v>148.841847</v>
      </c>
      <c r="F8" s="83">
        <v>12.685713600000001</v>
      </c>
      <c r="G8" s="83" t="s">
        <v>0</v>
      </c>
      <c r="H8" s="83">
        <v>1011.2319140000001</v>
      </c>
      <c r="I8" s="83" t="s">
        <v>0</v>
      </c>
      <c r="J8" s="83">
        <v>400.08401500000002</v>
      </c>
      <c r="K8" s="83">
        <v>41.517759999999996</v>
      </c>
      <c r="L8" s="83">
        <v>331.82991050800001</v>
      </c>
      <c r="M8" s="83">
        <v>113.54520564399999</v>
      </c>
      <c r="N8" s="83" t="s">
        <v>0</v>
      </c>
      <c r="O8" s="83">
        <v>19.640066484000002</v>
      </c>
      <c r="P8" s="83">
        <v>23.067281999999999</v>
      </c>
      <c r="Q8" s="83" t="s">
        <v>0</v>
      </c>
      <c r="R8" s="83" t="s">
        <v>0</v>
      </c>
      <c r="S8" s="83" t="s">
        <v>0</v>
      </c>
      <c r="T8" s="83" t="s">
        <v>0</v>
      </c>
      <c r="U8" s="83" t="s">
        <v>0</v>
      </c>
      <c r="V8" s="83" t="s">
        <v>0</v>
      </c>
      <c r="W8" s="83">
        <f t="shared" si="0"/>
        <v>2248.9644183400001</v>
      </c>
      <c r="X8" s="222">
        <f t="shared" si="1"/>
        <v>2248.9644183400001</v>
      </c>
      <c r="Y8" s="222">
        <f t="shared" si="2"/>
        <v>0</v>
      </c>
      <c r="Z8" s="75"/>
      <c r="AA8" s="75"/>
      <c r="AB8" s="75"/>
      <c r="AC8" s="75"/>
      <c r="AD8" s="75"/>
      <c r="AE8" s="75"/>
      <c r="AF8" s="75"/>
      <c r="AG8" s="75"/>
      <c r="AH8" s="75"/>
      <c r="AI8" s="85"/>
      <c r="AJ8" s="75"/>
      <c r="AK8" s="75"/>
      <c r="AL8" s="75"/>
      <c r="AM8" s="75"/>
      <c r="AN8" s="75"/>
      <c r="AO8" s="75"/>
      <c r="AP8" s="75"/>
      <c r="AQ8" s="75"/>
      <c r="AR8" s="75"/>
    </row>
    <row r="9" spans="2:44">
      <c r="B9" s="77"/>
      <c r="C9" s="24" t="s">
        <v>27</v>
      </c>
      <c r="D9" s="83" t="s">
        <v>0</v>
      </c>
      <c r="E9" s="83" t="s">
        <v>0</v>
      </c>
      <c r="F9" s="83" t="s">
        <v>0</v>
      </c>
      <c r="G9" s="83" t="s">
        <v>0</v>
      </c>
      <c r="H9" s="83">
        <v>7032.2572220000002</v>
      </c>
      <c r="I9" s="83" t="s">
        <v>0</v>
      </c>
      <c r="J9" s="83" t="s">
        <v>0</v>
      </c>
      <c r="K9" s="83">
        <v>7971.2296949999991</v>
      </c>
      <c r="L9" s="83">
        <v>-15.182117999999999</v>
      </c>
      <c r="M9" s="83">
        <v>24216.321434000005</v>
      </c>
      <c r="N9" s="83" t="s">
        <v>0</v>
      </c>
      <c r="O9" s="83">
        <v>16334.724813000001</v>
      </c>
      <c r="P9" s="83" t="s">
        <v>0</v>
      </c>
      <c r="Q9" s="83" t="s">
        <v>0</v>
      </c>
      <c r="R9" s="83" t="s">
        <v>0</v>
      </c>
      <c r="S9" s="83" t="s">
        <v>0</v>
      </c>
      <c r="T9" s="83" t="s">
        <v>0</v>
      </c>
      <c r="U9" s="83" t="s">
        <v>0</v>
      </c>
      <c r="V9" s="83" t="s">
        <v>0</v>
      </c>
      <c r="W9" s="83">
        <f t="shared" si="0"/>
        <v>55539.351046000003</v>
      </c>
      <c r="X9" s="222">
        <f t="shared" si="1"/>
        <v>55539.351046000003</v>
      </c>
      <c r="Y9" s="222">
        <f t="shared" si="2"/>
        <v>0</v>
      </c>
      <c r="Z9" s="75"/>
      <c r="AA9" s="75"/>
      <c r="AB9" s="8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</row>
    <row r="10" spans="2:44">
      <c r="B10" s="77"/>
      <c r="C10" s="24" t="s">
        <v>28</v>
      </c>
      <c r="D10" s="83">
        <v>10521.000260000001</v>
      </c>
      <c r="E10" s="83">
        <v>4656.3045050000001</v>
      </c>
      <c r="F10" s="83">
        <v>10089.225716000001</v>
      </c>
      <c r="G10" s="83">
        <v>2597.531837</v>
      </c>
      <c r="H10" s="83" t="s">
        <v>0</v>
      </c>
      <c r="I10" s="83" t="s">
        <v>0</v>
      </c>
      <c r="J10" s="83" t="s">
        <v>0</v>
      </c>
      <c r="K10" s="83" t="s">
        <v>0</v>
      </c>
      <c r="L10" s="83">
        <v>6355.6728809999995</v>
      </c>
      <c r="M10" s="83" t="s">
        <v>0</v>
      </c>
      <c r="N10" s="83" t="s">
        <v>0</v>
      </c>
      <c r="O10" s="83" t="s">
        <v>0</v>
      </c>
      <c r="P10" s="83">
        <v>10799.685194</v>
      </c>
      <c r="Q10" s="83" t="s">
        <v>0</v>
      </c>
      <c r="R10" s="83" t="s">
        <v>0</v>
      </c>
      <c r="S10" s="83" t="s">
        <v>0</v>
      </c>
      <c r="T10" s="83" t="s">
        <v>0</v>
      </c>
      <c r="U10" s="83" t="s">
        <v>0</v>
      </c>
      <c r="V10" s="83" t="s">
        <v>0</v>
      </c>
      <c r="W10" s="83">
        <f t="shared" si="0"/>
        <v>45019.420393</v>
      </c>
      <c r="X10" s="222">
        <f t="shared" si="1"/>
        <v>42421.888555999998</v>
      </c>
      <c r="Y10" s="222">
        <f t="shared" si="2"/>
        <v>2597.531837</v>
      </c>
      <c r="Z10" s="75"/>
      <c r="AA10" s="8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</row>
    <row r="11" spans="2:44">
      <c r="B11" s="77"/>
      <c r="C11" s="24" t="s">
        <v>115</v>
      </c>
      <c r="D11" s="83" t="s">
        <v>0</v>
      </c>
      <c r="E11" s="83" t="s">
        <v>0</v>
      </c>
      <c r="F11" s="83" t="s">
        <v>0</v>
      </c>
      <c r="G11" s="83">
        <v>1367.258599</v>
      </c>
      <c r="H11" s="83" t="s">
        <v>0</v>
      </c>
      <c r="I11" s="83">
        <v>5231.0637839999999</v>
      </c>
      <c r="J11" s="83" t="s">
        <v>0</v>
      </c>
      <c r="K11" s="83" t="s">
        <v>0</v>
      </c>
      <c r="L11" s="83" t="s">
        <v>0</v>
      </c>
      <c r="M11" s="83" t="s">
        <v>0</v>
      </c>
      <c r="N11" s="83">
        <v>202.86082999999999</v>
      </c>
      <c r="O11" s="83" t="s">
        <v>0</v>
      </c>
      <c r="P11" s="83" t="s">
        <v>0</v>
      </c>
      <c r="Q11" s="83" t="s">
        <v>0</v>
      </c>
      <c r="R11" s="83" t="s">
        <v>0</v>
      </c>
      <c r="S11" s="83">
        <v>200.394237</v>
      </c>
      <c r="T11" s="83" t="s">
        <v>0</v>
      </c>
      <c r="U11" s="83" t="s">
        <v>0</v>
      </c>
      <c r="V11" s="83" t="s">
        <v>0</v>
      </c>
      <c r="W11" s="83">
        <f t="shared" si="0"/>
        <v>7001.5774499999998</v>
      </c>
      <c r="X11" s="222">
        <f t="shared" si="1"/>
        <v>0</v>
      </c>
      <c r="Y11" s="222">
        <f t="shared" si="2"/>
        <v>7001.5774499999998</v>
      </c>
      <c r="Z11" s="75"/>
      <c r="AA11" s="75"/>
      <c r="AB11" s="75"/>
      <c r="AC11" s="8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</row>
    <row r="12" spans="2:44">
      <c r="B12" s="77"/>
      <c r="C12" s="24" t="s">
        <v>44</v>
      </c>
      <c r="D12" s="83">
        <v>7717.7490479999997</v>
      </c>
      <c r="E12" s="83">
        <v>1084.813768</v>
      </c>
      <c r="F12" s="83">
        <v>682.78432199999997</v>
      </c>
      <c r="G12" s="83">
        <v>420.42935599999998</v>
      </c>
      <c r="H12" s="83">
        <v>4147.8455210000002</v>
      </c>
      <c r="I12" s="83">
        <v>2997.3769480000001</v>
      </c>
      <c r="J12" s="83" t="s">
        <v>0</v>
      </c>
      <c r="K12" s="83">
        <v>1658.0720740000002</v>
      </c>
      <c r="L12" s="83" t="s">
        <v>0</v>
      </c>
      <c r="M12" s="83">
        <v>7884.7193910000015</v>
      </c>
      <c r="N12" s="83" t="s">
        <v>0</v>
      </c>
      <c r="O12" s="83" t="s">
        <v>0</v>
      </c>
      <c r="P12" s="83">
        <v>1749.8102530000001</v>
      </c>
      <c r="Q12" s="83">
        <v>1677.0876139999996</v>
      </c>
      <c r="R12" s="83" t="s">
        <v>0</v>
      </c>
      <c r="S12" s="83" t="s">
        <v>0</v>
      </c>
      <c r="T12" s="83">
        <v>3399.9567659999993</v>
      </c>
      <c r="U12" s="83">
        <v>1398.280178</v>
      </c>
      <c r="V12" s="83">
        <v>2246.861844</v>
      </c>
      <c r="W12" s="83">
        <f t="shared" si="0"/>
        <v>37065.787083000003</v>
      </c>
      <c r="X12" s="222">
        <f t="shared" si="1"/>
        <v>33647.980779000005</v>
      </c>
      <c r="Y12" s="222">
        <f t="shared" si="2"/>
        <v>3417.8063040000002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85"/>
      <c r="AK12" s="75"/>
      <c r="AL12" s="75"/>
      <c r="AM12" s="75"/>
      <c r="AN12" s="75"/>
      <c r="AO12" s="75"/>
      <c r="AP12" s="75"/>
      <c r="AQ12" s="75"/>
      <c r="AR12" s="75"/>
    </row>
    <row r="13" spans="2:44">
      <c r="B13" s="77"/>
      <c r="C13" s="24" t="s">
        <v>69</v>
      </c>
      <c r="D13" s="83" t="s">
        <v>0</v>
      </c>
      <c r="E13" s="83" t="s">
        <v>0</v>
      </c>
      <c r="F13" s="83" t="s">
        <v>0</v>
      </c>
      <c r="G13" s="83" t="s">
        <v>0</v>
      </c>
      <c r="H13" s="83" t="s">
        <v>0</v>
      </c>
      <c r="I13" s="83">
        <v>20.233056999999999</v>
      </c>
      <c r="J13" s="83" t="s">
        <v>0</v>
      </c>
      <c r="K13" s="83" t="s">
        <v>0</v>
      </c>
      <c r="L13" s="83" t="s">
        <v>0</v>
      </c>
      <c r="M13" s="83" t="s">
        <v>0</v>
      </c>
      <c r="N13" s="83" t="s">
        <v>0</v>
      </c>
      <c r="O13" s="83" t="s">
        <v>0</v>
      </c>
      <c r="P13" s="83" t="s">
        <v>0</v>
      </c>
      <c r="Q13" s="83" t="s">
        <v>0</v>
      </c>
      <c r="R13" s="83" t="s">
        <v>0</v>
      </c>
      <c r="S13" s="83" t="s">
        <v>0</v>
      </c>
      <c r="T13" s="83" t="s">
        <v>0</v>
      </c>
      <c r="U13" s="83" t="s">
        <v>0</v>
      </c>
      <c r="V13" s="83" t="s">
        <v>0</v>
      </c>
      <c r="W13" s="83">
        <f t="shared" si="0"/>
        <v>20.233056999999999</v>
      </c>
      <c r="X13" s="222">
        <f t="shared" si="1"/>
        <v>0</v>
      </c>
      <c r="Y13" s="222">
        <f t="shared" si="2"/>
        <v>20.233056999999999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</row>
    <row r="14" spans="2:44">
      <c r="B14" s="77"/>
      <c r="C14" s="24" t="s">
        <v>50</v>
      </c>
      <c r="D14" s="83">
        <v>7192.0100330000005</v>
      </c>
      <c r="E14" s="83">
        <v>4596.617815999999</v>
      </c>
      <c r="F14" s="83">
        <v>925.01983900000005</v>
      </c>
      <c r="G14" s="83">
        <v>2.9242759999999999</v>
      </c>
      <c r="H14" s="83">
        <v>2175.5139369999997</v>
      </c>
      <c r="I14" s="83">
        <v>395.92533300000002</v>
      </c>
      <c r="J14" s="83">
        <v>65.882127999999994</v>
      </c>
      <c r="K14" s="83">
        <v>7507.1672630000003</v>
      </c>
      <c r="L14" s="83">
        <v>10993.185937</v>
      </c>
      <c r="M14" s="83">
        <v>2825.1242340000003</v>
      </c>
      <c r="N14" s="83" t="s">
        <v>0</v>
      </c>
      <c r="O14" s="83" t="s">
        <v>0</v>
      </c>
      <c r="P14" s="83">
        <v>6903.686064999999</v>
      </c>
      <c r="Q14" s="83">
        <v>976.65052199999991</v>
      </c>
      <c r="R14" s="83" t="s">
        <v>0</v>
      </c>
      <c r="S14" s="83" t="s">
        <v>0</v>
      </c>
      <c r="T14" s="83">
        <v>434.66199999999998</v>
      </c>
      <c r="U14" s="83">
        <v>2584.9365960000005</v>
      </c>
      <c r="V14" s="83">
        <v>327.64958200000001</v>
      </c>
      <c r="W14" s="83">
        <f t="shared" si="0"/>
        <v>47906.955560999995</v>
      </c>
      <c r="X14" s="222">
        <f t="shared" si="1"/>
        <v>47508.105951999998</v>
      </c>
      <c r="Y14" s="222">
        <f t="shared" si="2"/>
        <v>398.84960900000004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</row>
    <row r="15" spans="2:44">
      <c r="B15" s="77"/>
      <c r="C15" s="24" t="s">
        <v>51</v>
      </c>
      <c r="D15" s="83">
        <v>1583.6171030000003</v>
      </c>
      <c r="E15" s="83">
        <v>311.369912</v>
      </c>
      <c r="F15" s="83">
        <v>0.61365199999999998</v>
      </c>
      <c r="G15" s="83">
        <v>123.336995</v>
      </c>
      <c r="H15" s="83">
        <v>543.78142300000002</v>
      </c>
      <c r="I15" s="83">
        <v>273.626665</v>
      </c>
      <c r="J15" s="83">
        <v>1.9441929999999998</v>
      </c>
      <c r="K15" s="83">
        <v>1744.7993650000003</v>
      </c>
      <c r="L15" s="83">
        <v>899.50053400000002</v>
      </c>
      <c r="M15" s="83">
        <v>420.80478999999997</v>
      </c>
      <c r="N15" s="83" t="s">
        <v>0</v>
      </c>
      <c r="O15" s="83">
        <v>1119.601173</v>
      </c>
      <c r="P15" s="83">
        <v>20.858726999999995</v>
      </c>
      <c r="Q15" s="83">
        <v>139.538906</v>
      </c>
      <c r="R15" s="83">
        <v>91.954118999999992</v>
      </c>
      <c r="S15" s="83">
        <v>7.6868999999999993E-2</v>
      </c>
      <c r="T15" s="83">
        <v>774.62702000000002</v>
      </c>
      <c r="U15" s="83">
        <v>316.45458700000006</v>
      </c>
      <c r="V15" s="83">
        <v>31.246659999999999</v>
      </c>
      <c r="W15" s="83">
        <f t="shared" si="0"/>
        <v>8397.7526930000004</v>
      </c>
      <c r="X15" s="222">
        <f t="shared" si="1"/>
        <v>8000.7121639999996</v>
      </c>
      <c r="Y15" s="222">
        <f t="shared" si="2"/>
        <v>397.04052899999999</v>
      </c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85"/>
      <c r="AN15" s="75"/>
      <c r="AO15" s="75"/>
      <c r="AP15" s="75"/>
      <c r="AQ15" s="75"/>
      <c r="AR15" s="75"/>
    </row>
    <row r="16" spans="2:44">
      <c r="B16" s="77"/>
      <c r="C16" s="24" t="s">
        <v>67</v>
      </c>
      <c r="D16" s="83">
        <v>2319.75783</v>
      </c>
      <c r="E16" s="83" t="s">
        <v>0</v>
      </c>
      <c r="F16" s="83" t="s">
        <v>0</v>
      </c>
      <c r="G16" s="83" t="s">
        <v>0</v>
      </c>
      <c r="H16" s="83">
        <v>98.827682999999993</v>
      </c>
      <c r="I16" s="83" t="s">
        <v>0</v>
      </c>
      <c r="J16" s="83" t="s">
        <v>0</v>
      </c>
      <c r="K16" s="83">
        <v>742.67802900000004</v>
      </c>
      <c r="L16" s="83" t="s">
        <v>0</v>
      </c>
      <c r="M16" s="83">
        <v>87.196204999999992</v>
      </c>
      <c r="N16" s="83" t="s">
        <v>0</v>
      </c>
      <c r="O16" s="83">
        <v>2056.386426</v>
      </c>
      <c r="P16" s="83" t="s">
        <v>0</v>
      </c>
      <c r="Q16" s="83" t="s">
        <v>0</v>
      </c>
      <c r="R16" s="83" t="s">
        <v>0</v>
      </c>
      <c r="S16" s="83" t="s">
        <v>0</v>
      </c>
      <c r="T16" s="83">
        <v>43.106291999999996</v>
      </c>
      <c r="U16" s="83" t="s">
        <v>0</v>
      </c>
      <c r="V16" s="83" t="s">
        <v>0</v>
      </c>
      <c r="W16" s="83">
        <f t="shared" si="0"/>
        <v>5347.9524650000003</v>
      </c>
      <c r="X16" s="222">
        <f t="shared" si="1"/>
        <v>5347.9524650000003</v>
      </c>
      <c r="Y16" s="222">
        <f t="shared" si="2"/>
        <v>0</v>
      </c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2:45">
      <c r="B17" s="77"/>
      <c r="C17" s="24" t="s">
        <v>76</v>
      </c>
      <c r="D17" s="83">
        <v>1388.8315689999999</v>
      </c>
      <c r="E17" s="83">
        <v>57.833376000000001</v>
      </c>
      <c r="F17" s="83">
        <v>271.44284500000003</v>
      </c>
      <c r="G17" s="83">
        <v>1.6267410000000002</v>
      </c>
      <c r="H17" s="83">
        <v>32.437815000000001</v>
      </c>
      <c r="I17" s="83">
        <v>9.5652589999999993</v>
      </c>
      <c r="J17" s="83">
        <v>83.494890999999996</v>
      </c>
      <c r="K17" s="83">
        <v>265.55059599999998</v>
      </c>
      <c r="L17" s="83">
        <v>263.33266900000001</v>
      </c>
      <c r="M17" s="83">
        <v>186.638216</v>
      </c>
      <c r="N17" s="83" t="s">
        <v>0</v>
      </c>
      <c r="O17" s="83">
        <v>233.85979500000002</v>
      </c>
      <c r="P17" s="83">
        <v>252.515625</v>
      </c>
      <c r="Q17" s="83">
        <v>9.5154589999999981</v>
      </c>
      <c r="R17" s="83">
        <v>149.862472</v>
      </c>
      <c r="S17" s="83" t="s">
        <v>0</v>
      </c>
      <c r="T17" s="83">
        <v>53.861952000000002</v>
      </c>
      <c r="U17" s="83">
        <v>305.44717900000001</v>
      </c>
      <c r="V17" s="83">
        <v>44.531423000000011</v>
      </c>
      <c r="W17" s="83">
        <f t="shared" si="0"/>
        <v>3610.3478819999996</v>
      </c>
      <c r="X17" s="222">
        <f t="shared" si="1"/>
        <v>3599.1558819999996</v>
      </c>
      <c r="Y17" s="222">
        <f t="shared" si="2"/>
        <v>11.192</v>
      </c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2:45" ht="11.25" customHeight="1">
      <c r="B18" s="77"/>
      <c r="C18" s="24" t="s">
        <v>74</v>
      </c>
      <c r="D18" s="83">
        <v>5274.3415100000002</v>
      </c>
      <c r="E18" s="83">
        <v>2967.7914609999998</v>
      </c>
      <c r="F18" s="83">
        <v>391.82748700000002</v>
      </c>
      <c r="G18" s="83">
        <v>36.244233999999999</v>
      </c>
      <c r="H18" s="83">
        <v>1590.939932</v>
      </c>
      <c r="I18" s="83" t="s">
        <v>0</v>
      </c>
      <c r="J18" s="83">
        <v>1165.282101</v>
      </c>
      <c r="K18" s="83">
        <v>1088.1395560000001</v>
      </c>
      <c r="L18" s="83">
        <v>2333.008699</v>
      </c>
      <c r="M18" s="83">
        <v>5086.7337890000008</v>
      </c>
      <c r="N18" s="83" t="s">
        <v>0</v>
      </c>
      <c r="O18" s="83">
        <v>53.094290999999998</v>
      </c>
      <c r="P18" s="83">
        <v>2831.012412</v>
      </c>
      <c r="Q18" s="83">
        <v>74.725203999999991</v>
      </c>
      <c r="R18" s="83">
        <v>704.24617499999988</v>
      </c>
      <c r="S18" s="83" t="s">
        <v>0</v>
      </c>
      <c r="T18" s="83">
        <v>1688.4028469999998</v>
      </c>
      <c r="U18" s="83">
        <v>902.92391099999998</v>
      </c>
      <c r="V18" s="83">
        <v>2023.0930940000001</v>
      </c>
      <c r="W18" s="83">
        <f t="shared" si="0"/>
        <v>28211.806703000002</v>
      </c>
      <c r="X18" s="222">
        <f t="shared" si="1"/>
        <v>28175.562469000004</v>
      </c>
      <c r="Y18" s="222">
        <f t="shared" si="2"/>
        <v>36.244233999999999</v>
      </c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</row>
    <row r="19" spans="2:45">
      <c r="B19" s="77"/>
      <c r="C19" s="24" t="s">
        <v>96</v>
      </c>
      <c r="D19" s="83">
        <v>298.96065300000004</v>
      </c>
      <c r="E19" s="83">
        <v>413.40268900000001</v>
      </c>
      <c r="F19" s="83">
        <v>734.20955700000002</v>
      </c>
      <c r="G19" s="83">
        <v>143.87866799999998</v>
      </c>
      <c r="H19" s="83">
        <v>53.739619999999995</v>
      </c>
      <c r="I19" s="83" t="s">
        <v>0</v>
      </c>
      <c r="J19" s="83">
        <v>36.843276500000002</v>
      </c>
      <c r="K19" s="83" t="s">
        <v>0</v>
      </c>
      <c r="L19" s="83" t="s">
        <v>0</v>
      </c>
      <c r="M19" s="83">
        <v>145.20907250000005</v>
      </c>
      <c r="N19" s="83" t="s">
        <v>0</v>
      </c>
      <c r="O19" s="83" t="s">
        <v>0</v>
      </c>
      <c r="P19" s="83">
        <v>178.46456799999999</v>
      </c>
      <c r="Q19" s="83" t="s">
        <v>0</v>
      </c>
      <c r="R19" s="83">
        <v>70.703084500000017</v>
      </c>
      <c r="S19" s="83">
        <v>4.9769860000000001</v>
      </c>
      <c r="T19" s="83" t="s">
        <v>0</v>
      </c>
      <c r="U19" s="83" t="s">
        <v>0</v>
      </c>
      <c r="V19" s="83">
        <v>527.5963405</v>
      </c>
      <c r="W19" s="83">
        <f t="shared" si="0"/>
        <v>2607.9845150000001</v>
      </c>
      <c r="X19" s="222">
        <f t="shared" si="1"/>
        <v>2459.1288610000001</v>
      </c>
      <c r="Y19" s="222">
        <f t="shared" si="2"/>
        <v>148.85565399999999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</row>
    <row r="20" spans="2:45">
      <c r="B20" s="77"/>
      <c r="C20" s="24" t="s">
        <v>97</v>
      </c>
      <c r="D20" s="83" t="s">
        <v>0</v>
      </c>
      <c r="E20" s="83" t="s">
        <v>0</v>
      </c>
      <c r="F20" s="83" t="s">
        <v>0</v>
      </c>
      <c r="G20" s="83">
        <v>143.87866799999998</v>
      </c>
      <c r="H20" s="83" t="s">
        <v>0</v>
      </c>
      <c r="I20" s="83" t="s">
        <v>0</v>
      </c>
      <c r="J20" s="83">
        <v>36.843276500000002</v>
      </c>
      <c r="K20" s="83" t="s">
        <v>0</v>
      </c>
      <c r="L20" s="83" t="s">
        <v>0</v>
      </c>
      <c r="M20" s="83">
        <v>141.39558049999999</v>
      </c>
      <c r="N20" s="83" t="s">
        <v>0</v>
      </c>
      <c r="O20" s="83" t="s">
        <v>0</v>
      </c>
      <c r="P20" s="83">
        <v>178.46456799999999</v>
      </c>
      <c r="Q20" s="83" t="s">
        <v>0</v>
      </c>
      <c r="R20" s="83">
        <v>70.703084500000017</v>
      </c>
      <c r="S20" s="83">
        <v>4.9769860000000001</v>
      </c>
      <c r="T20" s="83" t="s">
        <v>0</v>
      </c>
      <c r="U20" s="83" t="s">
        <v>0</v>
      </c>
      <c r="V20" s="83">
        <v>300.74392349999999</v>
      </c>
      <c r="W20" s="83">
        <f t="shared" si="0"/>
        <v>877.00608699999998</v>
      </c>
      <c r="X20" s="222">
        <f t="shared" si="1"/>
        <v>728.15043300000002</v>
      </c>
      <c r="Y20" s="222">
        <f t="shared" si="2"/>
        <v>148.85565399999999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</row>
    <row r="21" spans="2:45">
      <c r="B21" s="77"/>
      <c r="C21" s="86" t="s">
        <v>73</v>
      </c>
      <c r="D21" s="87">
        <f t="shared" ref="D21:W21" si="3">SUM(D7:D20)</f>
        <v>36993.020155999999</v>
      </c>
      <c r="E21" s="87">
        <f t="shared" si="3"/>
        <v>16734.140852</v>
      </c>
      <c r="F21" s="87">
        <f t="shared" si="3"/>
        <v>14085.679985000001</v>
      </c>
      <c r="G21" s="87">
        <f t="shared" si="3"/>
        <v>4837.1093739999997</v>
      </c>
      <c r="H21" s="88">
        <f t="shared" si="3"/>
        <v>17060.934825</v>
      </c>
      <c r="I21" s="87">
        <f t="shared" si="3"/>
        <v>8931.0630249999995</v>
      </c>
      <c r="J21" s="88">
        <f t="shared" si="3"/>
        <v>1964.1843390000001</v>
      </c>
      <c r="K21" s="88">
        <f t="shared" si="3"/>
        <v>21429.232182</v>
      </c>
      <c r="L21" s="88">
        <f t="shared" si="3"/>
        <v>25335.926985999999</v>
      </c>
      <c r="M21" s="88">
        <f t="shared" si="3"/>
        <v>44806.158747000009</v>
      </c>
      <c r="N21" s="87">
        <f t="shared" si="3"/>
        <v>202.86082999999999</v>
      </c>
      <c r="O21" s="88">
        <f t="shared" si="3"/>
        <v>21171.644759000003</v>
      </c>
      <c r="P21" s="88">
        <f t="shared" si="3"/>
        <v>26201.090484999997</v>
      </c>
      <c r="Q21" s="88">
        <f t="shared" si="3"/>
        <v>2963.2606079999991</v>
      </c>
      <c r="R21" s="88">
        <f t="shared" si="3"/>
        <v>1226.5921679999997</v>
      </c>
      <c r="S21" s="87">
        <f t="shared" si="3"/>
        <v>210.42507800000001</v>
      </c>
      <c r="T21" s="88">
        <f t="shared" si="3"/>
        <v>6469.1606159999992</v>
      </c>
      <c r="U21" s="88">
        <f t="shared" si="3"/>
        <v>5886.3938070000004</v>
      </c>
      <c r="V21" s="88">
        <f t="shared" si="3"/>
        <v>5796.8792819999999</v>
      </c>
      <c r="W21" s="88">
        <f t="shared" si="3"/>
        <v>262305.75810400001</v>
      </c>
      <c r="X21" s="222">
        <f t="shared" si="1"/>
        <v>248124.29979700001</v>
      </c>
      <c r="Y21" s="222">
        <f t="shared" si="2"/>
        <v>14181.458306999999</v>
      </c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>
        <f>MIN(X21:AP21)</f>
        <v>14181.458306999999</v>
      </c>
    </row>
    <row r="22" spans="2:45">
      <c r="B22" s="77"/>
      <c r="C22" s="24" t="s">
        <v>124</v>
      </c>
      <c r="D22" s="83">
        <v>-224.00954299999998</v>
      </c>
      <c r="E22" s="83">
        <v>-212.35473900000002</v>
      </c>
      <c r="F22" s="83">
        <v>-21.576768000000001</v>
      </c>
      <c r="G22" s="83" t="s">
        <v>0</v>
      </c>
      <c r="H22" s="83">
        <v>-1344.875346</v>
      </c>
      <c r="I22" s="83" t="s">
        <v>0</v>
      </c>
      <c r="J22" s="83">
        <v>-591.89989700000001</v>
      </c>
      <c r="K22" s="83">
        <v>-65.748226658000007</v>
      </c>
      <c r="L22" s="83">
        <v>-749.07252399999993</v>
      </c>
      <c r="M22" s="83">
        <v>-165.27581900000001</v>
      </c>
      <c r="N22" s="83" t="s">
        <v>0</v>
      </c>
      <c r="O22" s="83">
        <v>-36.971359999999997</v>
      </c>
      <c r="P22" s="83">
        <v>-195.79676499999999</v>
      </c>
      <c r="Q22" s="83" t="s">
        <v>0</v>
      </c>
      <c r="R22" s="83" t="s">
        <v>0</v>
      </c>
      <c r="S22" s="83" t="s">
        <v>0</v>
      </c>
      <c r="T22" s="83" t="s">
        <v>0</v>
      </c>
      <c r="U22" s="83" t="s">
        <v>0</v>
      </c>
      <c r="V22" s="83" t="s">
        <v>0</v>
      </c>
      <c r="W22" s="83">
        <f>SUM(D22:V22)</f>
        <v>-3607.5809876580006</v>
      </c>
      <c r="X22" s="222">
        <f t="shared" si="1"/>
        <v>-3607.5809876580006</v>
      </c>
      <c r="Y22" s="222">
        <f t="shared" si="2"/>
        <v>0</v>
      </c>
    </row>
    <row r="23" spans="2:45">
      <c r="B23" s="77"/>
      <c r="C23" s="24" t="s">
        <v>125</v>
      </c>
      <c r="D23" s="83">
        <v>3395.5550740000003</v>
      </c>
      <c r="E23" s="83">
        <v>-5856.0148880000006</v>
      </c>
      <c r="F23" s="83">
        <v>-3463.4302239999997</v>
      </c>
      <c r="G23" s="83">
        <v>1179.3066420000002</v>
      </c>
      <c r="H23" s="83">
        <v>11233.911093999999</v>
      </c>
      <c r="I23" s="83" t="s">
        <v>0</v>
      </c>
      <c r="J23" s="83">
        <v>2999.9066630000002</v>
      </c>
      <c r="K23" s="83">
        <v>-9648.445721</v>
      </c>
      <c r="L23" s="83">
        <v>-10511.121545</v>
      </c>
      <c r="M23" s="83">
        <v>3158.9857190000002</v>
      </c>
      <c r="N23" s="83" t="s">
        <v>0</v>
      </c>
      <c r="O23" s="83">
        <v>-16112.353558999999</v>
      </c>
      <c r="P23" s="83">
        <v>-6106.9797799999997</v>
      </c>
      <c r="Q23" s="83">
        <v>-1259.140048</v>
      </c>
      <c r="R23" s="83">
        <v>27361.655191000002</v>
      </c>
      <c r="S23" s="83" t="s">
        <v>0</v>
      </c>
      <c r="T23" s="83">
        <v>2905.3335630000001</v>
      </c>
      <c r="U23" s="83">
        <v>-833.77702699999998</v>
      </c>
      <c r="V23" s="83">
        <v>10725.60238</v>
      </c>
      <c r="W23" s="83">
        <f>SUM(D23:V23)</f>
        <v>9168.9935340000047</v>
      </c>
      <c r="X23" s="222">
        <f t="shared" si="1"/>
        <v>7989.6868920000015</v>
      </c>
      <c r="Y23" s="222">
        <f t="shared" si="2"/>
        <v>1179.3066420000002</v>
      </c>
    </row>
    <row r="24" spans="2:45">
      <c r="B24" s="77"/>
      <c r="C24" s="79" t="s">
        <v>40</v>
      </c>
      <c r="D24" s="90">
        <f t="shared" ref="D24:V24" si="4">SUM(D21:D23)</f>
        <v>40164.565687000002</v>
      </c>
      <c r="E24" s="90">
        <f t="shared" si="4"/>
        <v>10665.771225</v>
      </c>
      <c r="F24" s="90">
        <f t="shared" si="4"/>
        <v>10600.672993</v>
      </c>
      <c r="G24" s="90">
        <f t="shared" si="4"/>
        <v>6016.4160160000001</v>
      </c>
      <c r="H24" s="91">
        <f t="shared" si="4"/>
        <v>26949.970572999999</v>
      </c>
      <c r="I24" s="90">
        <f t="shared" si="4"/>
        <v>8931.0630249999995</v>
      </c>
      <c r="J24" s="91">
        <f t="shared" si="4"/>
        <v>4372.1911049999999</v>
      </c>
      <c r="K24" s="91">
        <f t="shared" si="4"/>
        <v>11715.038234341999</v>
      </c>
      <c r="L24" s="91">
        <f t="shared" si="4"/>
        <v>14075.732916999999</v>
      </c>
      <c r="M24" s="91">
        <f t="shared" si="4"/>
        <v>47799.86864700001</v>
      </c>
      <c r="N24" s="90">
        <f t="shared" si="4"/>
        <v>202.86082999999999</v>
      </c>
      <c r="O24" s="91">
        <f t="shared" si="4"/>
        <v>5022.3198400000038</v>
      </c>
      <c r="P24" s="91">
        <f t="shared" si="4"/>
        <v>19898.31394</v>
      </c>
      <c r="Q24" s="91">
        <f t="shared" si="4"/>
        <v>1704.1205599999992</v>
      </c>
      <c r="R24" s="91">
        <f t="shared" si="4"/>
        <v>28588.247359000001</v>
      </c>
      <c r="S24" s="90">
        <f t="shared" si="4"/>
        <v>210.42507800000001</v>
      </c>
      <c r="T24" s="91">
        <f t="shared" si="4"/>
        <v>9374.4941789999993</v>
      </c>
      <c r="U24" s="91">
        <f t="shared" si="4"/>
        <v>5052.6167800000003</v>
      </c>
      <c r="V24" s="91">
        <f t="shared" si="4"/>
        <v>16522.481661999998</v>
      </c>
      <c r="W24" s="91">
        <f>W21+W22+W23</f>
        <v>267867.17065034201</v>
      </c>
      <c r="X24" s="222">
        <f t="shared" si="1"/>
        <v>252506.40570134204</v>
      </c>
      <c r="Y24" s="222">
        <f t="shared" si="2"/>
        <v>15360.764948999999</v>
      </c>
    </row>
    <row r="25" spans="2:45">
      <c r="B25" s="77"/>
      <c r="C25" s="77"/>
      <c r="D25" s="92"/>
      <c r="E25" s="92"/>
      <c r="F25" s="92"/>
      <c r="G25" s="93"/>
      <c r="H25" s="92"/>
      <c r="I25" s="93"/>
      <c r="J25" s="92"/>
      <c r="K25" s="92"/>
      <c r="L25" s="92"/>
      <c r="M25" s="92"/>
      <c r="N25" s="93"/>
      <c r="O25" s="92"/>
      <c r="P25" s="92"/>
      <c r="Q25" s="92"/>
      <c r="R25" s="92"/>
      <c r="S25" s="93"/>
      <c r="T25" s="92"/>
      <c r="U25" s="92"/>
      <c r="V25" s="92"/>
      <c r="W25" s="94">
        <f>SUM(W7,W13:W17,W20)</f>
        <v>84610.866495659997</v>
      </c>
      <c r="X25" s="84">
        <f>SUM(X7,X13:X17,X20)</f>
        <v>83631.423667659998</v>
      </c>
      <c r="Y25" s="89"/>
    </row>
    <row r="26" spans="2:45">
      <c r="C26" s="78" t="s">
        <v>141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78"/>
      <c r="O26" s="95"/>
      <c r="P26" s="95"/>
      <c r="Q26" s="95"/>
      <c r="R26" s="95"/>
      <c r="S26" s="95"/>
      <c r="T26" s="95"/>
      <c r="U26" s="95"/>
      <c r="V26" s="95"/>
      <c r="W26" s="96">
        <f>SUM(W8:W12,W18:W19)</f>
        <v>177694.89160834003</v>
      </c>
      <c r="X26" s="84">
        <f>SUM(X8:X12,X18:X19)</f>
        <v>164492.87612934</v>
      </c>
      <c r="Y26" s="89"/>
    </row>
    <row r="27" spans="2:45" ht="81.75">
      <c r="C27" s="79"/>
      <c r="D27" s="80" t="s">
        <v>89</v>
      </c>
      <c r="E27" s="80" t="s">
        <v>72</v>
      </c>
      <c r="F27" s="80" t="s">
        <v>75</v>
      </c>
      <c r="G27" s="80" t="s">
        <v>37</v>
      </c>
      <c r="H27" s="80" t="s">
        <v>82</v>
      </c>
      <c r="I27" s="80" t="s">
        <v>38</v>
      </c>
      <c r="J27" s="80" t="s">
        <v>90</v>
      </c>
      <c r="K27" s="80" t="s">
        <v>84</v>
      </c>
      <c r="L27" s="80" t="s">
        <v>81</v>
      </c>
      <c r="M27" s="80" t="s">
        <v>66</v>
      </c>
      <c r="N27" s="80" t="s">
        <v>42</v>
      </c>
      <c r="O27" s="80" t="s">
        <v>101</v>
      </c>
      <c r="P27" s="80" t="s">
        <v>102</v>
      </c>
      <c r="Q27" s="80" t="s">
        <v>103</v>
      </c>
      <c r="R27" s="80" t="s">
        <v>83</v>
      </c>
      <c r="S27" s="80" t="s">
        <v>39</v>
      </c>
      <c r="T27" s="80" t="s">
        <v>104</v>
      </c>
      <c r="U27" s="80" t="s">
        <v>105</v>
      </c>
      <c r="V27" s="80" t="s">
        <v>71</v>
      </c>
      <c r="W27" s="81" t="s">
        <v>41</v>
      </c>
      <c r="X27" s="220" t="s">
        <v>122</v>
      </c>
      <c r="Y27" s="220" t="s">
        <v>123</v>
      </c>
      <c r="Z27" s="82"/>
      <c r="AA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</row>
    <row r="28" spans="2:45">
      <c r="C28" s="24" t="s">
        <v>26</v>
      </c>
      <c r="D28" s="83">
        <v>755.31991024000001</v>
      </c>
      <c r="E28" s="83">
        <v>3879.0931740000005</v>
      </c>
      <c r="F28" s="83">
        <v>2226.5081224999999</v>
      </c>
      <c r="G28" s="83" t="s">
        <v>0</v>
      </c>
      <c r="H28" s="83">
        <v>417.19885299999999</v>
      </c>
      <c r="I28" s="83">
        <v>3.275909</v>
      </c>
      <c r="J28" s="83">
        <v>318.08434799999998</v>
      </c>
      <c r="K28" s="83">
        <v>770.15189199999998</v>
      </c>
      <c r="L28" s="83">
        <v>8056.9914055399995</v>
      </c>
      <c r="M28" s="83">
        <v>5371.4442057760007</v>
      </c>
      <c r="N28" s="83" t="s">
        <v>0</v>
      </c>
      <c r="O28" s="83">
        <v>2304.3482882159997</v>
      </c>
      <c r="P28" s="83">
        <v>8525.5452416000007</v>
      </c>
      <c r="Q28" s="83">
        <v>167.442092</v>
      </c>
      <c r="R28" s="83">
        <v>122.874118</v>
      </c>
      <c r="S28" s="83" t="s">
        <v>0</v>
      </c>
      <c r="T28" s="83">
        <v>78.491162999999986</v>
      </c>
      <c r="U28" s="83">
        <v>660.52080999999998</v>
      </c>
      <c r="V28" s="83">
        <v>442.78316199999995</v>
      </c>
      <c r="W28" s="83">
        <f t="shared" ref="W28:W41" si="5">SUM(D28:V28)</f>
        <v>34100.072694871997</v>
      </c>
      <c r="X28" s="222">
        <f t="shared" ref="X28:X45" si="6">SUM(D28:F28,H28,J28:M28,O28:R28,T28:V28)</f>
        <v>34096.796785872</v>
      </c>
      <c r="Y28" s="222">
        <f t="shared" ref="Y28:Y45" si="7">SUM(G28,I28,N28,S28)</f>
        <v>3.275909</v>
      </c>
      <c r="Z28" s="75"/>
      <c r="AA28" s="76"/>
      <c r="AB28" s="75"/>
      <c r="AC28" s="75"/>
      <c r="AD28" s="97"/>
      <c r="AE28" s="97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6"/>
    </row>
    <row r="29" spans="2:45">
      <c r="C29" s="24" t="s">
        <v>68</v>
      </c>
      <c r="D29" s="83">
        <v>106.72110576</v>
      </c>
      <c r="E29" s="83">
        <v>133.91807500000002</v>
      </c>
      <c r="F29" s="83">
        <v>7.5048504999999999</v>
      </c>
      <c r="G29" s="83" t="s">
        <v>0</v>
      </c>
      <c r="H29" s="83">
        <v>966.36502199999995</v>
      </c>
      <c r="I29" s="83" t="s">
        <v>0</v>
      </c>
      <c r="J29" s="83">
        <v>291.68915099999998</v>
      </c>
      <c r="K29" s="83">
        <v>41.313352000000002</v>
      </c>
      <c r="L29" s="83">
        <v>347.11528745999999</v>
      </c>
      <c r="M29" s="83">
        <v>54.373875224000003</v>
      </c>
      <c r="N29" s="83" t="s">
        <v>0</v>
      </c>
      <c r="O29" s="83">
        <v>23.680346783999997</v>
      </c>
      <c r="P29" s="83">
        <v>36.696122400000007</v>
      </c>
      <c r="Q29" s="83" t="s">
        <v>0</v>
      </c>
      <c r="R29" s="83" t="s">
        <v>0</v>
      </c>
      <c r="S29" s="83" t="s">
        <v>0</v>
      </c>
      <c r="T29" s="83" t="s">
        <v>0</v>
      </c>
      <c r="U29" s="83" t="s">
        <v>0</v>
      </c>
      <c r="V29" s="83" t="s">
        <v>0</v>
      </c>
      <c r="W29" s="83">
        <f t="shared" si="5"/>
        <v>2009.3771881279997</v>
      </c>
      <c r="X29" s="222">
        <f t="shared" si="6"/>
        <v>2009.3771881279997</v>
      </c>
      <c r="Y29" s="222">
        <f t="shared" si="7"/>
        <v>0</v>
      </c>
      <c r="Z29" s="97"/>
      <c r="AA29" s="76"/>
      <c r="AB29" s="75"/>
      <c r="AC29" s="75"/>
      <c r="AD29" s="97"/>
      <c r="AE29" s="97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6"/>
    </row>
    <row r="30" spans="2:45">
      <c r="C30" s="24" t="s">
        <v>27</v>
      </c>
      <c r="D30" s="83" t="s">
        <v>0</v>
      </c>
      <c r="E30" s="83" t="s">
        <v>0</v>
      </c>
      <c r="F30" s="83" t="s">
        <v>0</v>
      </c>
      <c r="G30" s="83" t="s">
        <v>0</v>
      </c>
      <c r="H30" s="83">
        <v>8799.4141390000004</v>
      </c>
      <c r="I30" s="83" t="s">
        <v>0</v>
      </c>
      <c r="J30" s="83" t="s">
        <v>0</v>
      </c>
      <c r="K30" s="83">
        <v>7714.4555969999992</v>
      </c>
      <c r="L30" s="83" t="s">
        <v>0</v>
      </c>
      <c r="M30" s="83">
        <v>20999.317242000001</v>
      </c>
      <c r="N30" s="83" t="s">
        <v>0</v>
      </c>
      <c r="O30" s="83">
        <v>15684.428905000001</v>
      </c>
      <c r="P30" s="83" t="s">
        <v>0</v>
      </c>
      <c r="Q30" s="83" t="s">
        <v>0</v>
      </c>
      <c r="R30" s="83" t="s">
        <v>0</v>
      </c>
      <c r="S30" s="83" t="s">
        <v>0</v>
      </c>
      <c r="T30" s="83" t="s">
        <v>0</v>
      </c>
      <c r="U30" s="83" t="s">
        <v>0</v>
      </c>
      <c r="V30" s="83" t="s">
        <v>0</v>
      </c>
      <c r="W30" s="83">
        <f t="shared" si="5"/>
        <v>53197.615882999999</v>
      </c>
      <c r="X30" s="222">
        <f t="shared" si="6"/>
        <v>53197.615882999999</v>
      </c>
      <c r="Y30" s="222">
        <f t="shared" si="7"/>
        <v>0</v>
      </c>
      <c r="Z30" s="97"/>
      <c r="AA30" s="76"/>
      <c r="AB30" s="75"/>
      <c r="AD30" s="97"/>
      <c r="AE30" s="97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6"/>
      <c r="AS30" s="75"/>
    </row>
    <row r="31" spans="2:45">
      <c r="C31" s="24" t="s">
        <v>28</v>
      </c>
      <c r="D31" s="83">
        <v>10869.536484999999</v>
      </c>
      <c r="E31" s="83">
        <v>2941.4376010000005</v>
      </c>
      <c r="F31" s="83">
        <v>7485.1067439999997</v>
      </c>
      <c r="G31" s="83">
        <v>2391.8497910000006</v>
      </c>
      <c r="H31" s="83" t="s">
        <v>0</v>
      </c>
      <c r="I31" s="83" t="s">
        <v>0</v>
      </c>
      <c r="J31" s="83" t="s">
        <v>0</v>
      </c>
      <c r="K31" s="83" t="s">
        <v>0</v>
      </c>
      <c r="L31" s="83">
        <v>3277.8532390000005</v>
      </c>
      <c r="M31" s="83" t="s">
        <v>0</v>
      </c>
      <c r="N31" s="83" t="s">
        <v>0</v>
      </c>
      <c r="O31" s="83" t="s">
        <v>0</v>
      </c>
      <c r="P31" s="83">
        <v>10307.835974000001</v>
      </c>
      <c r="Q31" s="83" t="s">
        <v>0</v>
      </c>
      <c r="R31" s="83" t="s">
        <v>0</v>
      </c>
      <c r="S31" s="83" t="s">
        <v>0</v>
      </c>
      <c r="T31" s="83" t="s">
        <v>0</v>
      </c>
      <c r="U31" s="83" t="s">
        <v>0</v>
      </c>
      <c r="V31" s="83" t="s">
        <v>0</v>
      </c>
      <c r="W31" s="83">
        <f t="shared" si="5"/>
        <v>37273.619833999997</v>
      </c>
      <c r="X31" s="222">
        <f t="shared" si="6"/>
        <v>34881.770042999997</v>
      </c>
      <c r="Y31" s="222">
        <f t="shared" si="7"/>
        <v>2391.8497910000006</v>
      </c>
      <c r="Z31" s="97"/>
      <c r="AA31" s="76"/>
      <c r="AB31" s="75"/>
      <c r="AC31" s="75"/>
      <c r="AD31" s="97"/>
      <c r="AE31" s="97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6"/>
    </row>
    <row r="32" spans="2:45">
      <c r="C32" s="24" t="s">
        <v>115</v>
      </c>
      <c r="D32" s="83" t="s">
        <v>0</v>
      </c>
      <c r="E32" s="83" t="s">
        <v>0</v>
      </c>
      <c r="F32" s="83" t="s">
        <v>0</v>
      </c>
      <c r="G32" s="83">
        <v>1412.6826839999999</v>
      </c>
      <c r="H32" s="83" t="s">
        <v>0</v>
      </c>
      <c r="I32" s="83">
        <v>4860.9501870000013</v>
      </c>
      <c r="J32" s="83" t="s">
        <v>0</v>
      </c>
      <c r="K32" s="83" t="s">
        <v>0</v>
      </c>
      <c r="L32" s="83" t="s">
        <v>0</v>
      </c>
      <c r="M32" s="83" t="s">
        <v>0</v>
      </c>
      <c r="N32" s="83">
        <v>207.35622399999997</v>
      </c>
      <c r="O32" s="83" t="s">
        <v>0</v>
      </c>
      <c r="P32" s="83" t="s">
        <v>0</v>
      </c>
      <c r="Q32" s="83" t="s">
        <v>0</v>
      </c>
      <c r="R32" s="83" t="s">
        <v>0</v>
      </c>
      <c r="S32" s="83">
        <v>202.180767</v>
      </c>
      <c r="T32" s="83" t="s">
        <v>0</v>
      </c>
      <c r="U32" s="83" t="s">
        <v>0</v>
      </c>
      <c r="V32" s="83" t="s">
        <v>0</v>
      </c>
      <c r="W32" s="83">
        <f t="shared" si="5"/>
        <v>6683.1698620000016</v>
      </c>
      <c r="X32" s="222">
        <f t="shared" si="6"/>
        <v>0</v>
      </c>
      <c r="Y32" s="222">
        <f t="shared" si="7"/>
        <v>6683.1698620000016</v>
      </c>
      <c r="Z32" s="97"/>
      <c r="AA32" s="76"/>
      <c r="AB32" s="75"/>
      <c r="AC32" s="75"/>
      <c r="AD32" s="97"/>
      <c r="AE32" s="97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6"/>
    </row>
    <row r="33" spans="3:45">
      <c r="C33" s="24" t="s">
        <v>44</v>
      </c>
      <c r="D33" s="83">
        <v>6264.827126000001</v>
      </c>
      <c r="E33" s="83">
        <v>59.868959000000004</v>
      </c>
      <c r="F33" s="83">
        <v>586.41095199999995</v>
      </c>
      <c r="G33" s="83">
        <v>590.5292639999999</v>
      </c>
      <c r="H33" s="83">
        <v>4118.6404399999992</v>
      </c>
      <c r="I33" s="83">
        <v>3051.0216080000005</v>
      </c>
      <c r="J33" s="83" t="s">
        <v>0</v>
      </c>
      <c r="K33" s="83">
        <v>1401.751424</v>
      </c>
      <c r="L33" s="83" t="s">
        <v>0</v>
      </c>
      <c r="M33" s="83">
        <v>7136.7624990000004</v>
      </c>
      <c r="N33" s="83" t="s">
        <v>0</v>
      </c>
      <c r="O33" s="83" t="s">
        <v>0</v>
      </c>
      <c r="P33" s="83">
        <v>809.91663400000016</v>
      </c>
      <c r="Q33" s="83">
        <v>1096.230726</v>
      </c>
      <c r="R33" s="83" t="s">
        <v>0</v>
      </c>
      <c r="S33" s="83" t="s">
        <v>0</v>
      </c>
      <c r="T33" s="83">
        <v>2932.0502899999997</v>
      </c>
      <c r="U33" s="83">
        <v>649.23185200000012</v>
      </c>
      <c r="V33" s="83">
        <v>1347.3937570000001</v>
      </c>
      <c r="W33" s="83">
        <f t="shared" si="5"/>
        <v>30044.635531000007</v>
      </c>
      <c r="X33" s="222">
        <f t="shared" si="6"/>
        <v>26403.084659000007</v>
      </c>
      <c r="Y33" s="222">
        <f t="shared" si="7"/>
        <v>3641.5508720000003</v>
      </c>
      <c r="Z33" s="97"/>
      <c r="AA33" s="76"/>
      <c r="AB33" s="75"/>
      <c r="AD33" s="97"/>
      <c r="AE33" s="97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6"/>
      <c r="AS33" s="75"/>
    </row>
    <row r="34" spans="3:45">
      <c r="C34" s="24" t="s">
        <v>69</v>
      </c>
      <c r="D34" s="83" t="s">
        <v>0</v>
      </c>
      <c r="E34" s="83" t="s">
        <v>0</v>
      </c>
      <c r="F34" s="83" t="s">
        <v>0</v>
      </c>
      <c r="G34" s="83" t="s">
        <v>0</v>
      </c>
      <c r="H34" s="83" t="s">
        <v>0</v>
      </c>
      <c r="I34" s="83">
        <v>23.655544000000003</v>
      </c>
      <c r="J34" s="83" t="s">
        <v>0</v>
      </c>
      <c r="K34" s="83" t="s">
        <v>0</v>
      </c>
      <c r="L34" s="83" t="s">
        <v>0</v>
      </c>
      <c r="M34" s="83" t="s">
        <v>0</v>
      </c>
      <c r="N34" s="83" t="s">
        <v>0</v>
      </c>
      <c r="O34" s="83" t="s">
        <v>0</v>
      </c>
      <c r="P34" s="83" t="s">
        <v>0</v>
      </c>
      <c r="Q34" s="83" t="s">
        <v>0</v>
      </c>
      <c r="R34" s="83" t="s">
        <v>0</v>
      </c>
      <c r="S34" s="83" t="s">
        <v>0</v>
      </c>
      <c r="T34" s="83" t="s">
        <v>0</v>
      </c>
      <c r="U34" s="83" t="s">
        <v>0</v>
      </c>
      <c r="V34" s="83" t="s">
        <v>0</v>
      </c>
      <c r="W34" s="83">
        <f t="shared" si="5"/>
        <v>23.655544000000003</v>
      </c>
      <c r="X34" s="222">
        <f t="shared" si="6"/>
        <v>0</v>
      </c>
      <c r="Y34" s="222">
        <f t="shared" si="7"/>
        <v>23.655544000000003</v>
      </c>
      <c r="Z34" s="97"/>
      <c r="AA34" s="76"/>
      <c r="AB34" s="75"/>
      <c r="AC34" s="75"/>
      <c r="AD34" s="97"/>
      <c r="AE34" s="97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6"/>
    </row>
    <row r="35" spans="3:45">
      <c r="C35" s="24" t="s">
        <v>50</v>
      </c>
      <c r="D35" s="83">
        <v>6250.7780570000004</v>
      </c>
      <c r="E35" s="83">
        <v>4340.0370149999999</v>
      </c>
      <c r="F35" s="83">
        <v>1113.9868490000001</v>
      </c>
      <c r="G35" s="83">
        <v>3.7571710000000005</v>
      </c>
      <c r="H35" s="83">
        <v>2461.935328</v>
      </c>
      <c r="I35" s="83">
        <v>620.57070399999986</v>
      </c>
      <c r="J35" s="83">
        <v>66.871954000000002</v>
      </c>
      <c r="K35" s="83">
        <v>8065.1061529999988</v>
      </c>
      <c r="L35" s="83">
        <v>11435.242407000002</v>
      </c>
      <c r="M35" s="83">
        <v>2709.2184999999999</v>
      </c>
      <c r="N35" s="83" t="s">
        <v>0</v>
      </c>
      <c r="O35" s="83" t="s">
        <v>0</v>
      </c>
      <c r="P35" s="83">
        <v>8373.9055509999998</v>
      </c>
      <c r="Q35" s="83">
        <v>908.48087299999997</v>
      </c>
      <c r="R35" s="83" t="s">
        <v>0</v>
      </c>
      <c r="S35" s="83" t="s">
        <v>0</v>
      </c>
      <c r="T35" s="83">
        <v>496.015309</v>
      </c>
      <c r="U35" s="83">
        <v>2348.0077650000003</v>
      </c>
      <c r="V35" s="83">
        <v>332.14229700000004</v>
      </c>
      <c r="W35" s="83">
        <f t="shared" si="5"/>
        <v>49526.055933000011</v>
      </c>
      <c r="X35" s="222">
        <f t="shared" si="6"/>
        <v>48901.728058000008</v>
      </c>
      <c r="Y35" s="222">
        <f t="shared" si="7"/>
        <v>624.32787499999984</v>
      </c>
      <c r="Z35" s="97"/>
      <c r="AA35" s="76"/>
      <c r="AB35" s="75"/>
      <c r="AC35" s="75"/>
      <c r="AD35" s="97"/>
      <c r="AE35" s="97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6"/>
    </row>
    <row r="36" spans="3:45">
      <c r="C36" s="24" t="s">
        <v>51</v>
      </c>
      <c r="D36" s="83">
        <v>1469.5909060000001</v>
      </c>
      <c r="E36" s="83">
        <v>288.20882799999993</v>
      </c>
      <c r="F36" s="83">
        <v>0.48137599999999997</v>
      </c>
      <c r="G36" s="83">
        <v>112.251642</v>
      </c>
      <c r="H36" s="83">
        <v>525.94846900000005</v>
      </c>
      <c r="I36" s="83">
        <v>271.61321200000003</v>
      </c>
      <c r="J36" s="83">
        <v>1.8050139999999997</v>
      </c>
      <c r="K36" s="83">
        <v>1575.2437290000003</v>
      </c>
      <c r="L36" s="83">
        <v>801.59210800000005</v>
      </c>
      <c r="M36" s="83">
        <v>383.30437699999999</v>
      </c>
      <c r="N36" s="83" t="s">
        <v>0</v>
      </c>
      <c r="O36" s="83">
        <v>1018.155917</v>
      </c>
      <c r="P36" s="83">
        <v>18.521409999999999</v>
      </c>
      <c r="Q36" s="83">
        <v>130.12136900000002</v>
      </c>
      <c r="R36" s="83">
        <v>85.078797000000009</v>
      </c>
      <c r="S36" s="83">
        <v>7.4611000000000011E-2</v>
      </c>
      <c r="T36" s="83">
        <v>740.95403499999998</v>
      </c>
      <c r="U36" s="83">
        <v>295.66210700000005</v>
      </c>
      <c r="V36" s="83">
        <v>28.07601</v>
      </c>
      <c r="W36" s="83">
        <f t="shared" si="5"/>
        <v>7746.6839170000012</v>
      </c>
      <c r="X36" s="222">
        <f t="shared" si="6"/>
        <v>7362.7444520000017</v>
      </c>
      <c r="Y36" s="222">
        <f t="shared" si="7"/>
        <v>383.93946500000004</v>
      </c>
      <c r="Z36" s="97"/>
      <c r="AA36" s="76"/>
      <c r="AB36" s="75"/>
      <c r="AC36" s="75"/>
      <c r="AD36" s="97"/>
      <c r="AE36" s="97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6"/>
    </row>
    <row r="37" spans="3:45">
      <c r="C37" s="24" t="s">
        <v>67</v>
      </c>
      <c r="D37" s="83">
        <v>1937.6260470000002</v>
      </c>
      <c r="E37" s="83" t="s">
        <v>0</v>
      </c>
      <c r="F37" s="83" t="s">
        <v>0</v>
      </c>
      <c r="G37" s="83" t="s">
        <v>0</v>
      </c>
      <c r="H37" s="83">
        <v>87.712472999999989</v>
      </c>
      <c r="I37" s="83" t="s">
        <v>0</v>
      </c>
      <c r="J37" s="83" t="s">
        <v>0</v>
      </c>
      <c r="K37" s="83">
        <v>650.07807600000001</v>
      </c>
      <c r="L37" s="83" t="s">
        <v>0</v>
      </c>
      <c r="M37" s="83">
        <v>76.605625000000018</v>
      </c>
      <c r="N37" s="83" t="s">
        <v>0</v>
      </c>
      <c r="O37" s="83">
        <v>1634.3986690000002</v>
      </c>
      <c r="P37" s="83" t="s">
        <v>0</v>
      </c>
      <c r="Q37" s="83" t="s">
        <v>0</v>
      </c>
      <c r="R37" s="83" t="s">
        <v>0</v>
      </c>
      <c r="S37" s="83" t="s">
        <v>0</v>
      </c>
      <c r="T37" s="83">
        <v>37.907719</v>
      </c>
      <c r="U37" s="83" t="s">
        <v>0</v>
      </c>
      <c r="V37" s="83" t="s">
        <v>0</v>
      </c>
      <c r="W37" s="83">
        <f t="shared" si="5"/>
        <v>4424.3286090000001</v>
      </c>
      <c r="X37" s="222">
        <f t="shared" si="6"/>
        <v>4424.3286090000001</v>
      </c>
      <c r="Y37" s="222">
        <f t="shared" si="7"/>
        <v>0</v>
      </c>
      <c r="Z37" s="97"/>
      <c r="AA37" s="76"/>
      <c r="AB37" s="75"/>
      <c r="AC37" s="75"/>
      <c r="AD37" s="97"/>
      <c r="AE37" s="97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6"/>
    </row>
    <row r="38" spans="3:45">
      <c r="C38" s="24" t="s">
        <v>76</v>
      </c>
      <c r="D38" s="83">
        <v>1332.7616170000001</v>
      </c>
      <c r="E38" s="83">
        <v>53.709086000000006</v>
      </c>
      <c r="F38" s="83">
        <v>255.60142299999998</v>
      </c>
      <c r="G38" s="83">
        <v>1.332595</v>
      </c>
      <c r="H38" s="83">
        <v>37.879639000000005</v>
      </c>
      <c r="I38" s="83">
        <v>8.931597</v>
      </c>
      <c r="J38" s="83">
        <v>81.567729000000028</v>
      </c>
      <c r="K38" s="83">
        <v>271.49264000000005</v>
      </c>
      <c r="L38" s="83">
        <v>270.573217</v>
      </c>
      <c r="M38" s="83">
        <v>170.64164100000002</v>
      </c>
      <c r="N38" s="83" t="s">
        <v>0</v>
      </c>
      <c r="O38" s="83">
        <v>243.70050000000003</v>
      </c>
      <c r="P38" s="83">
        <v>263.03980300000001</v>
      </c>
      <c r="Q38" s="83">
        <v>8.3782479999999993</v>
      </c>
      <c r="R38" s="83">
        <v>151.29225699999998</v>
      </c>
      <c r="S38" s="83" t="s">
        <v>0</v>
      </c>
      <c r="T38" s="83">
        <v>48.662542999999999</v>
      </c>
      <c r="U38" s="83">
        <v>304.97233600000004</v>
      </c>
      <c r="V38" s="83">
        <v>51.845341999999995</v>
      </c>
      <c r="W38" s="83">
        <f t="shared" si="5"/>
        <v>3556.3822130000012</v>
      </c>
      <c r="X38" s="222">
        <f t="shared" si="6"/>
        <v>3546.1180210000007</v>
      </c>
      <c r="Y38" s="222">
        <f t="shared" si="7"/>
        <v>10.264192</v>
      </c>
      <c r="Z38" s="97"/>
      <c r="AA38" s="76"/>
      <c r="AB38" s="75"/>
      <c r="AC38" s="75"/>
      <c r="AD38" s="97"/>
      <c r="AE38" s="97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6"/>
    </row>
    <row r="39" spans="3:45">
      <c r="C39" s="24" t="s">
        <v>74</v>
      </c>
      <c r="D39" s="83">
        <v>5198.4369230000011</v>
      </c>
      <c r="E39" s="83">
        <v>3093.716136</v>
      </c>
      <c r="F39" s="83">
        <v>356.827179</v>
      </c>
      <c r="G39" s="83">
        <v>34.974446</v>
      </c>
      <c r="H39" s="83">
        <v>1642.0519319999999</v>
      </c>
      <c r="I39" s="83" t="s">
        <v>0</v>
      </c>
      <c r="J39" s="83">
        <v>1379.6232369999998</v>
      </c>
      <c r="K39" s="83">
        <v>1172.606</v>
      </c>
      <c r="L39" s="83">
        <v>2578.5278739999999</v>
      </c>
      <c r="M39" s="83">
        <v>5315.2279060000001</v>
      </c>
      <c r="N39" s="83" t="s">
        <v>0</v>
      </c>
      <c r="O39" s="83">
        <v>70.359118999999993</v>
      </c>
      <c r="P39" s="83">
        <v>2625.4122470000002</v>
      </c>
      <c r="Q39" s="83">
        <v>81.983378000000002</v>
      </c>
      <c r="R39" s="83">
        <v>728.44822999999997</v>
      </c>
      <c r="S39" s="83" t="s">
        <v>0</v>
      </c>
      <c r="T39" s="83">
        <v>1752.6677179999999</v>
      </c>
      <c r="U39" s="83">
        <v>921.23079900000005</v>
      </c>
      <c r="V39" s="83">
        <v>2057.6537390000003</v>
      </c>
      <c r="W39" s="83">
        <f t="shared" si="5"/>
        <v>29009.746863</v>
      </c>
      <c r="X39" s="222">
        <f t="shared" si="6"/>
        <v>28974.772417</v>
      </c>
      <c r="Y39" s="222">
        <f t="shared" si="7"/>
        <v>34.974446</v>
      </c>
      <c r="Z39" s="97"/>
      <c r="AA39" s="76"/>
      <c r="AB39" s="75"/>
      <c r="AC39" s="75"/>
      <c r="AD39" s="97"/>
      <c r="AE39" s="97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6"/>
    </row>
    <row r="40" spans="3:45">
      <c r="C40" s="24" t="s">
        <v>96</v>
      </c>
      <c r="D40" s="83">
        <v>75.411570000000012</v>
      </c>
      <c r="E40" s="83">
        <v>409.02124000000003</v>
      </c>
      <c r="F40" s="83">
        <v>768.88472899999999</v>
      </c>
      <c r="G40" s="83">
        <v>135.7577445</v>
      </c>
      <c r="H40" s="83">
        <v>62.64631</v>
      </c>
      <c r="I40" s="83" t="s">
        <v>0</v>
      </c>
      <c r="J40" s="83">
        <v>36.435972499999991</v>
      </c>
      <c r="K40" s="83" t="s">
        <v>0</v>
      </c>
      <c r="L40" s="83" t="s">
        <v>0</v>
      </c>
      <c r="M40" s="83">
        <v>127.88268299999997</v>
      </c>
      <c r="N40" s="83" t="s">
        <v>0</v>
      </c>
      <c r="O40" s="83" t="s">
        <v>0</v>
      </c>
      <c r="P40" s="83">
        <v>173.02915299999998</v>
      </c>
      <c r="Q40" s="83" t="s">
        <v>0</v>
      </c>
      <c r="R40" s="83">
        <v>81.509521500000005</v>
      </c>
      <c r="S40" s="83">
        <v>5.346839000000001</v>
      </c>
      <c r="T40" s="83" t="s">
        <v>0</v>
      </c>
      <c r="U40" s="83" t="s">
        <v>0</v>
      </c>
      <c r="V40" s="83">
        <v>560.86630749999995</v>
      </c>
      <c r="W40" s="83">
        <f t="shared" si="5"/>
        <v>2436.7920700000004</v>
      </c>
      <c r="X40" s="222">
        <f t="shared" si="6"/>
        <v>2295.6874865</v>
      </c>
      <c r="Y40" s="222">
        <f t="shared" si="7"/>
        <v>141.10458349999999</v>
      </c>
      <c r="Z40" s="97"/>
      <c r="AA40" s="76"/>
      <c r="AB40" s="75"/>
      <c r="AC40" s="75"/>
      <c r="AD40" s="97"/>
      <c r="AE40" s="97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6"/>
    </row>
    <row r="41" spans="3:45">
      <c r="C41" s="24" t="s">
        <v>97</v>
      </c>
      <c r="D41" s="83" t="s">
        <v>0</v>
      </c>
      <c r="E41" s="83" t="s">
        <v>0</v>
      </c>
      <c r="F41" s="83" t="s">
        <v>0</v>
      </c>
      <c r="G41" s="83">
        <v>135.7577445</v>
      </c>
      <c r="H41" s="83" t="s">
        <v>0</v>
      </c>
      <c r="I41" s="83" t="s">
        <v>0</v>
      </c>
      <c r="J41" s="83">
        <v>36.435972499999991</v>
      </c>
      <c r="K41" s="83" t="s">
        <v>0</v>
      </c>
      <c r="L41" s="83" t="s">
        <v>0</v>
      </c>
      <c r="M41" s="83">
        <v>120.054013</v>
      </c>
      <c r="N41" s="83" t="s">
        <v>0</v>
      </c>
      <c r="O41" s="83" t="s">
        <v>0</v>
      </c>
      <c r="P41" s="83">
        <v>173.02915299999998</v>
      </c>
      <c r="Q41" s="83" t="s">
        <v>0</v>
      </c>
      <c r="R41" s="83">
        <v>81.509521500000005</v>
      </c>
      <c r="S41" s="83">
        <v>5.346839000000001</v>
      </c>
      <c r="T41" s="83" t="s">
        <v>0</v>
      </c>
      <c r="U41" s="83" t="s">
        <v>0</v>
      </c>
      <c r="V41" s="83">
        <v>321.94200149999995</v>
      </c>
      <c r="W41" s="83">
        <f t="shared" si="5"/>
        <v>874.075245</v>
      </c>
      <c r="X41" s="222">
        <f t="shared" si="6"/>
        <v>732.97066149999989</v>
      </c>
      <c r="Y41" s="222">
        <f t="shared" si="7"/>
        <v>141.10458349999999</v>
      </c>
      <c r="Z41" s="97"/>
      <c r="AA41" s="76"/>
      <c r="AB41" s="75"/>
      <c r="AC41" s="75"/>
      <c r="AD41" s="97"/>
      <c r="AE41" s="97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6"/>
    </row>
    <row r="42" spans="3:45">
      <c r="C42" s="86" t="s">
        <v>73</v>
      </c>
      <c r="D42" s="87">
        <f t="shared" ref="D42:W42" si="8">SUM(D28:D41)</f>
        <v>34261.009747000004</v>
      </c>
      <c r="E42" s="87">
        <f t="shared" si="8"/>
        <v>15199.010114000002</v>
      </c>
      <c r="F42" s="87">
        <f t="shared" si="8"/>
        <v>12801.312225</v>
      </c>
      <c r="G42" s="87">
        <f t="shared" si="8"/>
        <v>4818.8930820000005</v>
      </c>
      <c r="H42" s="87">
        <f t="shared" si="8"/>
        <v>19119.792604999995</v>
      </c>
      <c r="I42" s="87">
        <f t="shared" si="8"/>
        <v>8840.018761000003</v>
      </c>
      <c r="J42" s="87">
        <f t="shared" si="8"/>
        <v>2212.5133779999996</v>
      </c>
      <c r="K42" s="87">
        <f t="shared" si="8"/>
        <v>21662.198863000001</v>
      </c>
      <c r="L42" s="87">
        <f t="shared" si="8"/>
        <v>26767.895538000004</v>
      </c>
      <c r="M42" s="87">
        <f t="shared" si="8"/>
        <v>42464.832567000005</v>
      </c>
      <c r="N42" s="87">
        <f t="shared" si="8"/>
        <v>207.35622399999997</v>
      </c>
      <c r="O42" s="87">
        <f t="shared" si="8"/>
        <v>20979.071745000001</v>
      </c>
      <c r="P42" s="87">
        <f t="shared" si="8"/>
        <v>31306.931289000004</v>
      </c>
      <c r="Q42" s="87">
        <f t="shared" si="8"/>
        <v>2392.6366859999998</v>
      </c>
      <c r="R42" s="87">
        <f t="shared" si="8"/>
        <v>1250.7124450000001</v>
      </c>
      <c r="S42" s="87">
        <f t="shared" si="8"/>
        <v>212.94905599999998</v>
      </c>
      <c r="T42" s="87">
        <f t="shared" si="8"/>
        <v>6086.7487769999998</v>
      </c>
      <c r="U42" s="87">
        <f t="shared" si="8"/>
        <v>5179.625669</v>
      </c>
      <c r="V42" s="87">
        <f t="shared" si="8"/>
        <v>5142.7026160000005</v>
      </c>
      <c r="W42" s="88">
        <f t="shared" si="8"/>
        <v>260906.21138699999</v>
      </c>
      <c r="X42" s="222">
        <f t="shared" si="6"/>
        <v>246826.99426400004</v>
      </c>
      <c r="Y42" s="222">
        <f t="shared" si="7"/>
        <v>14079.217123000002</v>
      </c>
      <c r="Z42" s="97"/>
      <c r="AA42" s="76"/>
      <c r="AB42" s="75"/>
      <c r="AC42" s="75"/>
      <c r="AD42" s="97"/>
      <c r="AE42" s="97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6"/>
    </row>
    <row r="43" spans="3:45">
      <c r="C43" s="24" t="s">
        <v>124</v>
      </c>
      <c r="D43" s="83">
        <v>-156.51037200000002</v>
      </c>
      <c r="E43" s="83">
        <v>-158.032501</v>
      </c>
      <c r="F43" s="83">
        <v>-11.269874999999999</v>
      </c>
      <c r="G43" s="83" t="s">
        <v>0</v>
      </c>
      <c r="H43" s="83">
        <v>-1273.3075200000001</v>
      </c>
      <c r="I43" s="83" t="s">
        <v>0</v>
      </c>
      <c r="J43" s="83">
        <v>-429.39357400000006</v>
      </c>
      <c r="K43" s="83">
        <v>-61.386667919000004</v>
      </c>
      <c r="L43" s="83">
        <v>-753.95074099999999</v>
      </c>
      <c r="M43" s="83">
        <v>-81.406797999999995</v>
      </c>
      <c r="N43" s="83" t="s">
        <v>0</v>
      </c>
      <c r="O43" s="83">
        <v>-42.187336000000002</v>
      </c>
      <c r="P43" s="83">
        <v>-233.26469</v>
      </c>
      <c r="Q43" s="83" t="s">
        <v>0</v>
      </c>
      <c r="R43" s="83" t="s">
        <v>0</v>
      </c>
      <c r="S43" s="83" t="s">
        <v>0</v>
      </c>
      <c r="T43" s="83" t="s">
        <v>0</v>
      </c>
      <c r="U43" s="83" t="s">
        <v>0</v>
      </c>
      <c r="V43" s="83" t="s">
        <v>0</v>
      </c>
      <c r="W43" s="83">
        <f>SUM(D43:V43)</f>
        <v>-3200.7100749190004</v>
      </c>
      <c r="X43" s="222">
        <f t="shared" si="6"/>
        <v>-3200.7100749190004</v>
      </c>
      <c r="Y43" s="222">
        <f t="shared" si="7"/>
        <v>0</v>
      </c>
      <c r="Z43" s="75"/>
      <c r="AA43" s="75"/>
      <c r="AB43" s="75"/>
      <c r="AC43" s="75"/>
      <c r="AD43" s="97"/>
      <c r="AE43" s="97"/>
      <c r="AF43" s="75"/>
      <c r="AG43" s="8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99"/>
    </row>
    <row r="44" spans="3:45">
      <c r="C44" s="24" t="s">
        <v>125</v>
      </c>
      <c r="D44" s="83">
        <v>6132.3060919999998</v>
      </c>
      <c r="E44" s="83">
        <v>-4310.4076329999998</v>
      </c>
      <c r="F44" s="83">
        <v>-2151.4477730000003</v>
      </c>
      <c r="G44" s="83">
        <v>1233.358142</v>
      </c>
      <c r="H44" s="83">
        <v>9653.8781980000003</v>
      </c>
      <c r="I44" s="83" t="s">
        <v>0</v>
      </c>
      <c r="J44" s="83">
        <v>2491.5533569999998</v>
      </c>
      <c r="K44" s="83">
        <v>-9852.7365849999987</v>
      </c>
      <c r="L44" s="83">
        <v>-11725.649815000001</v>
      </c>
      <c r="M44" s="83">
        <v>4939.0757779999994</v>
      </c>
      <c r="N44" s="83" t="s">
        <v>0</v>
      </c>
      <c r="O44" s="83">
        <v>-15882.247665000001</v>
      </c>
      <c r="P44" s="83">
        <v>-11160.216081</v>
      </c>
      <c r="Q44" s="83">
        <v>-679.88085599999988</v>
      </c>
      <c r="R44" s="83">
        <v>27373.664730999997</v>
      </c>
      <c r="S44" s="83" t="s">
        <v>0</v>
      </c>
      <c r="T44" s="83">
        <v>3526.1783379999997</v>
      </c>
      <c r="U44" s="83">
        <v>-53.782840000000022</v>
      </c>
      <c r="V44" s="83">
        <v>11568.665766000002</v>
      </c>
      <c r="W44" s="83">
        <f>SUM(D44:V44)</f>
        <v>11102.311153999997</v>
      </c>
      <c r="X44" s="222">
        <f t="shared" si="6"/>
        <v>9868.9530119999999</v>
      </c>
      <c r="Y44" s="222">
        <f t="shared" si="7"/>
        <v>1233.358142</v>
      </c>
      <c r="AC44" s="75"/>
      <c r="AD44" s="97"/>
      <c r="AE44" s="97"/>
    </row>
    <row r="45" spans="3:45">
      <c r="C45" s="79" t="s">
        <v>40</v>
      </c>
      <c r="D45" s="90">
        <f t="shared" ref="D45:V45" si="9">SUM(D42:D44)</f>
        <v>40236.805467000006</v>
      </c>
      <c r="E45" s="90">
        <f t="shared" si="9"/>
        <v>10730.569980000004</v>
      </c>
      <c r="F45" s="90">
        <f t="shared" si="9"/>
        <v>10638.594577</v>
      </c>
      <c r="G45" s="90">
        <f t="shared" si="9"/>
        <v>6052.2512240000005</v>
      </c>
      <c r="H45" s="90">
        <f t="shared" si="9"/>
        <v>27500.363282999999</v>
      </c>
      <c r="I45" s="90">
        <f t="shared" si="9"/>
        <v>8840.018761000003</v>
      </c>
      <c r="J45" s="90">
        <f t="shared" si="9"/>
        <v>4274.6731609999988</v>
      </c>
      <c r="K45" s="90">
        <f t="shared" si="9"/>
        <v>11748.075610081003</v>
      </c>
      <c r="L45" s="90">
        <f t="shared" si="9"/>
        <v>14288.294982000003</v>
      </c>
      <c r="M45" s="90">
        <f t="shared" si="9"/>
        <v>47322.501547</v>
      </c>
      <c r="N45" s="90">
        <f t="shared" si="9"/>
        <v>207.35622399999997</v>
      </c>
      <c r="O45" s="90">
        <f t="shared" si="9"/>
        <v>5054.6367440000013</v>
      </c>
      <c r="P45" s="90">
        <f t="shared" si="9"/>
        <v>19913.450518000005</v>
      </c>
      <c r="Q45" s="90">
        <f t="shared" si="9"/>
        <v>1712.7558300000001</v>
      </c>
      <c r="R45" s="90">
        <f t="shared" si="9"/>
        <v>28624.377175999998</v>
      </c>
      <c r="S45" s="90">
        <f t="shared" si="9"/>
        <v>212.94905599999998</v>
      </c>
      <c r="T45" s="90">
        <f t="shared" si="9"/>
        <v>9612.9271149999986</v>
      </c>
      <c r="U45" s="90">
        <f t="shared" si="9"/>
        <v>5125.8428290000002</v>
      </c>
      <c r="V45" s="90">
        <f t="shared" si="9"/>
        <v>16711.368382000001</v>
      </c>
      <c r="W45" s="91">
        <f>W42+W43+W44</f>
        <v>268807.812466081</v>
      </c>
      <c r="X45" s="222">
        <f t="shared" si="6"/>
        <v>253495.23720108101</v>
      </c>
      <c r="Y45" s="222">
        <f t="shared" si="7"/>
        <v>15312.575265000001</v>
      </c>
      <c r="AC45" s="75"/>
      <c r="AD45" s="97"/>
      <c r="AE45" s="97"/>
    </row>
    <row r="46" spans="3:45">
      <c r="D46" s="100">
        <f t="shared" ref="D46:W46" si="10">(D42/D45)*100</f>
        <v>85.148434000554502</v>
      </c>
      <c r="E46" s="100">
        <f t="shared" si="10"/>
        <v>141.64215081145201</v>
      </c>
      <c r="F46" s="100">
        <f t="shared" si="10"/>
        <v>120.32897891113987</v>
      </c>
      <c r="G46" s="100">
        <f t="shared" si="10"/>
        <v>79.62149791288968</v>
      </c>
      <c r="H46" s="100">
        <f t="shared" si="10"/>
        <v>69.52560011023327</v>
      </c>
      <c r="I46" s="100">
        <f t="shared" si="10"/>
        <v>100</v>
      </c>
      <c r="J46" s="100">
        <f t="shared" si="10"/>
        <v>51.758656034474782</v>
      </c>
      <c r="K46" s="100">
        <f t="shared" si="10"/>
        <v>184.38933815178808</v>
      </c>
      <c r="L46" s="100">
        <f t="shared" si="10"/>
        <v>187.34142577348422</v>
      </c>
      <c r="M46" s="100">
        <f t="shared" si="10"/>
        <v>89.734970001162267</v>
      </c>
      <c r="N46" s="100">
        <f t="shared" si="10"/>
        <v>100</v>
      </c>
      <c r="O46" s="100">
        <f t="shared" si="10"/>
        <v>415.04608159830207</v>
      </c>
      <c r="P46" s="100">
        <f t="shared" si="10"/>
        <v>157.21500028687291</v>
      </c>
      <c r="Q46" s="100">
        <f t="shared" si="10"/>
        <v>139.69514183466535</v>
      </c>
      <c r="R46" s="100">
        <f t="shared" si="10"/>
        <v>4.3693961874169807</v>
      </c>
      <c r="S46" s="100">
        <f t="shared" si="10"/>
        <v>100</v>
      </c>
      <c r="T46" s="100">
        <f t="shared" si="10"/>
        <v>63.31837019238651</v>
      </c>
      <c r="U46" s="100">
        <f t="shared" si="10"/>
        <v>101.0492487146839</v>
      </c>
      <c r="V46" s="100">
        <f t="shared" si="10"/>
        <v>30.773677525649319</v>
      </c>
      <c r="W46" s="100">
        <f t="shared" si="10"/>
        <v>97.060501699489095</v>
      </c>
      <c r="X46" s="84">
        <f>SUM(X28,X34:X38,X41)</f>
        <v>99064.686587372009</v>
      </c>
      <c r="Y46" s="98">
        <f>((X46/X25)-1)*100</f>
        <v>18.453904337491277</v>
      </c>
      <c r="AD46" s="97"/>
      <c r="AE46" s="97"/>
    </row>
    <row r="47" spans="3:45">
      <c r="C47" s="78" t="s">
        <v>131</v>
      </c>
      <c r="D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3:45" ht="81.75">
      <c r="C48" s="79"/>
      <c r="D48" s="80" t="s">
        <v>89</v>
      </c>
      <c r="E48" s="81" t="s">
        <v>72</v>
      </c>
      <c r="F48" s="80" t="s">
        <v>75</v>
      </c>
      <c r="G48" s="80" t="s">
        <v>37</v>
      </c>
      <c r="H48" s="80" t="s">
        <v>82</v>
      </c>
      <c r="I48" s="80" t="s">
        <v>38</v>
      </c>
      <c r="J48" s="80" t="s">
        <v>90</v>
      </c>
      <c r="K48" s="80" t="s">
        <v>84</v>
      </c>
      <c r="L48" s="80" t="s">
        <v>81</v>
      </c>
      <c r="M48" s="80" t="s">
        <v>66</v>
      </c>
      <c r="N48" s="80" t="s">
        <v>42</v>
      </c>
      <c r="O48" s="80" t="s">
        <v>101</v>
      </c>
      <c r="P48" s="80" t="s">
        <v>102</v>
      </c>
      <c r="Q48" s="80" t="s">
        <v>103</v>
      </c>
      <c r="R48" s="80" t="s">
        <v>83</v>
      </c>
      <c r="S48" s="80" t="s">
        <v>39</v>
      </c>
      <c r="T48" s="80" t="s">
        <v>104</v>
      </c>
      <c r="U48" s="80" t="s">
        <v>105</v>
      </c>
      <c r="V48" s="80" t="s">
        <v>71</v>
      </c>
      <c r="W48" s="81" t="s">
        <v>41</v>
      </c>
      <c r="X48" s="81" t="s">
        <v>122</v>
      </c>
      <c r="Y48" s="81" t="s">
        <v>123</v>
      </c>
      <c r="Z48" s="530"/>
    </row>
    <row r="49" spans="3:26">
      <c r="C49" s="24" t="s">
        <v>26</v>
      </c>
      <c r="D49" s="83">
        <v>589.57399999999996</v>
      </c>
      <c r="E49" s="83">
        <v>1333.7075</v>
      </c>
      <c r="F49" s="83">
        <v>804.75179999999989</v>
      </c>
      <c r="G49" s="83" t="s">
        <v>0</v>
      </c>
      <c r="H49" s="83">
        <v>639.78399999999988</v>
      </c>
      <c r="I49" s="83">
        <v>2.02</v>
      </c>
      <c r="J49" s="83">
        <v>98.841999999999985</v>
      </c>
      <c r="K49" s="83">
        <v>650.24199999999996</v>
      </c>
      <c r="L49" s="83">
        <v>4401.1028999999999</v>
      </c>
      <c r="M49" s="83">
        <v>1913.0778</v>
      </c>
      <c r="N49" s="83" t="s">
        <v>0</v>
      </c>
      <c r="O49" s="83">
        <v>2277.8123000000001</v>
      </c>
      <c r="P49" s="83">
        <v>3701.5756900000001</v>
      </c>
      <c r="Q49" s="83">
        <v>52.205539999999999</v>
      </c>
      <c r="R49" s="83">
        <v>108.51659999999998</v>
      </c>
      <c r="S49" s="83" t="s">
        <v>0</v>
      </c>
      <c r="T49" s="83">
        <v>33.592999999999996</v>
      </c>
      <c r="U49" s="83">
        <v>254.76300000000001</v>
      </c>
      <c r="V49" s="83">
        <v>170.67649999999998</v>
      </c>
      <c r="W49" s="83">
        <f t="shared" ref="W49:W62" si="11">SUM(D49:V49)</f>
        <v>17032.244629999997</v>
      </c>
      <c r="X49" s="83">
        <f t="shared" ref="X49:X63" si="12">SUM(D49:F49,H49,J49:M49,O49:R49,T49:V49)</f>
        <v>17030.224629999997</v>
      </c>
      <c r="Y49" s="83">
        <f t="shared" ref="Y49:Y63" si="13">SUM(G49,I49,N49,S49)</f>
        <v>2.02</v>
      </c>
      <c r="Z49" s="528">
        <f>X49/$X$63*100</f>
        <v>17.225025637942469</v>
      </c>
    </row>
    <row r="50" spans="3:26">
      <c r="C50" s="24" t="s">
        <v>68</v>
      </c>
      <c r="D50" s="83">
        <v>582.88</v>
      </c>
      <c r="E50" s="83">
        <v>219.14</v>
      </c>
      <c r="F50" s="83" t="s">
        <v>0</v>
      </c>
      <c r="G50" s="83" t="s">
        <v>0</v>
      </c>
      <c r="H50" s="83">
        <v>1511.95</v>
      </c>
      <c r="I50" s="83" t="s">
        <v>0</v>
      </c>
      <c r="J50" s="83">
        <v>360.6</v>
      </c>
      <c r="K50" s="83">
        <v>215</v>
      </c>
      <c r="L50" s="83" t="s">
        <v>0</v>
      </c>
      <c r="M50" s="83">
        <v>439.32</v>
      </c>
      <c r="N50" s="83" t="s">
        <v>0</v>
      </c>
      <c r="O50" s="83" t="s">
        <v>0</v>
      </c>
      <c r="P50" s="83" t="s">
        <v>0</v>
      </c>
      <c r="Q50" s="83" t="s">
        <v>0</v>
      </c>
      <c r="R50" s="83" t="s">
        <v>0</v>
      </c>
      <c r="S50" s="83" t="s">
        <v>0</v>
      </c>
      <c r="T50" s="83" t="s">
        <v>0</v>
      </c>
      <c r="U50" s="83" t="s">
        <v>0</v>
      </c>
      <c r="V50" s="83" t="s">
        <v>0</v>
      </c>
      <c r="W50" s="83">
        <f t="shared" si="11"/>
        <v>3328.8900000000003</v>
      </c>
      <c r="X50" s="83">
        <f t="shared" si="12"/>
        <v>3328.8900000000003</v>
      </c>
      <c r="Y50" s="83">
        <f t="shared" si="13"/>
        <v>0</v>
      </c>
      <c r="Z50" s="528">
        <f t="shared" ref="Z50:Z62" si="14">X50/$X$63*100</f>
        <v>3.3669676614177644</v>
      </c>
    </row>
    <row r="51" spans="3:26">
      <c r="C51" s="24" t="s">
        <v>127</v>
      </c>
      <c r="D51" s="83" t="s">
        <v>0</v>
      </c>
      <c r="E51" s="83" t="s">
        <v>0</v>
      </c>
      <c r="F51" s="83" t="s">
        <v>0</v>
      </c>
      <c r="G51" s="83" t="s">
        <v>0</v>
      </c>
      <c r="H51" s="83">
        <v>1063.94</v>
      </c>
      <c r="I51" s="83" t="s">
        <v>0</v>
      </c>
      <c r="J51" s="83" t="s">
        <v>0</v>
      </c>
      <c r="K51" s="83">
        <v>1003.41</v>
      </c>
      <c r="L51" s="83" t="s">
        <v>0</v>
      </c>
      <c r="M51" s="83">
        <v>3032.81</v>
      </c>
      <c r="N51" s="83" t="s">
        <v>0</v>
      </c>
      <c r="O51" s="83">
        <v>2017.13</v>
      </c>
      <c r="P51" s="83" t="s">
        <v>0</v>
      </c>
      <c r="Q51" s="83" t="s">
        <v>0</v>
      </c>
      <c r="R51" s="83" t="s">
        <v>0</v>
      </c>
      <c r="S51" s="83" t="s">
        <v>0</v>
      </c>
      <c r="T51" s="83" t="s">
        <v>0</v>
      </c>
      <c r="U51" s="83" t="s">
        <v>0</v>
      </c>
      <c r="V51" s="83" t="s">
        <v>0</v>
      </c>
      <c r="W51" s="74">
        <f t="shared" si="11"/>
        <v>7117.29</v>
      </c>
      <c r="X51" s="74">
        <f t="shared" si="12"/>
        <v>7117.29</v>
      </c>
      <c r="Y51" s="74">
        <f t="shared" si="13"/>
        <v>0</v>
      </c>
      <c r="Z51" s="529">
        <f t="shared" si="14"/>
        <v>7.198701449111276</v>
      </c>
    </row>
    <row r="52" spans="3:26">
      <c r="C52" s="24" t="s">
        <v>128</v>
      </c>
      <c r="D52" s="83">
        <v>1989.4</v>
      </c>
      <c r="E52" s="83">
        <v>1055.77</v>
      </c>
      <c r="F52" s="83">
        <v>2073.42</v>
      </c>
      <c r="G52" s="83">
        <v>468.4</v>
      </c>
      <c r="H52" s="83" t="s">
        <v>0</v>
      </c>
      <c r="I52" s="83" t="s">
        <v>0</v>
      </c>
      <c r="J52" s="83" t="s">
        <v>0</v>
      </c>
      <c r="K52" s="83" t="s">
        <v>0</v>
      </c>
      <c r="L52" s="83">
        <v>2456.89</v>
      </c>
      <c r="M52" s="83" t="s">
        <v>0</v>
      </c>
      <c r="N52" s="83" t="s">
        <v>0</v>
      </c>
      <c r="O52" s="83" t="s">
        <v>0</v>
      </c>
      <c r="P52" s="83">
        <v>1960.39</v>
      </c>
      <c r="Q52" s="83" t="s">
        <v>0</v>
      </c>
      <c r="R52" s="83" t="s">
        <v>0</v>
      </c>
      <c r="S52" s="83" t="s">
        <v>0</v>
      </c>
      <c r="T52" s="83" t="s">
        <v>0</v>
      </c>
      <c r="U52" s="83" t="s">
        <v>0</v>
      </c>
      <c r="V52" s="83" t="s">
        <v>0</v>
      </c>
      <c r="W52" s="83">
        <f t="shared" si="11"/>
        <v>10004.269999999999</v>
      </c>
      <c r="X52" s="83">
        <f t="shared" si="12"/>
        <v>9535.869999999999</v>
      </c>
      <c r="Y52" s="83">
        <f t="shared" si="13"/>
        <v>468.4</v>
      </c>
      <c r="Z52" s="528">
        <f t="shared" si="14"/>
        <v>9.6449464877132662</v>
      </c>
    </row>
    <row r="53" spans="3:26">
      <c r="C53" s="24" t="s">
        <v>129</v>
      </c>
      <c r="D53" s="83" t="s">
        <v>0</v>
      </c>
      <c r="E53" s="83" t="s">
        <v>0</v>
      </c>
      <c r="F53" s="83" t="s">
        <v>0</v>
      </c>
      <c r="G53" s="83">
        <v>787.4</v>
      </c>
      <c r="H53" s="83" t="s">
        <v>0</v>
      </c>
      <c r="I53" s="83">
        <v>1535.7</v>
      </c>
      <c r="J53" s="83" t="s">
        <v>0</v>
      </c>
      <c r="K53" s="83" t="s">
        <v>0</v>
      </c>
      <c r="L53" s="83" t="s">
        <v>0</v>
      </c>
      <c r="M53" s="83" t="s">
        <v>0</v>
      </c>
      <c r="N53" s="83">
        <v>90.82</v>
      </c>
      <c r="O53" s="83" t="s">
        <v>0</v>
      </c>
      <c r="P53" s="83" t="s">
        <v>0</v>
      </c>
      <c r="Q53" s="83" t="s">
        <v>0</v>
      </c>
      <c r="R53" s="83" t="s">
        <v>0</v>
      </c>
      <c r="S53" s="83">
        <v>76.14</v>
      </c>
      <c r="T53" s="83" t="s">
        <v>0</v>
      </c>
      <c r="U53" s="83" t="s">
        <v>0</v>
      </c>
      <c r="V53" s="83" t="s">
        <v>0</v>
      </c>
      <c r="W53" s="83">
        <f t="shared" si="11"/>
        <v>2490.06</v>
      </c>
      <c r="X53" s="83">
        <f t="shared" si="12"/>
        <v>0</v>
      </c>
      <c r="Y53" s="83">
        <f t="shared" si="13"/>
        <v>2490.06</v>
      </c>
      <c r="Z53" s="528">
        <f t="shared" si="14"/>
        <v>0</v>
      </c>
    </row>
    <row r="54" spans="3:26">
      <c r="C54" s="24" t="s">
        <v>130</v>
      </c>
      <c r="D54" s="83">
        <v>5951.72</v>
      </c>
      <c r="E54" s="83">
        <v>1869.68</v>
      </c>
      <c r="F54" s="83">
        <v>854.17</v>
      </c>
      <c r="G54" s="83">
        <v>857.95</v>
      </c>
      <c r="H54" s="83">
        <v>2853.54</v>
      </c>
      <c r="I54" s="83">
        <v>864.2</v>
      </c>
      <c r="J54" s="83" t="s">
        <v>0</v>
      </c>
      <c r="K54" s="83">
        <v>758.74</v>
      </c>
      <c r="L54" s="83" t="s">
        <v>0</v>
      </c>
      <c r="M54" s="83">
        <v>4174.08</v>
      </c>
      <c r="N54" s="83" t="s">
        <v>0</v>
      </c>
      <c r="O54" s="83" t="s">
        <v>0</v>
      </c>
      <c r="P54" s="83">
        <v>1246.98</v>
      </c>
      <c r="Q54" s="83">
        <v>784.7</v>
      </c>
      <c r="R54" s="83" t="s">
        <v>0</v>
      </c>
      <c r="S54" s="83" t="s">
        <v>0</v>
      </c>
      <c r="T54" s="83">
        <v>3263.71</v>
      </c>
      <c r="U54" s="83">
        <v>1222.32</v>
      </c>
      <c r="V54" s="83">
        <v>1968.07</v>
      </c>
      <c r="W54" s="74">
        <f t="shared" si="11"/>
        <v>26669.86</v>
      </c>
      <c r="X54" s="74">
        <f t="shared" si="12"/>
        <v>24947.71</v>
      </c>
      <c r="Y54" s="74">
        <f t="shared" si="13"/>
        <v>1722.15</v>
      </c>
      <c r="Z54" s="529">
        <f t="shared" si="14"/>
        <v>25.233075528608207</v>
      </c>
    </row>
    <row r="55" spans="3:26">
      <c r="C55" s="24" t="s">
        <v>69</v>
      </c>
      <c r="D55" s="83" t="s">
        <v>0</v>
      </c>
      <c r="E55" s="83" t="s">
        <v>0</v>
      </c>
      <c r="F55" s="83" t="s">
        <v>0</v>
      </c>
      <c r="G55" s="83" t="s">
        <v>0</v>
      </c>
      <c r="H55" s="83" t="s">
        <v>0</v>
      </c>
      <c r="I55" s="83">
        <v>11.39</v>
      </c>
      <c r="J55" s="83" t="s">
        <v>0</v>
      </c>
      <c r="K55" s="83" t="s">
        <v>0</v>
      </c>
      <c r="L55" s="83" t="s">
        <v>0</v>
      </c>
      <c r="M55" s="83" t="s">
        <v>0</v>
      </c>
      <c r="N55" s="83" t="s">
        <v>0</v>
      </c>
      <c r="O55" s="83" t="s">
        <v>0</v>
      </c>
      <c r="P55" s="83" t="s">
        <v>0</v>
      </c>
      <c r="Q55" s="83" t="s">
        <v>0</v>
      </c>
      <c r="R55" s="83" t="s">
        <v>0</v>
      </c>
      <c r="S55" s="83" t="s">
        <v>0</v>
      </c>
      <c r="T55" s="83" t="s">
        <v>0</v>
      </c>
      <c r="U55" s="83" t="s">
        <v>0</v>
      </c>
      <c r="V55" s="83" t="s">
        <v>0</v>
      </c>
      <c r="W55" s="83">
        <f t="shared" si="11"/>
        <v>11.39</v>
      </c>
      <c r="X55" s="83">
        <f t="shared" si="12"/>
        <v>0</v>
      </c>
      <c r="Y55" s="83">
        <f t="shared" si="13"/>
        <v>11.39</v>
      </c>
      <c r="Z55" s="528">
        <f t="shared" si="14"/>
        <v>0</v>
      </c>
    </row>
    <row r="56" spans="3:26">
      <c r="C56" s="24" t="s">
        <v>50</v>
      </c>
      <c r="D56" s="83">
        <v>3327.1804999999999</v>
      </c>
      <c r="E56" s="83">
        <v>1924.3200000000002</v>
      </c>
      <c r="F56" s="83">
        <v>518.45000000000005</v>
      </c>
      <c r="G56" s="83">
        <v>3.6474999999999906</v>
      </c>
      <c r="H56" s="83">
        <v>1205.2399999999998</v>
      </c>
      <c r="I56" s="83">
        <v>206.89999999999995</v>
      </c>
      <c r="J56" s="83">
        <v>35.310500000000005</v>
      </c>
      <c r="K56" s="83">
        <v>3846.9841999999985</v>
      </c>
      <c r="L56" s="83">
        <v>5591.0020000000013</v>
      </c>
      <c r="M56" s="83">
        <v>1268.81</v>
      </c>
      <c r="N56" s="83" t="s">
        <v>0</v>
      </c>
      <c r="O56" s="83" t="s">
        <v>0</v>
      </c>
      <c r="P56" s="83">
        <v>3343.1520000000005</v>
      </c>
      <c r="Q56" s="83">
        <v>448.12</v>
      </c>
      <c r="R56" s="83" t="s">
        <v>0</v>
      </c>
      <c r="S56" s="83" t="s">
        <v>0</v>
      </c>
      <c r="T56" s="83">
        <v>262.77</v>
      </c>
      <c r="U56" s="83">
        <v>995.15874999999994</v>
      </c>
      <c r="V56" s="83">
        <v>153.38480000000001</v>
      </c>
      <c r="W56" s="74">
        <f t="shared" si="11"/>
        <v>23130.430250000001</v>
      </c>
      <c r="X56" s="74">
        <f t="shared" si="12"/>
        <v>22919.882750000001</v>
      </c>
      <c r="Y56" s="74">
        <f t="shared" si="13"/>
        <v>210.54749999999993</v>
      </c>
      <c r="Z56" s="529">
        <f t="shared" si="14"/>
        <v>23.182052883314515</v>
      </c>
    </row>
    <row r="57" spans="3:26">
      <c r="C57" s="24" t="s">
        <v>51</v>
      </c>
      <c r="D57" s="83">
        <v>878.55633700005467</v>
      </c>
      <c r="E57" s="83">
        <v>168.82613999999967</v>
      </c>
      <c r="F57" s="83">
        <v>0.7453000000000003</v>
      </c>
      <c r="G57" s="83">
        <v>80.078084999999845</v>
      </c>
      <c r="H57" s="83">
        <v>348.62252499999556</v>
      </c>
      <c r="I57" s="83">
        <v>167.32556999999963</v>
      </c>
      <c r="J57" s="83">
        <v>2.1930049999999981</v>
      </c>
      <c r="K57" s="83">
        <v>924.83869000007815</v>
      </c>
      <c r="L57" s="83">
        <v>495.37303000000321</v>
      </c>
      <c r="M57" s="83">
        <v>266.56037999999916</v>
      </c>
      <c r="N57" s="83" t="s">
        <v>0</v>
      </c>
      <c r="O57" s="83">
        <v>563.97798400001147</v>
      </c>
      <c r="P57" s="83">
        <v>16.671414999999978</v>
      </c>
      <c r="Q57" s="83">
        <v>85.602979999999761</v>
      </c>
      <c r="R57" s="83">
        <v>63.637681000000029</v>
      </c>
      <c r="S57" s="83">
        <v>5.9700000000000003E-2</v>
      </c>
      <c r="T57" s="83">
        <v>437.20169599998957</v>
      </c>
      <c r="U57" s="83">
        <v>160.94900999999646</v>
      </c>
      <c r="V57" s="83">
        <v>26.874900000000117</v>
      </c>
      <c r="W57" s="74">
        <f t="shared" si="11"/>
        <v>4688.0944280001268</v>
      </c>
      <c r="X57" s="74">
        <f t="shared" si="12"/>
        <v>4440.6310730001278</v>
      </c>
      <c r="Y57" s="74">
        <f t="shared" si="13"/>
        <v>247.46335499999947</v>
      </c>
      <c r="Z57" s="529">
        <f t="shared" si="14"/>
        <v>4.4914254358294503</v>
      </c>
    </row>
    <row r="58" spans="3:26">
      <c r="C58" s="24" t="s">
        <v>67</v>
      </c>
      <c r="D58" s="83">
        <v>1000.0229999999998</v>
      </c>
      <c r="E58" s="83" t="s">
        <v>0</v>
      </c>
      <c r="F58" s="83" t="s">
        <v>0</v>
      </c>
      <c r="G58" s="83" t="s">
        <v>0</v>
      </c>
      <c r="H58" s="83">
        <v>49.9</v>
      </c>
      <c r="I58" s="83" t="s">
        <v>0</v>
      </c>
      <c r="J58" s="83" t="s">
        <v>0</v>
      </c>
      <c r="K58" s="83">
        <v>349.4</v>
      </c>
      <c r="L58" s="83" t="s">
        <v>0</v>
      </c>
      <c r="M58" s="83">
        <v>24.29</v>
      </c>
      <c r="N58" s="83" t="s">
        <v>0</v>
      </c>
      <c r="O58" s="83">
        <v>849.09999999999991</v>
      </c>
      <c r="P58" s="83" t="s">
        <v>0</v>
      </c>
      <c r="Q58" s="83" t="s">
        <v>0</v>
      </c>
      <c r="R58" s="83" t="s">
        <v>0</v>
      </c>
      <c r="S58" s="83" t="s">
        <v>0</v>
      </c>
      <c r="T58" s="83">
        <v>31.4</v>
      </c>
      <c r="U58" s="83" t="s">
        <v>0</v>
      </c>
      <c r="V58" s="83" t="s">
        <v>0</v>
      </c>
      <c r="W58" s="74">
        <f t="shared" si="11"/>
        <v>2304.1129999999998</v>
      </c>
      <c r="X58" s="74">
        <f t="shared" si="12"/>
        <v>2304.1129999999998</v>
      </c>
      <c r="Y58" s="74">
        <f t="shared" si="13"/>
        <v>0</v>
      </c>
      <c r="Z58" s="529">
        <f t="shared" si="14"/>
        <v>2.3304687025561881</v>
      </c>
    </row>
    <row r="59" spans="3:26">
      <c r="C59" s="24" t="s">
        <v>76</v>
      </c>
      <c r="D59" s="83">
        <v>229.92900000000003</v>
      </c>
      <c r="E59" s="83">
        <v>42.335000000000001</v>
      </c>
      <c r="F59" s="83">
        <v>86.710000000000008</v>
      </c>
      <c r="G59" s="83">
        <v>2.13</v>
      </c>
      <c r="H59" s="83">
        <v>12.893000000000001</v>
      </c>
      <c r="I59" s="83">
        <v>3.6960000000000002</v>
      </c>
      <c r="J59" s="83">
        <v>12.862</v>
      </c>
      <c r="K59" s="83">
        <v>89.34</v>
      </c>
      <c r="L59" s="83">
        <v>46.894999999999996</v>
      </c>
      <c r="M59" s="83">
        <v>64.537999999999997</v>
      </c>
      <c r="N59" s="83" t="s">
        <v>0</v>
      </c>
      <c r="O59" s="83">
        <v>35.799999999999997</v>
      </c>
      <c r="P59" s="83">
        <v>65.821000000000012</v>
      </c>
      <c r="Q59" s="83">
        <v>4.1269999999999998</v>
      </c>
      <c r="R59" s="83">
        <v>42.584000000000003</v>
      </c>
      <c r="S59" s="83" t="s">
        <v>0</v>
      </c>
      <c r="T59" s="83">
        <v>15.472000000000001</v>
      </c>
      <c r="U59" s="83">
        <v>50.111000000000004</v>
      </c>
      <c r="V59" s="83">
        <v>53.972000000000001</v>
      </c>
      <c r="W59" s="74">
        <f t="shared" si="11"/>
        <v>859.21500000000003</v>
      </c>
      <c r="X59" s="74">
        <f t="shared" si="12"/>
        <v>853.38900000000001</v>
      </c>
      <c r="Y59" s="74">
        <f t="shared" si="13"/>
        <v>5.8260000000000005</v>
      </c>
      <c r="Z59" s="529">
        <f t="shared" si="14"/>
        <v>0.86315052933850156</v>
      </c>
    </row>
    <row r="60" spans="3:26">
      <c r="C60" s="24" t="s">
        <v>74</v>
      </c>
      <c r="D60" s="83">
        <v>849.95850000000019</v>
      </c>
      <c r="E60" s="83">
        <v>478.22700000000009</v>
      </c>
      <c r="F60" s="83">
        <v>68.923999999999978</v>
      </c>
      <c r="G60" s="83">
        <v>10.486999999999998</v>
      </c>
      <c r="H60" s="83">
        <v>500.92560999999978</v>
      </c>
      <c r="I60" s="83" t="s">
        <v>0</v>
      </c>
      <c r="J60" s="83">
        <v>295.59950000000003</v>
      </c>
      <c r="K60" s="83">
        <v>354.21899999999999</v>
      </c>
      <c r="L60" s="83">
        <v>594.44899999999996</v>
      </c>
      <c r="M60" s="83">
        <v>1017.3275000000007</v>
      </c>
      <c r="N60" s="83" t="s">
        <v>0</v>
      </c>
      <c r="O60" s="83">
        <v>18.077000000000002</v>
      </c>
      <c r="P60" s="83">
        <v>500.90559999999994</v>
      </c>
      <c r="Q60" s="83">
        <v>40.736999999999995</v>
      </c>
      <c r="R60" s="83">
        <v>212.05189999999996</v>
      </c>
      <c r="S60" s="83" t="s">
        <v>0</v>
      </c>
      <c r="T60" s="83">
        <v>314.10199999999998</v>
      </c>
      <c r="U60" s="83">
        <v>156.59650000000005</v>
      </c>
      <c r="V60" s="83">
        <v>407.03389999999979</v>
      </c>
      <c r="W60" s="74">
        <f t="shared" si="11"/>
        <v>5819.6210100000008</v>
      </c>
      <c r="X60" s="74">
        <f t="shared" si="12"/>
        <v>5809.1340100000007</v>
      </c>
      <c r="Y60" s="74">
        <f t="shared" si="13"/>
        <v>10.486999999999998</v>
      </c>
      <c r="Z60" s="529">
        <f t="shared" si="14"/>
        <v>5.8755820566351247</v>
      </c>
    </row>
    <row r="61" spans="3:26">
      <c r="C61" s="28" t="s">
        <v>96</v>
      </c>
      <c r="D61" s="83">
        <v>83.540999999999997</v>
      </c>
      <c r="E61" s="83">
        <v>49.9</v>
      </c>
      <c r="F61" s="83">
        <v>74.387</v>
      </c>
      <c r="G61" s="83">
        <v>37.400000000000006</v>
      </c>
      <c r="H61" s="83">
        <v>63.087999999999994</v>
      </c>
      <c r="I61" s="83" t="s">
        <v>0</v>
      </c>
      <c r="J61" s="83">
        <v>4.9669999999999996</v>
      </c>
      <c r="K61" s="83">
        <v>0.68</v>
      </c>
      <c r="L61" s="83" t="s">
        <v>0</v>
      </c>
      <c r="M61" s="83">
        <v>32.374500000000005</v>
      </c>
      <c r="N61" s="83" t="s">
        <v>0</v>
      </c>
      <c r="O61" s="83" t="s">
        <v>0</v>
      </c>
      <c r="P61" s="83">
        <v>40.68</v>
      </c>
      <c r="Q61" s="83" t="s">
        <v>0</v>
      </c>
      <c r="R61" s="83">
        <v>16.149999999999999</v>
      </c>
      <c r="S61" s="83">
        <v>1.0840000000000001</v>
      </c>
      <c r="T61" s="83">
        <v>9.68</v>
      </c>
      <c r="U61" s="83" t="s">
        <v>0</v>
      </c>
      <c r="V61" s="83">
        <v>83.457999999999998</v>
      </c>
      <c r="W61" s="74">
        <f t="shared" si="11"/>
        <v>497.3895</v>
      </c>
      <c r="X61" s="74">
        <f t="shared" si="12"/>
        <v>458.90549999999996</v>
      </c>
      <c r="Y61" s="74">
        <f t="shared" si="13"/>
        <v>38.484000000000009</v>
      </c>
      <c r="Z61" s="529">
        <f t="shared" si="14"/>
        <v>0.4641547116746873</v>
      </c>
    </row>
    <row r="62" spans="3:26">
      <c r="C62" s="28" t="s">
        <v>97</v>
      </c>
      <c r="D62" s="83" t="s">
        <v>0</v>
      </c>
      <c r="E62" s="83" t="s">
        <v>0</v>
      </c>
      <c r="F62" s="83" t="s">
        <v>0</v>
      </c>
      <c r="G62" s="83">
        <v>37.400000000000006</v>
      </c>
      <c r="H62" s="83" t="s">
        <v>0</v>
      </c>
      <c r="I62" s="83" t="s">
        <v>0</v>
      </c>
      <c r="J62" s="83">
        <v>4.9669999999999996</v>
      </c>
      <c r="K62" s="83" t="s">
        <v>0</v>
      </c>
      <c r="L62" s="83" t="s">
        <v>0</v>
      </c>
      <c r="M62" s="83">
        <v>27.174500000000002</v>
      </c>
      <c r="N62" s="83" t="s">
        <v>0</v>
      </c>
      <c r="O62" s="83" t="s">
        <v>0</v>
      </c>
      <c r="P62" s="83">
        <v>25</v>
      </c>
      <c r="Q62" s="83" t="s">
        <v>0</v>
      </c>
      <c r="R62" s="83">
        <v>16.149999999999999</v>
      </c>
      <c r="S62" s="83">
        <v>1.0840000000000001</v>
      </c>
      <c r="T62" s="83" t="s">
        <v>0</v>
      </c>
      <c r="U62" s="83" t="s">
        <v>0</v>
      </c>
      <c r="V62" s="83">
        <v>49.75</v>
      </c>
      <c r="W62" s="83">
        <f t="shared" si="11"/>
        <v>161.52550000000002</v>
      </c>
      <c r="X62" s="83">
        <f t="shared" si="12"/>
        <v>123.0415</v>
      </c>
      <c r="Y62" s="83">
        <f t="shared" si="13"/>
        <v>38.484000000000009</v>
      </c>
      <c r="Z62" s="528">
        <f t="shared" si="14"/>
        <v>0.12444891585853958</v>
      </c>
    </row>
    <row r="63" spans="3:26">
      <c r="C63" s="86" t="s">
        <v>32</v>
      </c>
      <c r="D63" s="88">
        <f t="shared" ref="D63:W63" si="15">SUM(D49:D62)</f>
        <v>15482.762337000055</v>
      </c>
      <c r="E63" s="88">
        <f t="shared" si="15"/>
        <v>7141.905639999999</v>
      </c>
      <c r="F63" s="88">
        <f t="shared" si="15"/>
        <v>4481.5580999999993</v>
      </c>
      <c r="G63" s="88">
        <f t="shared" si="15"/>
        <v>2284.8925850000001</v>
      </c>
      <c r="H63" s="88">
        <f t="shared" si="15"/>
        <v>8249.8831349999946</v>
      </c>
      <c r="I63" s="88">
        <f t="shared" si="15"/>
        <v>2791.2315699999995</v>
      </c>
      <c r="J63" s="88">
        <f t="shared" si="15"/>
        <v>815.341005</v>
      </c>
      <c r="K63" s="88">
        <f t="shared" si="15"/>
        <v>8192.8538900000767</v>
      </c>
      <c r="L63" s="88">
        <f t="shared" si="15"/>
        <v>13585.711930000005</v>
      </c>
      <c r="M63" s="88">
        <f t="shared" si="15"/>
        <v>12260.36268</v>
      </c>
      <c r="N63" s="88">
        <f t="shared" si="15"/>
        <v>90.82</v>
      </c>
      <c r="O63" s="88">
        <f t="shared" si="15"/>
        <v>5761.8972840000133</v>
      </c>
      <c r="P63" s="88">
        <f t="shared" si="15"/>
        <v>10901.175705000001</v>
      </c>
      <c r="Q63" s="88">
        <f t="shared" si="15"/>
        <v>1415.4925199999998</v>
      </c>
      <c r="R63" s="88">
        <f t="shared" si="15"/>
        <v>459.09018099999992</v>
      </c>
      <c r="S63" s="88">
        <f t="shared" si="15"/>
        <v>78.367700000000013</v>
      </c>
      <c r="T63" s="88">
        <f t="shared" si="15"/>
        <v>4367.9286959999899</v>
      </c>
      <c r="U63" s="88">
        <f t="shared" si="15"/>
        <v>2839.8982599999963</v>
      </c>
      <c r="V63" s="88">
        <f t="shared" si="15"/>
        <v>2913.2201</v>
      </c>
      <c r="W63" s="88">
        <f t="shared" si="15"/>
        <v>104114.39331800013</v>
      </c>
      <c r="X63" s="88">
        <f t="shared" si="12"/>
        <v>98869.081463000141</v>
      </c>
      <c r="Y63" s="88">
        <f t="shared" si="13"/>
        <v>5245.311854999999</v>
      </c>
      <c r="Z63" s="531">
        <f>SUM(Z49:Z62)</f>
        <v>99.999999999999986</v>
      </c>
    </row>
    <row r="64" spans="3:26"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Y64" s="102"/>
    </row>
    <row r="65" spans="3:31">
      <c r="C65" s="78" t="s">
        <v>142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103"/>
      <c r="Y65" s="102"/>
    </row>
    <row r="66" spans="3:31" ht="81.75">
      <c r="C66" s="79"/>
      <c r="D66" s="80" t="s">
        <v>89</v>
      </c>
      <c r="E66" s="80" t="s">
        <v>72</v>
      </c>
      <c r="F66" s="80" t="s">
        <v>75</v>
      </c>
      <c r="G66" s="80" t="s">
        <v>37</v>
      </c>
      <c r="H66" s="80" t="s">
        <v>82</v>
      </c>
      <c r="I66" s="80" t="s">
        <v>38</v>
      </c>
      <c r="J66" s="80" t="s">
        <v>90</v>
      </c>
      <c r="K66" s="80" t="s">
        <v>84</v>
      </c>
      <c r="L66" s="80" t="s">
        <v>81</v>
      </c>
      <c r="M66" s="80" t="s">
        <v>66</v>
      </c>
      <c r="N66" s="80" t="s">
        <v>42</v>
      </c>
      <c r="O66" s="80" t="s">
        <v>101</v>
      </c>
      <c r="P66" s="80" t="s">
        <v>102</v>
      </c>
      <c r="Q66" s="80" t="s">
        <v>103</v>
      </c>
      <c r="R66" s="80" t="s">
        <v>83</v>
      </c>
      <c r="S66" s="80" t="s">
        <v>39</v>
      </c>
      <c r="T66" s="80" t="s">
        <v>104</v>
      </c>
      <c r="U66" s="80" t="s">
        <v>105</v>
      </c>
      <c r="V66" s="80" t="s">
        <v>71</v>
      </c>
      <c r="W66" s="81" t="s">
        <v>41</v>
      </c>
      <c r="X66" s="81" t="s">
        <v>122</v>
      </c>
      <c r="Y66" s="81" t="s">
        <v>123</v>
      </c>
      <c r="Z66" s="530"/>
      <c r="AA66" s="82"/>
      <c r="AB66" s="82"/>
      <c r="AC66" s="82"/>
      <c r="AD66" s="82"/>
      <c r="AE66" s="82"/>
    </row>
    <row r="67" spans="3:31">
      <c r="C67" s="24" t="s">
        <v>26</v>
      </c>
      <c r="D67" s="83">
        <v>589.57399999999996</v>
      </c>
      <c r="E67" s="83">
        <v>1333.7075</v>
      </c>
      <c r="F67" s="83">
        <v>804.75179999999989</v>
      </c>
      <c r="G67" s="83" t="s">
        <v>0</v>
      </c>
      <c r="H67" s="83">
        <v>639.78399999999988</v>
      </c>
      <c r="I67" s="83">
        <v>2.02</v>
      </c>
      <c r="J67" s="83">
        <v>98.841999999999985</v>
      </c>
      <c r="K67" s="83">
        <v>650.24199999999996</v>
      </c>
      <c r="L67" s="83">
        <v>4401.1028999999999</v>
      </c>
      <c r="M67" s="83">
        <v>1913.0778</v>
      </c>
      <c r="N67" s="83" t="s">
        <v>0</v>
      </c>
      <c r="O67" s="83">
        <v>2277.8123000000001</v>
      </c>
      <c r="P67" s="83">
        <v>3720.2476900000001</v>
      </c>
      <c r="Q67" s="83">
        <v>52.205539999999999</v>
      </c>
      <c r="R67" s="83">
        <v>108.51659999999998</v>
      </c>
      <c r="S67" s="83" t="s">
        <v>0</v>
      </c>
      <c r="T67" s="83">
        <v>33.592999999999996</v>
      </c>
      <c r="U67" s="83">
        <v>254.77500000000001</v>
      </c>
      <c r="V67" s="83">
        <v>170.67649999999998</v>
      </c>
      <c r="W67" s="83">
        <f t="shared" ref="W67:W80" si="16">SUM(D67:V67)</f>
        <v>17050.928630000002</v>
      </c>
      <c r="X67" s="83">
        <f t="shared" ref="X67:X81" si="17">SUM(D67:F67,H67,J67:M67,O67:R67,T67:V67)</f>
        <v>17048.908629999998</v>
      </c>
      <c r="Y67" s="83">
        <f t="shared" ref="Y67:Y81" si="18">SUM(G67,I67,N67,S67)</f>
        <v>2.02</v>
      </c>
      <c r="Z67" s="528">
        <f t="shared" ref="Z67:Z80" si="19">X67/$X$81*100</f>
        <v>17.292230162810629</v>
      </c>
      <c r="AA67" s="99"/>
      <c r="AB67" s="99"/>
      <c r="AC67" s="99"/>
    </row>
    <row r="68" spans="3:31">
      <c r="C68" s="24" t="s">
        <v>68</v>
      </c>
      <c r="D68" s="83">
        <v>582.88</v>
      </c>
      <c r="E68" s="83">
        <v>219.14</v>
      </c>
      <c r="F68" s="83" t="s">
        <v>0</v>
      </c>
      <c r="G68" s="83" t="s">
        <v>0</v>
      </c>
      <c r="H68" s="83">
        <v>1511.95</v>
      </c>
      <c r="I68" s="83" t="s">
        <v>0</v>
      </c>
      <c r="J68" s="83">
        <v>360.6</v>
      </c>
      <c r="K68" s="83">
        <v>215</v>
      </c>
      <c r="L68" s="83" t="s">
        <v>0</v>
      </c>
      <c r="M68" s="83">
        <v>439.32</v>
      </c>
      <c r="N68" s="83" t="s">
        <v>0</v>
      </c>
      <c r="O68" s="83" t="s">
        <v>0</v>
      </c>
      <c r="P68" s="83" t="s">
        <v>0</v>
      </c>
      <c r="Q68" s="83" t="s">
        <v>0</v>
      </c>
      <c r="R68" s="83" t="s">
        <v>0</v>
      </c>
      <c r="S68" s="83" t="s">
        <v>0</v>
      </c>
      <c r="T68" s="83" t="s">
        <v>0</v>
      </c>
      <c r="U68" s="83" t="s">
        <v>0</v>
      </c>
      <c r="V68" s="83" t="s">
        <v>0</v>
      </c>
      <c r="W68" s="83">
        <f t="shared" si="16"/>
        <v>3328.8900000000003</v>
      </c>
      <c r="X68" s="83">
        <f t="shared" si="17"/>
        <v>3328.8900000000003</v>
      </c>
      <c r="Y68" s="83">
        <f t="shared" si="18"/>
        <v>0</v>
      </c>
      <c r="Z68" s="528">
        <f t="shared" si="19"/>
        <v>3.3763998221790388</v>
      </c>
      <c r="AA68" s="99"/>
      <c r="AB68" s="99"/>
      <c r="AC68" s="99"/>
    </row>
    <row r="69" spans="3:31">
      <c r="C69" s="24" t="s">
        <v>127</v>
      </c>
      <c r="D69" s="83" t="s">
        <v>0</v>
      </c>
      <c r="E69" s="83" t="s">
        <v>0</v>
      </c>
      <c r="F69" s="83" t="s">
        <v>0</v>
      </c>
      <c r="G69" s="83" t="s">
        <v>0</v>
      </c>
      <c r="H69" s="83">
        <v>1063.94</v>
      </c>
      <c r="I69" s="83" t="s">
        <v>0</v>
      </c>
      <c r="J69" s="83" t="s">
        <v>0</v>
      </c>
      <c r="K69" s="83">
        <v>1003.41</v>
      </c>
      <c r="L69" s="83" t="s">
        <v>0</v>
      </c>
      <c r="M69" s="83">
        <v>3032.81</v>
      </c>
      <c r="N69" s="83" t="s">
        <v>0</v>
      </c>
      <c r="O69" s="83">
        <v>2017.13</v>
      </c>
      <c r="P69" s="83" t="s">
        <v>0</v>
      </c>
      <c r="Q69" s="83" t="s">
        <v>0</v>
      </c>
      <c r="R69" s="83" t="s">
        <v>0</v>
      </c>
      <c r="S69" s="83" t="s">
        <v>0</v>
      </c>
      <c r="T69" s="83" t="s">
        <v>0</v>
      </c>
      <c r="U69" s="83" t="s">
        <v>0</v>
      </c>
      <c r="V69" s="83" t="s">
        <v>0</v>
      </c>
      <c r="W69" s="74">
        <f t="shared" si="16"/>
        <v>7117.29</v>
      </c>
      <c r="X69" s="74">
        <f t="shared" si="17"/>
        <v>7117.29</v>
      </c>
      <c r="Y69" s="74">
        <f t="shared" si="18"/>
        <v>0</v>
      </c>
      <c r="Z69" s="529">
        <f t="shared" si="19"/>
        <v>7.2188677578401954</v>
      </c>
      <c r="AA69" s="99"/>
      <c r="AB69" s="99"/>
      <c r="AC69" s="99"/>
      <c r="AD69" s="99"/>
      <c r="AE69" s="99"/>
    </row>
    <row r="70" spans="3:31">
      <c r="C70" s="24" t="s">
        <v>128</v>
      </c>
      <c r="D70" s="83">
        <v>1989.4</v>
      </c>
      <c r="E70" s="83">
        <v>1055.77</v>
      </c>
      <c r="F70" s="83">
        <v>2099.4349999999999</v>
      </c>
      <c r="G70" s="83">
        <v>468.4</v>
      </c>
      <c r="H70" s="83" t="s">
        <v>0</v>
      </c>
      <c r="I70" s="83" t="s">
        <v>0</v>
      </c>
      <c r="J70" s="83" t="s">
        <v>0</v>
      </c>
      <c r="K70" s="83" t="s">
        <v>0</v>
      </c>
      <c r="L70" s="83">
        <v>2456.89</v>
      </c>
      <c r="M70" s="83" t="s">
        <v>0</v>
      </c>
      <c r="N70" s="83" t="s">
        <v>0</v>
      </c>
      <c r="O70" s="83" t="s">
        <v>0</v>
      </c>
      <c r="P70" s="83">
        <v>1960.39</v>
      </c>
      <c r="Q70" s="83" t="s">
        <v>0</v>
      </c>
      <c r="R70" s="83" t="s">
        <v>0</v>
      </c>
      <c r="S70" s="83" t="s">
        <v>0</v>
      </c>
      <c r="T70" s="83" t="s">
        <v>0</v>
      </c>
      <c r="U70" s="83" t="s">
        <v>0</v>
      </c>
      <c r="V70" s="83" t="s">
        <v>0</v>
      </c>
      <c r="W70" s="83">
        <f t="shared" si="16"/>
        <v>10030.284999999998</v>
      </c>
      <c r="X70" s="83">
        <f t="shared" si="17"/>
        <v>9561.8849999999984</v>
      </c>
      <c r="Y70" s="83">
        <f t="shared" si="18"/>
        <v>468.4</v>
      </c>
      <c r="Z70" s="528">
        <f t="shared" si="19"/>
        <v>9.6983519472546149</v>
      </c>
      <c r="AA70" s="99"/>
      <c r="AB70" s="99"/>
      <c r="AC70" s="99"/>
      <c r="AD70" s="99"/>
      <c r="AE70" s="99"/>
    </row>
    <row r="71" spans="3:31">
      <c r="C71" s="24" t="s">
        <v>129</v>
      </c>
      <c r="D71" s="83" t="s">
        <v>0</v>
      </c>
      <c r="E71" s="83" t="s">
        <v>0</v>
      </c>
      <c r="F71" s="83" t="s">
        <v>0</v>
      </c>
      <c r="G71" s="83">
        <v>787.4</v>
      </c>
      <c r="H71" s="83" t="s">
        <v>0</v>
      </c>
      <c r="I71" s="83">
        <v>1535.7</v>
      </c>
      <c r="J71" s="83" t="s">
        <v>0</v>
      </c>
      <c r="K71" s="83" t="s">
        <v>0</v>
      </c>
      <c r="L71" s="83" t="s">
        <v>0</v>
      </c>
      <c r="M71" s="83" t="s">
        <v>0</v>
      </c>
      <c r="N71" s="83">
        <v>90.82</v>
      </c>
      <c r="O71" s="83" t="s">
        <v>0</v>
      </c>
      <c r="P71" s="83" t="s">
        <v>0</v>
      </c>
      <c r="Q71" s="83" t="s">
        <v>0</v>
      </c>
      <c r="R71" s="83" t="s">
        <v>0</v>
      </c>
      <c r="S71" s="83">
        <v>76.14</v>
      </c>
      <c r="T71" s="83" t="s">
        <v>0</v>
      </c>
      <c r="U71" s="83" t="s">
        <v>0</v>
      </c>
      <c r="V71" s="83" t="s">
        <v>0</v>
      </c>
      <c r="W71" s="83">
        <f t="shared" si="16"/>
        <v>2490.06</v>
      </c>
      <c r="X71" s="83">
        <f t="shared" si="17"/>
        <v>0</v>
      </c>
      <c r="Y71" s="83">
        <f t="shared" si="18"/>
        <v>2490.06</v>
      </c>
      <c r="Z71" s="528">
        <f t="shared" si="19"/>
        <v>0</v>
      </c>
      <c r="AA71" s="99"/>
      <c r="AB71" s="99"/>
      <c r="AC71" s="99"/>
      <c r="AD71" s="99"/>
      <c r="AE71" s="99"/>
    </row>
    <row r="72" spans="3:31">
      <c r="C72" s="24" t="s">
        <v>130</v>
      </c>
      <c r="D72" s="83">
        <v>5951.72</v>
      </c>
      <c r="E72" s="83">
        <v>1869.68</v>
      </c>
      <c r="F72" s="83">
        <v>854.17</v>
      </c>
      <c r="G72" s="83">
        <v>857.95</v>
      </c>
      <c r="H72" s="83">
        <v>2853.54</v>
      </c>
      <c r="I72" s="83">
        <v>864.2</v>
      </c>
      <c r="J72" s="83" t="s">
        <v>0</v>
      </c>
      <c r="K72" s="83">
        <v>758.74</v>
      </c>
      <c r="L72" s="83" t="s">
        <v>0</v>
      </c>
      <c r="M72" s="83">
        <v>3788.23</v>
      </c>
      <c r="N72" s="83" t="s">
        <v>0</v>
      </c>
      <c r="O72" s="83" t="s">
        <v>0</v>
      </c>
      <c r="P72" s="83">
        <v>1246.98</v>
      </c>
      <c r="Q72" s="83">
        <v>784.7</v>
      </c>
      <c r="R72" s="83" t="s">
        <v>0</v>
      </c>
      <c r="S72" s="83" t="s">
        <v>0</v>
      </c>
      <c r="T72" s="83">
        <v>3263.71</v>
      </c>
      <c r="U72" s="83">
        <v>1222.32</v>
      </c>
      <c r="V72" s="83">
        <v>1968.07</v>
      </c>
      <c r="W72" s="74">
        <f t="shared" si="16"/>
        <v>26284.010000000002</v>
      </c>
      <c r="X72" s="74">
        <f t="shared" si="17"/>
        <v>24561.86</v>
      </c>
      <c r="Y72" s="74">
        <f t="shared" si="18"/>
        <v>1722.15</v>
      </c>
      <c r="Z72" s="529">
        <f t="shared" si="19"/>
        <v>24.912406158324981</v>
      </c>
      <c r="AA72" s="99"/>
      <c r="AB72" s="99"/>
      <c r="AC72" s="99"/>
      <c r="AD72" s="99"/>
      <c r="AE72" s="99"/>
    </row>
    <row r="73" spans="3:31">
      <c r="C73" s="24" t="s">
        <v>69</v>
      </c>
      <c r="D73" s="83" t="s">
        <v>0</v>
      </c>
      <c r="E73" s="83" t="s">
        <v>0</v>
      </c>
      <c r="F73" s="83" t="s">
        <v>0</v>
      </c>
      <c r="G73" s="83" t="s">
        <v>0</v>
      </c>
      <c r="H73" s="83" t="s">
        <v>0</v>
      </c>
      <c r="I73" s="83">
        <v>11.39</v>
      </c>
      <c r="J73" s="83" t="s">
        <v>0</v>
      </c>
      <c r="K73" s="83" t="s">
        <v>0</v>
      </c>
      <c r="L73" s="83" t="s">
        <v>0</v>
      </c>
      <c r="M73" s="83" t="s">
        <v>0</v>
      </c>
      <c r="N73" s="83" t="s">
        <v>0</v>
      </c>
      <c r="O73" s="83" t="s">
        <v>0</v>
      </c>
      <c r="P73" s="83" t="s">
        <v>0</v>
      </c>
      <c r="Q73" s="83" t="s">
        <v>0</v>
      </c>
      <c r="R73" s="83" t="s">
        <v>0</v>
      </c>
      <c r="S73" s="83" t="s">
        <v>0</v>
      </c>
      <c r="T73" s="83" t="s">
        <v>0</v>
      </c>
      <c r="U73" s="83" t="s">
        <v>0</v>
      </c>
      <c r="V73" s="83" t="s">
        <v>0</v>
      </c>
      <c r="W73" s="83">
        <f t="shared" si="16"/>
        <v>11.39</v>
      </c>
      <c r="X73" s="83">
        <f t="shared" si="17"/>
        <v>0</v>
      </c>
      <c r="Y73" s="83">
        <f t="shared" si="18"/>
        <v>11.39</v>
      </c>
      <c r="Z73" s="528">
        <f t="shared" si="19"/>
        <v>0</v>
      </c>
      <c r="AA73" s="99"/>
      <c r="AB73" s="99"/>
      <c r="AC73" s="99"/>
      <c r="AD73" s="99"/>
      <c r="AE73" s="99"/>
    </row>
    <row r="74" spans="3:31">
      <c r="C74" s="24" t="s">
        <v>50</v>
      </c>
      <c r="D74" s="83">
        <v>3327.1804999999999</v>
      </c>
      <c r="E74" s="83">
        <v>1964.8200000000002</v>
      </c>
      <c r="F74" s="83">
        <v>518.45000000000005</v>
      </c>
      <c r="G74" s="83">
        <v>3.6374999999999909</v>
      </c>
      <c r="H74" s="83">
        <v>1205.2399999999998</v>
      </c>
      <c r="I74" s="83">
        <v>421.71499999999997</v>
      </c>
      <c r="J74" s="83">
        <v>35.310500000000005</v>
      </c>
      <c r="K74" s="83">
        <v>3857.3541999999984</v>
      </c>
      <c r="L74" s="83">
        <v>5591.0020000000013</v>
      </c>
      <c r="M74" s="83">
        <v>1271.1599999999999</v>
      </c>
      <c r="N74" s="83" t="s">
        <v>0</v>
      </c>
      <c r="O74" s="83" t="s">
        <v>0</v>
      </c>
      <c r="P74" s="83">
        <v>3411.152000000001</v>
      </c>
      <c r="Q74" s="83">
        <v>448.12</v>
      </c>
      <c r="R74" s="83" t="s">
        <v>0</v>
      </c>
      <c r="S74" s="83" t="s">
        <v>0</v>
      </c>
      <c r="T74" s="83">
        <v>262.77</v>
      </c>
      <c r="U74" s="83">
        <v>995.15699999999993</v>
      </c>
      <c r="V74" s="83">
        <v>153.38480000000001</v>
      </c>
      <c r="W74" s="74">
        <f t="shared" si="16"/>
        <v>23466.4535</v>
      </c>
      <c r="X74" s="74">
        <f t="shared" si="17"/>
        <v>23041.100999999999</v>
      </c>
      <c r="Y74" s="74">
        <f t="shared" si="18"/>
        <v>425.35249999999996</v>
      </c>
      <c r="Z74" s="529">
        <f t="shared" si="19"/>
        <v>23.369942929688055</v>
      </c>
      <c r="AA74" s="99"/>
      <c r="AB74" s="99"/>
      <c r="AC74" s="99"/>
      <c r="AD74" s="99"/>
      <c r="AE74" s="99"/>
    </row>
    <row r="75" spans="3:31">
      <c r="C75" s="24" t="s">
        <v>51</v>
      </c>
      <c r="D75" s="83">
        <v>880.9675270000547</v>
      </c>
      <c r="E75" s="83">
        <v>168.97413999999966</v>
      </c>
      <c r="F75" s="83">
        <v>0.74280000000000024</v>
      </c>
      <c r="G75" s="83">
        <v>80.225044999999852</v>
      </c>
      <c r="H75" s="83">
        <v>360.7251249999955</v>
      </c>
      <c r="I75" s="83">
        <v>167.32556999999963</v>
      </c>
      <c r="J75" s="83">
        <v>2.1930049999999981</v>
      </c>
      <c r="K75" s="83">
        <v>924.92145000007793</v>
      </c>
      <c r="L75" s="83">
        <v>495.61995000000326</v>
      </c>
      <c r="M75" s="83">
        <v>268.36687999999918</v>
      </c>
      <c r="N75" s="83" t="s">
        <v>0</v>
      </c>
      <c r="O75" s="83">
        <v>563.98898400001144</v>
      </c>
      <c r="P75" s="83">
        <v>16.657694999999979</v>
      </c>
      <c r="Q75" s="83">
        <v>85.602979999999761</v>
      </c>
      <c r="R75" s="83">
        <v>63.698096000000035</v>
      </c>
      <c r="S75" s="83">
        <v>5.9700000000000003E-2</v>
      </c>
      <c r="T75" s="83">
        <v>437.64379599998955</v>
      </c>
      <c r="U75" s="83">
        <v>162.02221999999648</v>
      </c>
      <c r="V75" s="83">
        <v>27.009505000000111</v>
      </c>
      <c r="W75" s="74">
        <f t="shared" si="16"/>
        <v>4706.7444680001263</v>
      </c>
      <c r="X75" s="74">
        <f t="shared" si="17"/>
        <v>4459.1341530001273</v>
      </c>
      <c r="Y75" s="74">
        <f t="shared" si="18"/>
        <v>247.61031499999947</v>
      </c>
      <c r="Z75" s="529">
        <f t="shared" si="19"/>
        <v>4.5227747871699302</v>
      </c>
      <c r="AA75" s="99"/>
      <c r="AB75" s="99"/>
      <c r="AC75" s="99"/>
      <c r="AD75" s="99"/>
      <c r="AE75" s="99"/>
    </row>
    <row r="76" spans="3:31">
      <c r="C76" s="24" t="s">
        <v>67</v>
      </c>
      <c r="D76" s="83">
        <v>1000.0229999999998</v>
      </c>
      <c r="E76" s="83" t="s">
        <v>0</v>
      </c>
      <c r="F76" s="83" t="s">
        <v>0</v>
      </c>
      <c r="G76" s="83" t="s">
        <v>0</v>
      </c>
      <c r="H76" s="83">
        <v>49.9</v>
      </c>
      <c r="I76" s="83" t="s">
        <v>0</v>
      </c>
      <c r="J76" s="83" t="s">
        <v>0</v>
      </c>
      <c r="K76" s="83">
        <v>349.4</v>
      </c>
      <c r="L76" s="83" t="s">
        <v>0</v>
      </c>
      <c r="M76" s="83">
        <v>24.29</v>
      </c>
      <c r="N76" s="83" t="s">
        <v>0</v>
      </c>
      <c r="O76" s="83">
        <v>849.09999999999991</v>
      </c>
      <c r="P76" s="83" t="s">
        <v>0</v>
      </c>
      <c r="Q76" s="83" t="s">
        <v>0</v>
      </c>
      <c r="R76" s="83" t="s">
        <v>0</v>
      </c>
      <c r="S76" s="83" t="s">
        <v>0</v>
      </c>
      <c r="T76" s="83">
        <v>31.4</v>
      </c>
      <c r="U76" s="83" t="s">
        <v>0</v>
      </c>
      <c r="V76" s="83" t="s">
        <v>0</v>
      </c>
      <c r="W76" s="74">
        <f t="shared" si="16"/>
        <v>2304.1129999999998</v>
      </c>
      <c r="X76" s="74">
        <f t="shared" si="17"/>
        <v>2304.1129999999998</v>
      </c>
      <c r="Y76" s="74">
        <f t="shared" si="18"/>
        <v>0</v>
      </c>
      <c r="Z76" s="529">
        <f t="shared" si="19"/>
        <v>2.336997234357522</v>
      </c>
      <c r="AA76" s="99"/>
      <c r="AB76" s="99"/>
      <c r="AC76" s="99"/>
      <c r="AD76" s="99"/>
      <c r="AE76" s="99"/>
    </row>
    <row r="77" spans="3:31">
      <c r="C77" s="24" t="s">
        <v>76</v>
      </c>
      <c r="D77" s="83">
        <v>230.529</v>
      </c>
      <c r="E77" s="83">
        <v>42.335000000000001</v>
      </c>
      <c r="F77" s="83">
        <v>91.210000000000008</v>
      </c>
      <c r="G77" s="83">
        <v>2.13</v>
      </c>
      <c r="H77" s="83">
        <v>12.893000000000001</v>
      </c>
      <c r="I77" s="83">
        <v>3.6960000000000002</v>
      </c>
      <c r="J77" s="83">
        <v>12.862</v>
      </c>
      <c r="K77" s="83">
        <v>89.34</v>
      </c>
      <c r="L77" s="83">
        <v>46.894999999999996</v>
      </c>
      <c r="M77" s="83">
        <v>64.537999999999997</v>
      </c>
      <c r="N77" s="83" t="s">
        <v>0</v>
      </c>
      <c r="O77" s="83">
        <v>35.799999999999997</v>
      </c>
      <c r="P77" s="83">
        <v>65.821000000000012</v>
      </c>
      <c r="Q77" s="83">
        <v>4.1269999999999998</v>
      </c>
      <c r="R77" s="83">
        <v>42.584000000000003</v>
      </c>
      <c r="S77" s="83" t="s">
        <v>0</v>
      </c>
      <c r="T77" s="83">
        <v>15.472000000000001</v>
      </c>
      <c r="U77" s="83">
        <v>50.111000000000004</v>
      </c>
      <c r="V77" s="83">
        <v>53.972000000000001</v>
      </c>
      <c r="W77" s="74">
        <f t="shared" si="16"/>
        <v>864.31499999999994</v>
      </c>
      <c r="X77" s="74">
        <f t="shared" si="17"/>
        <v>858.48899999999992</v>
      </c>
      <c r="Y77" s="74">
        <f t="shared" si="18"/>
        <v>5.8260000000000005</v>
      </c>
      <c r="Z77" s="529">
        <f t="shared" si="19"/>
        <v>0.87074133027605616</v>
      </c>
      <c r="AA77" s="99"/>
      <c r="AB77" s="99"/>
      <c r="AC77" s="99"/>
      <c r="AD77" s="99"/>
      <c r="AE77" s="99"/>
    </row>
    <row r="78" spans="3:31">
      <c r="C78" s="24" t="s">
        <v>74</v>
      </c>
      <c r="D78" s="83">
        <v>848.95950000000016</v>
      </c>
      <c r="E78" s="83">
        <v>478.25900000000013</v>
      </c>
      <c r="F78" s="83">
        <v>68.923999999999978</v>
      </c>
      <c r="G78" s="83">
        <v>10.486999999999998</v>
      </c>
      <c r="H78" s="83">
        <v>463.02499999999975</v>
      </c>
      <c r="I78" s="83" t="s">
        <v>0</v>
      </c>
      <c r="J78" s="83">
        <v>295.59950000000003</v>
      </c>
      <c r="K78" s="83">
        <v>355.16800000000001</v>
      </c>
      <c r="L78" s="83">
        <v>594.44899999999996</v>
      </c>
      <c r="M78" s="83">
        <v>1011.3275000000007</v>
      </c>
      <c r="N78" s="83" t="s">
        <v>0</v>
      </c>
      <c r="O78" s="83">
        <v>18.077000000000002</v>
      </c>
      <c r="P78" s="83">
        <v>500.90559999999994</v>
      </c>
      <c r="Q78" s="83">
        <v>22.917000000000005</v>
      </c>
      <c r="R78" s="83">
        <v>211.06189999999998</v>
      </c>
      <c r="S78" s="83" t="s">
        <v>0</v>
      </c>
      <c r="T78" s="83">
        <v>314.10199999999998</v>
      </c>
      <c r="U78" s="83">
        <v>147.53149999999999</v>
      </c>
      <c r="V78" s="83">
        <v>405.48889999999983</v>
      </c>
      <c r="W78" s="74">
        <f t="shared" si="16"/>
        <v>5746.2824000000001</v>
      </c>
      <c r="X78" s="74">
        <f t="shared" si="17"/>
        <v>5735.7954000000009</v>
      </c>
      <c r="Y78" s="74">
        <f t="shared" si="18"/>
        <v>10.486999999999998</v>
      </c>
      <c r="Z78" s="529">
        <f t="shared" si="19"/>
        <v>5.8176565067080475</v>
      </c>
      <c r="AA78" s="99"/>
      <c r="AB78" s="99"/>
      <c r="AC78" s="99"/>
      <c r="AD78" s="99"/>
      <c r="AE78" s="99"/>
    </row>
    <row r="79" spans="3:31">
      <c r="C79" s="28" t="s">
        <v>96</v>
      </c>
      <c r="D79" s="83">
        <v>83.540999999999997</v>
      </c>
      <c r="E79" s="83">
        <v>49.9</v>
      </c>
      <c r="F79" s="83">
        <v>74.387</v>
      </c>
      <c r="G79" s="83">
        <v>37.400000000000006</v>
      </c>
      <c r="H79" s="83">
        <v>63.087999999999994</v>
      </c>
      <c r="I79" s="83" t="s">
        <v>0</v>
      </c>
      <c r="J79" s="83">
        <v>4.9669999999999996</v>
      </c>
      <c r="K79" s="83">
        <v>0.68</v>
      </c>
      <c r="L79" s="83" t="s">
        <v>0</v>
      </c>
      <c r="M79" s="83">
        <v>32.374500000000005</v>
      </c>
      <c r="N79" s="83" t="s">
        <v>0</v>
      </c>
      <c r="O79" s="83" t="s">
        <v>0</v>
      </c>
      <c r="P79" s="83">
        <v>40.68</v>
      </c>
      <c r="Q79" s="83" t="s">
        <v>0</v>
      </c>
      <c r="R79" s="83">
        <v>16.149999999999999</v>
      </c>
      <c r="S79" s="83">
        <v>1.0840000000000001</v>
      </c>
      <c r="T79" s="83">
        <v>9.68</v>
      </c>
      <c r="U79" s="83" t="s">
        <v>0</v>
      </c>
      <c r="V79" s="83">
        <v>76.930000000000007</v>
      </c>
      <c r="W79" s="74">
        <f t="shared" si="16"/>
        <v>490.86150000000004</v>
      </c>
      <c r="X79" s="74">
        <f t="shared" si="17"/>
        <v>452.3775</v>
      </c>
      <c r="Y79" s="74">
        <f t="shared" si="18"/>
        <v>38.484000000000009</v>
      </c>
      <c r="Z79" s="529">
        <f t="shared" si="19"/>
        <v>0.45883381864759665</v>
      </c>
      <c r="AA79" s="99"/>
      <c r="AB79" s="99"/>
      <c r="AC79" s="99"/>
      <c r="AD79" s="99"/>
      <c r="AE79" s="99"/>
    </row>
    <row r="80" spans="3:31">
      <c r="C80" s="28" t="s">
        <v>97</v>
      </c>
      <c r="D80" s="83" t="s">
        <v>0</v>
      </c>
      <c r="E80" s="83" t="s">
        <v>0</v>
      </c>
      <c r="F80" s="83" t="s">
        <v>0</v>
      </c>
      <c r="G80" s="83">
        <v>37.400000000000006</v>
      </c>
      <c r="H80" s="83" t="s">
        <v>0</v>
      </c>
      <c r="I80" s="83" t="s">
        <v>0</v>
      </c>
      <c r="J80" s="83">
        <v>4.9669999999999996</v>
      </c>
      <c r="K80" s="83" t="s">
        <v>0</v>
      </c>
      <c r="L80" s="83" t="s">
        <v>0</v>
      </c>
      <c r="M80" s="83">
        <v>27.174500000000002</v>
      </c>
      <c r="N80" s="83" t="s">
        <v>0</v>
      </c>
      <c r="O80" s="83" t="s">
        <v>0</v>
      </c>
      <c r="P80" s="83">
        <v>25</v>
      </c>
      <c r="Q80" s="83" t="s">
        <v>0</v>
      </c>
      <c r="R80" s="83">
        <v>16.149999999999999</v>
      </c>
      <c r="S80" s="83">
        <v>1.0840000000000001</v>
      </c>
      <c r="T80" s="83" t="s">
        <v>0</v>
      </c>
      <c r="U80" s="83" t="s">
        <v>0</v>
      </c>
      <c r="V80" s="83">
        <v>49.75</v>
      </c>
      <c r="W80" s="83">
        <f t="shared" si="16"/>
        <v>161.52550000000002</v>
      </c>
      <c r="X80" s="83">
        <f t="shared" si="17"/>
        <v>123.0415</v>
      </c>
      <c r="Y80" s="83">
        <f t="shared" si="18"/>
        <v>38.484000000000009</v>
      </c>
      <c r="Z80" s="528">
        <f t="shared" si="19"/>
        <v>0.12479754474333553</v>
      </c>
      <c r="AA80" s="99"/>
      <c r="AB80" s="99"/>
      <c r="AC80" s="99"/>
      <c r="AD80" s="99"/>
      <c r="AE80" s="99"/>
    </row>
    <row r="81" spans="2:31">
      <c r="C81" s="86" t="s">
        <v>32</v>
      </c>
      <c r="D81" s="88">
        <f t="shared" ref="D81:W81" si="20">SUM(D67:D80)</f>
        <v>15484.774527000056</v>
      </c>
      <c r="E81" s="88">
        <f t="shared" si="20"/>
        <v>7182.5856399999993</v>
      </c>
      <c r="F81" s="88">
        <f t="shared" si="20"/>
        <v>4512.0706</v>
      </c>
      <c r="G81" s="88">
        <f t="shared" si="20"/>
        <v>2285.0295449999999</v>
      </c>
      <c r="H81" s="88">
        <f t="shared" si="20"/>
        <v>8224.0851249999942</v>
      </c>
      <c r="I81" s="88">
        <f t="shared" si="20"/>
        <v>3006.0465699999995</v>
      </c>
      <c r="J81" s="88">
        <f t="shared" si="20"/>
        <v>815.341005</v>
      </c>
      <c r="K81" s="88">
        <f t="shared" si="20"/>
        <v>8204.2556500000755</v>
      </c>
      <c r="L81" s="88">
        <f t="shared" si="20"/>
        <v>13585.958850000006</v>
      </c>
      <c r="M81" s="88">
        <f t="shared" si="20"/>
        <v>11872.669180000001</v>
      </c>
      <c r="N81" s="88">
        <f t="shared" si="20"/>
        <v>90.82</v>
      </c>
      <c r="O81" s="88">
        <f t="shared" si="20"/>
        <v>5761.9082840000119</v>
      </c>
      <c r="P81" s="88">
        <f t="shared" si="20"/>
        <v>10987.833985000001</v>
      </c>
      <c r="Q81" s="88">
        <f t="shared" si="20"/>
        <v>1397.6725199999996</v>
      </c>
      <c r="R81" s="88">
        <f t="shared" si="20"/>
        <v>458.16059599999994</v>
      </c>
      <c r="S81" s="88">
        <f t="shared" si="20"/>
        <v>78.367700000000013</v>
      </c>
      <c r="T81" s="88">
        <f t="shared" si="20"/>
        <v>4368.3707959999902</v>
      </c>
      <c r="U81" s="88">
        <f t="shared" si="20"/>
        <v>2831.9167199999965</v>
      </c>
      <c r="V81" s="88">
        <f t="shared" si="20"/>
        <v>2905.2817049999994</v>
      </c>
      <c r="W81" s="88">
        <f t="shared" si="20"/>
        <v>104053.14899800012</v>
      </c>
      <c r="X81" s="88">
        <f t="shared" si="17"/>
        <v>98592.885183000122</v>
      </c>
      <c r="Y81" s="88">
        <f t="shared" si="18"/>
        <v>5460.2638149999993</v>
      </c>
      <c r="Z81" s="531">
        <f>SUM(Z67:Z80)</f>
        <v>100</v>
      </c>
      <c r="AA81" s="99"/>
      <c r="AB81" s="99"/>
      <c r="AC81" s="99"/>
      <c r="AD81" s="99"/>
      <c r="AE81" s="99"/>
    </row>
    <row r="82" spans="2:31">
      <c r="D82" s="223">
        <f t="shared" ref="D82:Y82" si="21">((D81/D63)-1)*100</f>
        <v>1.2996324274716642E-2</v>
      </c>
      <c r="E82" s="223">
        <f t="shared" si="21"/>
        <v>0.56959587609448636</v>
      </c>
      <c r="F82" s="223">
        <f t="shared" si="21"/>
        <v>0.68084579780414156</v>
      </c>
      <c r="G82" s="223">
        <f t="shared" si="21"/>
        <v>5.9941548630648711E-3</v>
      </c>
      <c r="H82" s="223">
        <f t="shared" si="21"/>
        <v>-0.3127075811601876</v>
      </c>
      <c r="I82" s="223">
        <f t="shared" si="21"/>
        <v>7.6960651458954477</v>
      </c>
      <c r="J82" s="223">
        <f t="shared" si="21"/>
        <v>0</v>
      </c>
      <c r="K82" s="223">
        <f t="shared" si="21"/>
        <v>0.13916713459172225</v>
      </c>
      <c r="L82" s="223">
        <f t="shared" si="21"/>
        <v>1.8174976863516434E-3</v>
      </c>
      <c r="M82" s="223">
        <f t="shared" si="21"/>
        <v>-3.1621699138838166</v>
      </c>
      <c r="N82" s="223">
        <f t="shared" si="21"/>
        <v>0</v>
      </c>
      <c r="O82" s="223">
        <f t="shared" si="21"/>
        <v>1.9090933864873705E-4</v>
      </c>
      <c r="P82" s="223">
        <f t="shared" si="21"/>
        <v>0.79494434678502035</v>
      </c>
      <c r="Q82" s="223">
        <f t="shared" si="21"/>
        <v>-1.2589257624618266</v>
      </c>
      <c r="R82" s="223">
        <f t="shared" si="21"/>
        <v>-0.20248418251401779</v>
      </c>
      <c r="S82" s="223">
        <f t="shared" si="21"/>
        <v>0</v>
      </c>
      <c r="T82" s="223">
        <f t="shared" si="21"/>
        <v>1.0121502221527301E-2</v>
      </c>
      <c r="U82" s="223">
        <f t="shared" si="21"/>
        <v>-0.28105020917191803</v>
      </c>
      <c r="V82" s="223">
        <f t="shared" si="21"/>
        <v>-0.27249554539324761</v>
      </c>
      <c r="W82" s="223">
        <f t="shared" si="21"/>
        <v>-5.8824066537033204E-2</v>
      </c>
      <c r="X82" s="223">
        <f t="shared" si="21"/>
        <v>-0.27935556385579874</v>
      </c>
      <c r="Y82" s="223">
        <f t="shared" si="21"/>
        <v>4.0979824639997497</v>
      </c>
      <c r="AE82" s="99"/>
    </row>
    <row r="83" spans="2:31">
      <c r="C83" s="645" t="s">
        <v>435</v>
      </c>
      <c r="D83" s="645"/>
      <c r="E83" s="645"/>
      <c r="F83" s="645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AE83" s="99"/>
    </row>
    <row r="84" spans="2:31" s="280" customFormat="1" ht="33" customHeight="1">
      <c r="B84" s="2"/>
      <c r="C84" s="585"/>
      <c r="D84" s="585" t="s">
        <v>436</v>
      </c>
      <c r="E84" s="585" t="s">
        <v>437</v>
      </c>
      <c r="F84" s="586"/>
      <c r="M84" s="587"/>
    </row>
    <row r="85" spans="2:31" s="280" customFormat="1" ht="11.25" customHeight="1">
      <c r="B85" s="2"/>
      <c r="C85" s="28" t="s">
        <v>89</v>
      </c>
      <c r="D85" s="453">
        <f>D45</f>
        <v>40236.805467000006</v>
      </c>
      <c r="E85" s="539">
        <f>((D45/D24)-1)*100</f>
        <v>0.17985948251741934</v>
      </c>
      <c r="F85" s="588" t="str">
        <f>CONCATENATE(C85," ",TEXT(D85,"0.0")," GWh ",TEXT(E85,"0,0")," %")</f>
        <v>Andalucía 40.237 GWh 0,2 %</v>
      </c>
      <c r="G85" s="589"/>
      <c r="H85" s="589"/>
      <c r="I85" s="597"/>
      <c r="J85" s="591"/>
    </row>
    <row r="86" spans="2:31" s="280" customFormat="1" ht="11.25" customHeight="1">
      <c r="B86" s="2"/>
      <c r="C86" s="28" t="s">
        <v>72</v>
      </c>
      <c r="D86" s="453">
        <f>E45</f>
        <v>10730.569980000004</v>
      </c>
      <c r="E86" s="539">
        <f>((E45/E24)-1)*100</f>
        <v>0.60753932962782642</v>
      </c>
      <c r="F86" s="588" t="str">
        <f t="shared" ref="F86:F103" si="22">CONCATENATE(C86," ",TEXT(D86,"0.0")," GWh ",TEXT(E86,"0,0")," %")</f>
        <v>Aragón 10.731 GWh 0,6 %</v>
      </c>
      <c r="G86" s="589"/>
      <c r="H86" s="589"/>
      <c r="I86" s="597"/>
      <c r="J86" s="591"/>
    </row>
    <row r="87" spans="2:31" s="280" customFormat="1" ht="11.25" customHeight="1">
      <c r="B87" s="2"/>
      <c r="C87" s="28" t="s">
        <v>75</v>
      </c>
      <c r="D87" s="453">
        <f>F45</f>
        <v>10638.594577</v>
      </c>
      <c r="E87" s="539">
        <f>((F45/F24)-1)*100</f>
        <v>0.35772808033076586</v>
      </c>
      <c r="F87" s="588" t="str">
        <f t="shared" si="22"/>
        <v>Asturias 10.639 GWh 0,4 %</v>
      </c>
      <c r="G87" s="589"/>
      <c r="H87" s="589"/>
      <c r="I87" s="597"/>
      <c r="J87" s="591"/>
    </row>
    <row r="88" spans="2:31" s="280" customFormat="1" ht="11.25" customHeight="1">
      <c r="B88" s="2"/>
      <c r="C88" s="28" t="s">
        <v>317</v>
      </c>
      <c r="D88" s="453">
        <f>G45</f>
        <v>6052.2512240000005</v>
      </c>
      <c r="E88" s="539">
        <f>((G45/G24)-1)*100</f>
        <v>0.5956238382568646</v>
      </c>
      <c r="F88" s="588" t="str">
        <f t="shared" si="22"/>
        <v>Islas Baleares 6.052 GWh 0,6 %</v>
      </c>
      <c r="G88" s="589"/>
      <c r="H88" s="589"/>
      <c r="I88" s="597"/>
      <c r="J88" s="591"/>
    </row>
    <row r="89" spans="2:31" s="280" customFormat="1" ht="11.25" customHeight="1">
      <c r="B89" s="2"/>
      <c r="C89" s="28" t="s">
        <v>433</v>
      </c>
      <c r="D89" s="453">
        <f>H45</f>
        <v>27500.363282999999</v>
      </c>
      <c r="E89" s="539">
        <f>((H45/H24)-1)*100</f>
        <v>2.0422757364767286</v>
      </c>
      <c r="F89" s="588" t="str">
        <f t="shared" si="22"/>
        <v>Comunidad Valenciana 27.500 GWh 2,0 %</v>
      </c>
      <c r="G89" s="589"/>
      <c r="H89" s="589"/>
      <c r="I89" s="597"/>
      <c r="J89" s="591"/>
    </row>
    <row r="90" spans="2:31" s="280" customFormat="1" ht="11.25" customHeight="1">
      <c r="B90" s="2"/>
      <c r="C90" s="28" t="s">
        <v>36</v>
      </c>
      <c r="D90" s="453">
        <f>I45</f>
        <v>8840.018761000003</v>
      </c>
      <c r="E90" s="539">
        <f>((I45/I24)-1)*100</f>
        <v>-1.0194112811111489</v>
      </c>
      <c r="F90" s="588" t="str">
        <f t="shared" si="22"/>
        <v>Islas Canarias 8.840 GWh -1,0 %</v>
      </c>
      <c r="G90" s="589"/>
      <c r="H90" s="589"/>
      <c r="I90" s="597"/>
      <c r="J90" s="591"/>
    </row>
    <row r="91" spans="2:31" s="280" customFormat="1" ht="11.25" customHeight="1">
      <c r="B91" s="2"/>
      <c r="C91" s="28" t="s">
        <v>90</v>
      </c>
      <c r="D91" s="453">
        <f>J45</f>
        <v>4274.6731609999988</v>
      </c>
      <c r="E91" s="539">
        <f>((J45/J24)-1)*100</f>
        <v>-2.2304135765813249</v>
      </c>
      <c r="F91" s="588" t="str">
        <f t="shared" si="22"/>
        <v>Cantabria 4.275 GWh -2,2 %</v>
      </c>
      <c r="G91" s="589"/>
      <c r="H91" s="589"/>
      <c r="I91" s="597"/>
      <c r="J91" s="591"/>
    </row>
    <row r="92" spans="2:31" s="280" customFormat="1" ht="11.25" customHeight="1">
      <c r="B92" s="2"/>
      <c r="C92" s="28" t="s">
        <v>84</v>
      </c>
      <c r="D92" s="453">
        <f>K45</f>
        <v>11748.075610081003</v>
      </c>
      <c r="E92" s="539">
        <f>((K45/K24)-1)*100</f>
        <v>0.28200826218522934</v>
      </c>
      <c r="F92" s="588" t="str">
        <f t="shared" si="22"/>
        <v>Castilla-La Mancha 11.748 GWh 0,3 %</v>
      </c>
      <c r="G92" s="589"/>
      <c r="H92" s="589"/>
      <c r="I92" s="597"/>
      <c r="J92" s="591"/>
    </row>
    <row r="93" spans="2:31" s="280" customFormat="1" ht="11.25" customHeight="1">
      <c r="B93" s="2"/>
      <c r="C93" s="28" t="s">
        <v>434</v>
      </c>
      <c r="D93" s="453">
        <f>L45</f>
        <v>14288.294982000003</v>
      </c>
      <c r="E93" s="539">
        <f>((L45/L24)-1)*100</f>
        <v>1.5101314173365799</v>
      </c>
      <c r="F93" s="588" t="str">
        <f t="shared" si="22"/>
        <v>Castilla León 14.288 GWh 1,5 %</v>
      </c>
      <c r="G93" s="589"/>
      <c r="H93" s="589"/>
      <c r="I93" s="597"/>
      <c r="J93" s="591"/>
    </row>
    <row r="94" spans="2:31" s="280" customFormat="1" ht="11.25" customHeight="1">
      <c r="B94" s="2"/>
      <c r="C94" s="28" t="s">
        <v>66</v>
      </c>
      <c r="D94" s="453">
        <f>M45</f>
        <v>47322.501547</v>
      </c>
      <c r="E94" s="539">
        <f>((M45/M24)-1)*100</f>
        <v>-0.99867868576238861</v>
      </c>
      <c r="F94" s="588" t="str">
        <f t="shared" si="22"/>
        <v>Cataluña 47.323 GWh -1,0 %</v>
      </c>
      <c r="G94" s="589"/>
      <c r="H94" s="589"/>
      <c r="I94" s="597"/>
      <c r="J94" s="591"/>
    </row>
    <row r="95" spans="2:31" s="280" customFormat="1" ht="11.25" customHeight="1">
      <c r="B95" s="2"/>
      <c r="C95" s="28" t="s">
        <v>42</v>
      </c>
      <c r="D95" s="453">
        <f>N45</f>
        <v>207.35622399999997</v>
      </c>
      <c r="E95" s="539">
        <f>((N45/N24)-1)*100</f>
        <v>2.2159990176516375</v>
      </c>
      <c r="F95" s="588" t="str">
        <f t="shared" si="22"/>
        <v>Ceuta 207 GWh 2,2 %</v>
      </c>
      <c r="G95" s="589"/>
      <c r="H95" s="589"/>
      <c r="I95" s="597"/>
      <c r="J95" s="591"/>
    </row>
    <row r="96" spans="2:31" s="280" customFormat="1" ht="11.25" customHeight="1">
      <c r="B96" s="2"/>
      <c r="C96" s="28" t="s">
        <v>101</v>
      </c>
      <c r="D96" s="453">
        <f>O45</f>
        <v>5054.6367440000013</v>
      </c>
      <c r="E96" s="539">
        <f>((O45/O24)-1)*100</f>
        <v>0.64346566984068154</v>
      </c>
      <c r="F96" s="588" t="str">
        <f t="shared" si="22"/>
        <v>Extremadura 5.055 GWh 0,6 %</v>
      </c>
      <c r="G96" s="589"/>
      <c r="H96" s="589"/>
      <c r="I96" s="597"/>
      <c r="J96" s="591"/>
    </row>
    <row r="97" spans="2:31" s="280" customFormat="1" ht="11.25" customHeight="1">
      <c r="B97" s="2"/>
      <c r="C97" s="28" t="s">
        <v>102</v>
      </c>
      <c r="D97" s="453">
        <f>P45</f>
        <v>19913.450518000005</v>
      </c>
      <c r="E97" s="539">
        <f>((P45/P24)-1)*100</f>
        <v>7.6069651155608042E-2</v>
      </c>
      <c r="F97" s="588" t="str">
        <f t="shared" si="22"/>
        <v>Galicia 19.913 GWh 0,1 %</v>
      </c>
      <c r="G97" s="589"/>
      <c r="H97" s="589"/>
      <c r="I97" s="597"/>
      <c r="J97" s="591"/>
    </row>
    <row r="98" spans="2:31" s="280" customFormat="1" ht="11.25" customHeight="1">
      <c r="B98" s="2"/>
      <c r="C98" s="28" t="s">
        <v>103</v>
      </c>
      <c r="D98" s="453">
        <f>Q45</f>
        <v>1712.7558300000001</v>
      </c>
      <c r="E98" s="539">
        <f>((Q45/Q24)-1)*100</f>
        <v>0.50672881970281747</v>
      </c>
      <c r="F98" s="588" t="str">
        <f t="shared" si="22"/>
        <v>La Rioja 1.713 GWh 0,5 %</v>
      </c>
      <c r="G98" s="589"/>
      <c r="H98" s="589"/>
      <c r="I98" s="597"/>
      <c r="J98" s="591"/>
    </row>
    <row r="99" spans="2:31" s="280" customFormat="1" ht="11.25" customHeight="1">
      <c r="B99" s="2"/>
      <c r="C99" s="28" t="s">
        <v>83</v>
      </c>
      <c r="D99" s="453">
        <f>R45</f>
        <v>28624.377175999998</v>
      </c>
      <c r="E99" s="539">
        <f>((R45/R24)-1)*100</f>
        <v>0.12637996497755211</v>
      </c>
      <c r="F99" s="588" t="str">
        <f t="shared" si="22"/>
        <v>Madrid 28.624 GWh 0,1 %</v>
      </c>
      <c r="G99" s="589"/>
      <c r="H99" s="589"/>
      <c r="I99" s="597"/>
      <c r="J99" s="591"/>
    </row>
    <row r="100" spans="2:31" s="280" customFormat="1" ht="11.25" customHeight="1">
      <c r="B100" s="2"/>
      <c r="C100" s="28" t="s">
        <v>39</v>
      </c>
      <c r="D100" s="453">
        <f>S45</f>
        <v>212.94905599999998</v>
      </c>
      <c r="E100" s="539">
        <f>((S45/S24)-1)*100</f>
        <v>1.1994663487780555</v>
      </c>
      <c r="F100" s="588" t="str">
        <f t="shared" si="22"/>
        <v>Melilla 213 GWh 1,2 %</v>
      </c>
      <c r="G100" s="589"/>
      <c r="H100" s="589"/>
      <c r="I100" s="597"/>
      <c r="J100" s="591"/>
    </row>
    <row r="101" spans="2:31" s="280" customFormat="1" ht="11.25" customHeight="1">
      <c r="B101" s="2"/>
      <c r="C101" s="28" t="s">
        <v>104</v>
      </c>
      <c r="D101" s="453">
        <f>T45</f>
        <v>9612.9271149999986</v>
      </c>
      <c r="E101" s="539">
        <f>((T45/T24)-1)*100</f>
        <v>2.5434218790611363</v>
      </c>
      <c r="F101" s="588" t="str">
        <f t="shared" si="22"/>
        <v>Murcia 9.613 GWh 2,5 %</v>
      </c>
      <c r="G101" s="589"/>
      <c r="H101" s="589"/>
      <c r="I101" s="597"/>
      <c r="J101" s="591"/>
    </row>
    <row r="102" spans="2:31" s="280" customFormat="1" ht="11.25" customHeight="1">
      <c r="B102" s="2"/>
      <c r="C102" s="28" t="s">
        <v>105</v>
      </c>
      <c r="D102" s="453">
        <f>U45</f>
        <v>5125.8428290000002</v>
      </c>
      <c r="E102" s="539">
        <f>((U45/U24)-1)*100</f>
        <v>1.4492697979758384</v>
      </c>
      <c r="F102" s="588" t="str">
        <f t="shared" si="22"/>
        <v>Navarra 5.126 GWh 1,4 %</v>
      </c>
      <c r="G102" s="589"/>
      <c r="H102" s="589"/>
      <c r="I102" s="597"/>
      <c r="J102" s="591"/>
    </row>
    <row r="103" spans="2:31" s="280" customFormat="1" ht="11.25" customHeight="1">
      <c r="B103" s="2"/>
      <c r="C103" s="592" t="s">
        <v>71</v>
      </c>
      <c r="D103" s="594">
        <f>V45</f>
        <v>16711.368382000001</v>
      </c>
      <c r="E103" s="593">
        <f>((V45/V24)-1)*100</f>
        <v>1.1432103473561162</v>
      </c>
      <c r="F103" s="588" t="str">
        <f t="shared" si="22"/>
        <v>País Vasco 16.711 GWh 1,1 %</v>
      </c>
      <c r="G103" s="589"/>
      <c r="H103" s="589"/>
      <c r="I103" s="597"/>
      <c r="J103" s="591"/>
    </row>
    <row r="104" spans="2:31"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AE104" s="99"/>
    </row>
    <row r="105" spans="2:31">
      <c r="C105" s="645" t="s">
        <v>439</v>
      </c>
      <c r="D105" s="645"/>
      <c r="E105" s="645"/>
      <c r="F105" s="645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AE105" s="99"/>
    </row>
    <row r="106" spans="2:31" s="280" customFormat="1" ht="33" customHeight="1">
      <c r="B106" s="2"/>
      <c r="C106" s="585"/>
      <c r="D106" s="585" t="s">
        <v>440</v>
      </c>
      <c r="E106" s="599"/>
      <c r="F106" s="586"/>
      <c r="M106" s="587"/>
    </row>
    <row r="107" spans="2:31" s="280" customFormat="1" ht="11.25" customHeight="1">
      <c r="B107" s="2"/>
      <c r="C107" s="28" t="s">
        <v>89</v>
      </c>
      <c r="D107" s="453">
        <f>D81</f>
        <v>15484.774527000056</v>
      </c>
      <c r="E107" s="595"/>
      <c r="F107" s="588" t="str">
        <f>CONCATENATE(C107," ",TEXT(D107,"0.0")," MW")</f>
        <v>Andalucía 15.485 MW</v>
      </c>
      <c r="G107" s="589"/>
      <c r="H107" s="589"/>
      <c r="I107" s="600"/>
      <c r="J107" s="591"/>
      <c r="K107" s="589"/>
      <c r="L107" s="590"/>
      <c r="M107" s="601"/>
      <c r="O107" s="601"/>
      <c r="P107" s="598"/>
    </row>
    <row r="108" spans="2:31" s="280" customFormat="1" ht="11.25" customHeight="1">
      <c r="B108" s="2"/>
      <c r="C108" s="28" t="s">
        <v>72</v>
      </c>
      <c r="D108" s="453">
        <f>E81</f>
        <v>7182.5856399999993</v>
      </c>
      <c r="E108" s="595"/>
      <c r="F108" s="588" t="str">
        <f t="shared" ref="F108:F125" si="23">CONCATENATE(C108," ",TEXT(D108,"0.0")," MW")</f>
        <v>Aragón 7.183 MW</v>
      </c>
      <c r="G108" s="589"/>
      <c r="H108" s="589"/>
      <c r="I108" s="600"/>
      <c r="J108" s="591"/>
      <c r="K108" s="589"/>
      <c r="L108" s="590"/>
      <c r="M108" s="601"/>
      <c r="O108" s="601"/>
      <c r="P108" s="598"/>
    </row>
    <row r="109" spans="2:31" s="280" customFormat="1" ht="11.25" customHeight="1">
      <c r="B109" s="2"/>
      <c r="C109" s="28" t="s">
        <v>75</v>
      </c>
      <c r="D109" s="453">
        <f>F81</f>
        <v>4512.0706</v>
      </c>
      <c r="E109" s="595"/>
      <c r="F109" s="588" t="str">
        <f t="shared" si="23"/>
        <v>Asturias 4.512 MW</v>
      </c>
      <c r="G109" s="589"/>
      <c r="H109" s="589"/>
      <c r="I109" s="590"/>
      <c r="J109" s="591"/>
      <c r="K109" s="589"/>
      <c r="L109" s="590"/>
      <c r="M109" s="601"/>
      <c r="O109" s="601"/>
      <c r="P109" s="598"/>
    </row>
    <row r="110" spans="2:31" s="280" customFormat="1" ht="11.25" customHeight="1">
      <c r="B110" s="2"/>
      <c r="C110" s="28" t="s">
        <v>317</v>
      </c>
      <c r="D110" s="453">
        <f>G81</f>
        <v>2285.0295449999999</v>
      </c>
      <c r="E110" s="595"/>
      <c r="F110" s="588" t="str">
        <f t="shared" si="23"/>
        <v>Islas Baleares 2.285 MW</v>
      </c>
      <c r="G110" s="589"/>
      <c r="H110" s="589"/>
      <c r="I110" s="597"/>
      <c r="J110" s="591"/>
      <c r="K110" s="589"/>
      <c r="L110" s="590"/>
      <c r="M110" s="601"/>
      <c r="O110" s="601"/>
      <c r="P110" s="598"/>
    </row>
    <row r="111" spans="2:31" s="280" customFormat="1" ht="11.25" customHeight="1">
      <c r="B111" s="2"/>
      <c r="C111" s="28" t="s">
        <v>433</v>
      </c>
      <c r="D111" s="453">
        <f>H81</f>
        <v>8224.0851249999942</v>
      </c>
      <c r="E111" s="595"/>
      <c r="F111" s="588" t="str">
        <f t="shared" si="23"/>
        <v>Comunidad Valenciana 8.224 MW</v>
      </c>
      <c r="G111" s="589"/>
      <c r="H111" s="589"/>
      <c r="I111" s="597"/>
      <c r="J111" s="591"/>
      <c r="K111" s="589"/>
      <c r="L111" s="590"/>
      <c r="M111" s="601"/>
    </row>
    <row r="112" spans="2:31" s="280" customFormat="1" ht="11.25" customHeight="1">
      <c r="B112" s="2"/>
      <c r="C112" s="28" t="s">
        <v>36</v>
      </c>
      <c r="D112" s="453">
        <f>I81</f>
        <v>3006.0465699999995</v>
      </c>
      <c r="E112" s="595"/>
      <c r="F112" s="588" t="str">
        <f t="shared" si="23"/>
        <v>Islas Canarias 3.006 MW</v>
      </c>
      <c r="G112" s="589"/>
      <c r="H112" s="589"/>
      <c r="I112" s="597"/>
      <c r="J112" s="591"/>
      <c r="K112" s="589"/>
      <c r="L112" s="590"/>
      <c r="M112" s="601"/>
    </row>
    <row r="113" spans="2:13" s="280" customFormat="1" ht="11.25" customHeight="1">
      <c r="B113" s="2"/>
      <c r="C113" s="28" t="s">
        <v>90</v>
      </c>
      <c r="D113" s="453">
        <f>J81</f>
        <v>815.341005</v>
      </c>
      <c r="E113" s="595"/>
      <c r="F113" s="588" t="str">
        <f t="shared" si="23"/>
        <v>Cantabria 815 MW</v>
      </c>
      <c r="G113" s="589"/>
      <c r="H113" s="589"/>
      <c r="I113" s="597"/>
      <c r="J113" s="591"/>
      <c r="K113" s="589"/>
      <c r="L113" s="590"/>
      <c r="M113" s="601"/>
    </row>
    <row r="114" spans="2:13" s="280" customFormat="1" ht="11.25" customHeight="1">
      <c r="B114" s="2"/>
      <c r="C114" s="28" t="s">
        <v>84</v>
      </c>
      <c r="D114" s="453">
        <f>K81</f>
        <v>8204.2556500000755</v>
      </c>
      <c r="E114" s="595"/>
      <c r="F114" s="588" t="str">
        <f t="shared" si="23"/>
        <v>Castilla-La Mancha 8.204 MW</v>
      </c>
      <c r="G114" s="589"/>
      <c r="H114" s="589"/>
      <c r="I114" s="597"/>
      <c r="J114" s="591"/>
      <c r="K114" s="589"/>
      <c r="L114" s="590"/>
      <c r="M114" s="601"/>
    </row>
    <row r="115" spans="2:13" s="280" customFormat="1" ht="11.25" customHeight="1">
      <c r="B115" s="2"/>
      <c r="C115" s="28" t="s">
        <v>434</v>
      </c>
      <c r="D115" s="453">
        <f>L81</f>
        <v>13585.958850000006</v>
      </c>
      <c r="E115" s="595"/>
      <c r="F115" s="588" t="str">
        <f t="shared" si="23"/>
        <v>Castilla León 13.586 MW</v>
      </c>
      <c r="G115" s="589"/>
      <c r="H115" s="589"/>
      <c r="I115" s="597"/>
      <c r="J115" s="591"/>
      <c r="K115" s="589"/>
      <c r="L115" s="590"/>
      <c r="M115" s="601"/>
    </row>
    <row r="116" spans="2:13" s="280" customFormat="1" ht="11.25" customHeight="1">
      <c r="B116" s="2"/>
      <c r="C116" s="28" t="s">
        <v>66</v>
      </c>
      <c r="D116" s="453">
        <f>M81</f>
        <v>11872.669180000001</v>
      </c>
      <c r="E116" s="595"/>
      <c r="F116" s="588" t="str">
        <f t="shared" si="23"/>
        <v>Cataluña 11.873 MW</v>
      </c>
      <c r="G116" s="589"/>
      <c r="H116" s="589"/>
      <c r="I116" s="597"/>
      <c r="J116" s="591"/>
      <c r="K116" s="589"/>
      <c r="L116" s="590"/>
      <c r="M116" s="601"/>
    </row>
    <row r="117" spans="2:13" s="280" customFormat="1" ht="11.25" customHeight="1">
      <c r="B117" s="2"/>
      <c r="C117" s="28" t="s">
        <v>42</v>
      </c>
      <c r="D117" s="453">
        <f>N81</f>
        <v>90.82</v>
      </c>
      <c r="E117" s="595"/>
      <c r="F117" s="588" t="str">
        <f t="shared" si="23"/>
        <v>Ceuta 91 MW</v>
      </c>
      <c r="G117" s="589"/>
      <c r="H117" s="589"/>
      <c r="I117" s="597"/>
      <c r="J117" s="591"/>
      <c r="K117" s="589"/>
      <c r="L117" s="590"/>
      <c r="M117" s="601"/>
    </row>
    <row r="118" spans="2:13" s="280" customFormat="1" ht="11.25" customHeight="1">
      <c r="B118" s="2"/>
      <c r="C118" s="28" t="s">
        <v>101</v>
      </c>
      <c r="D118" s="453">
        <f>O81</f>
        <v>5761.9082840000119</v>
      </c>
      <c r="E118" s="595"/>
      <c r="F118" s="588" t="str">
        <f t="shared" si="23"/>
        <v>Extremadura 5.762 MW</v>
      </c>
      <c r="G118" s="589"/>
      <c r="H118" s="589"/>
      <c r="I118" s="597"/>
      <c r="J118" s="591"/>
      <c r="K118" s="589"/>
      <c r="L118" s="590"/>
      <c r="M118" s="601"/>
    </row>
    <row r="119" spans="2:13" s="280" customFormat="1" ht="11.25" customHeight="1">
      <c r="B119" s="2"/>
      <c r="C119" s="28" t="s">
        <v>102</v>
      </c>
      <c r="D119" s="453">
        <f>P81</f>
        <v>10987.833985000001</v>
      </c>
      <c r="E119" s="595"/>
      <c r="F119" s="588" t="str">
        <f t="shared" si="23"/>
        <v>Galicia 10.988 MW</v>
      </c>
      <c r="G119" s="589"/>
      <c r="H119" s="589"/>
      <c r="I119" s="597"/>
      <c r="J119" s="591"/>
      <c r="K119" s="589"/>
      <c r="L119" s="590"/>
      <c r="M119" s="601"/>
    </row>
    <row r="120" spans="2:13" s="280" customFormat="1" ht="11.25" customHeight="1">
      <c r="B120" s="2"/>
      <c r="C120" s="28" t="s">
        <v>103</v>
      </c>
      <c r="D120" s="453">
        <f>Q81</f>
        <v>1397.6725199999996</v>
      </c>
      <c r="E120" s="595"/>
      <c r="F120" s="588" t="str">
        <f t="shared" si="23"/>
        <v>La Rioja 1.398 MW</v>
      </c>
      <c r="G120" s="589"/>
      <c r="H120" s="589"/>
      <c r="I120" s="597"/>
      <c r="J120" s="591"/>
      <c r="K120" s="589"/>
      <c r="L120" s="590"/>
      <c r="M120" s="601"/>
    </row>
    <row r="121" spans="2:13" s="280" customFormat="1" ht="11.25" customHeight="1">
      <c r="B121" s="2"/>
      <c r="C121" s="28" t="s">
        <v>83</v>
      </c>
      <c r="D121" s="453">
        <f>R81</f>
        <v>458.16059599999994</v>
      </c>
      <c r="E121" s="595"/>
      <c r="F121" s="588" t="str">
        <f t="shared" si="23"/>
        <v>Madrid 458 MW</v>
      </c>
      <c r="G121" s="589"/>
      <c r="H121" s="589"/>
      <c r="I121" s="597"/>
      <c r="J121" s="591"/>
      <c r="K121" s="589"/>
      <c r="L121" s="590"/>
      <c r="M121" s="601"/>
    </row>
    <row r="122" spans="2:13" s="280" customFormat="1" ht="11.25" customHeight="1">
      <c r="B122" s="2"/>
      <c r="C122" s="28" t="s">
        <v>39</v>
      </c>
      <c r="D122" s="453">
        <f>S81</f>
        <v>78.367700000000013</v>
      </c>
      <c r="E122" s="595"/>
      <c r="F122" s="588" t="str">
        <f t="shared" si="23"/>
        <v>Melilla 78 MW</v>
      </c>
      <c r="G122" s="589"/>
      <c r="H122" s="589"/>
      <c r="I122" s="597"/>
      <c r="J122" s="591"/>
      <c r="K122" s="589"/>
      <c r="L122" s="590"/>
      <c r="M122" s="601"/>
    </row>
    <row r="123" spans="2:13" s="280" customFormat="1" ht="11.25" customHeight="1">
      <c r="B123" s="2"/>
      <c r="C123" s="28" t="s">
        <v>104</v>
      </c>
      <c r="D123" s="453">
        <f>T81</f>
        <v>4368.3707959999902</v>
      </c>
      <c r="E123" s="595"/>
      <c r="F123" s="588" t="str">
        <f t="shared" si="23"/>
        <v>Murcia 4.368 MW</v>
      </c>
      <c r="G123" s="589"/>
      <c r="H123" s="589"/>
      <c r="I123" s="597"/>
      <c r="J123" s="591"/>
      <c r="K123" s="589"/>
      <c r="L123" s="590"/>
      <c r="M123" s="601"/>
    </row>
    <row r="124" spans="2:13" s="280" customFormat="1" ht="11.25" customHeight="1">
      <c r="B124" s="2"/>
      <c r="C124" s="28" t="s">
        <v>105</v>
      </c>
      <c r="D124" s="453">
        <f>U81</f>
        <v>2831.9167199999965</v>
      </c>
      <c r="E124" s="595"/>
      <c r="F124" s="588" t="str">
        <f t="shared" si="23"/>
        <v>Navarra 2.832 MW</v>
      </c>
      <c r="G124" s="589"/>
      <c r="H124" s="589"/>
      <c r="I124" s="597"/>
      <c r="J124" s="591"/>
      <c r="K124" s="589"/>
      <c r="L124" s="590"/>
      <c r="M124" s="601"/>
    </row>
    <row r="125" spans="2:13" s="280" customFormat="1" ht="11.25" customHeight="1">
      <c r="B125" s="2"/>
      <c r="C125" s="592" t="s">
        <v>71</v>
      </c>
      <c r="D125" s="594">
        <f>V81</f>
        <v>2905.2817049999994</v>
      </c>
      <c r="E125" s="595"/>
      <c r="F125" s="588" t="str">
        <f t="shared" si="23"/>
        <v>País Vasco 2.905 MW</v>
      </c>
      <c r="G125" s="589"/>
      <c r="H125" s="589"/>
      <c r="I125" s="597"/>
      <c r="J125" s="591"/>
      <c r="K125" s="589"/>
      <c r="L125" s="590"/>
      <c r="M125" s="601"/>
    </row>
    <row r="126" spans="2:13" s="280" customFormat="1" ht="11.25" customHeight="1">
      <c r="B126" s="2"/>
      <c r="C126" s="176"/>
      <c r="D126" s="595"/>
      <c r="E126" s="596"/>
      <c r="F126" s="588"/>
      <c r="G126" s="589"/>
      <c r="H126" s="589"/>
      <c r="I126" s="590"/>
      <c r="J126" s="591"/>
    </row>
    <row r="127" spans="2:13">
      <c r="B127" s="73"/>
      <c r="C127" s="645" t="s">
        <v>147</v>
      </c>
      <c r="D127" s="645"/>
      <c r="E127" s="645"/>
      <c r="F127" s="645"/>
      <c r="K127" s="104"/>
    </row>
    <row r="128" spans="2:13">
      <c r="B128" s="73"/>
      <c r="C128" s="211"/>
      <c r="D128" s="647">
        <v>2017</v>
      </c>
      <c r="E128" s="647"/>
      <c r="F128" s="647">
        <v>2018</v>
      </c>
      <c r="G128" s="647"/>
      <c r="H128" s="647"/>
      <c r="I128" s="647"/>
      <c r="J128" s="209"/>
    </row>
    <row r="129" spans="2:9">
      <c r="C129" s="210"/>
      <c r="D129" s="213" t="s">
        <v>145</v>
      </c>
      <c r="E129" s="213" t="s">
        <v>146</v>
      </c>
      <c r="F129" s="213" t="s">
        <v>145</v>
      </c>
      <c r="G129" s="213"/>
      <c r="H129" s="213" t="s">
        <v>146</v>
      </c>
      <c r="I129" s="213"/>
    </row>
    <row r="130" spans="2:9">
      <c r="B130" s="73"/>
      <c r="C130" s="212"/>
      <c r="D130" s="214" t="s">
        <v>91</v>
      </c>
      <c r="E130" s="214" t="s">
        <v>91</v>
      </c>
      <c r="F130" s="214" t="s">
        <v>91</v>
      </c>
      <c r="G130" s="214" t="s">
        <v>54</v>
      </c>
      <c r="H130" s="214" t="s">
        <v>91</v>
      </c>
      <c r="I130" s="214" t="s">
        <v>316</v>
      </c>
    </row>
    <row r="131" spans="2:9">
      <c r="B131" s="73"/>
      <c r="C131" s="210" t="s">
        <v>2</v>
      </c>
      <c r="D131" s="386">
        <v>23078.327512279997</v>
      </c>
      <c r="E131" s="386">
        <f>D131</f>
        <v>23078.327512279997</v>
      </c>
      <c r="F131" s="386">
        <v>22595.726236999999</v>
      </c>
      <c r="G131" s="218">
        <f t="shared" ref="G131:G142" si="24">((F131/D131)-1)*100</f>
        <v>-2.0911449281721395</v>
      </c>
      <c r="H131" s="386">
        <f>F131</f>
        <v>22595.726236999999</v>
      </c>
      <c r="I131" s="218">
        <f t="shared" ref="I131:I142" si="25">((H131/E131)-1)*100</f>
        <v>-2.0911449281721395</v>
      </c>
    </row>
    <row r="132" spans="2:9">
      <c r="B132" s="73"/>
      <c r="C132" s="210" t="s">
        <v>3</v>
      </c>
      <c r="D132" s="386">
        <v>19959.317583792003</v>
      </c>
      <c r="E132" s="386">
        <f t="shared" ref="E132:E142" si="26">E131+D132</f>
        <v>43037.645096071996</v>
      </c>
      <c r="F132" s="386">
        <v>21274.776162999999</v>
      </c>
      <c r="G132" s="218">
        <f t="shared" si="24"/>
        <v>6.5906991743856835</v>
      </c>
      <c r="H132" s="386">
        <f t="shared" ref="H132:H142" si="27">H131+F132</f>
        <v>43870.502399999998</v>
      </c>
      <c r="I132" s="218">
        <f t="shared" si="25"/>
        <v>1.9351832612328979</v>
      </c>
    </row>
    <row r="133" spans="2:9">
      <c r="B133" s="73"/>
      <c r="C133" s="210" t="s">
        <v>4</v>
      </c>
      <c r="D133" s="386">
        <v>21086.734901833999</v>
      </c>
      <c r="E133" s="386">
        <f t="shared" si="26"/>
        <v>64124.379997905999</v>
      </c>
      <c r="F133" s="386">
        <v>22050.167442000002</v>
      </c>
      <c r="G133" s="218">
        <f t="shared" si="24"/>
        <v>4.5689033634230825</v>
      </c>
      <c r="H133" s="386">
        <f t="shared" si="27"/>
        <v>65920.669842000003</v>
      </c>
      <c r="I133" s="218">
        <f t="shared" si="25"/>
        <v>2.801258810069851</v>
      </c>
    </row>
    <row r="134" spans="2:9">
      <c r="B134" s="73"/>
      <c r="C134" s="210" t="s">
        <v>5</v>
      </c>
      <c r="D134" s="386">
        <v>18963.081304260002</v>
      </c>
      <c r="E134" s="386">
        <f t="shared" si="26"/>
        <v>83087.461302166004</v>
      </c>
      <c r="F134" s="386">
        <v>19921.526830816001</v>
      </c>
      <c r="G134" s="218">
        <f t="shared" si="24"/>
        <v>5.0542710394891666</v>
      </c>
      <c r="H134" s="386">
        <f t="shared" si="27"/>
        <v>85842.196672816004</v>
      </c>
      <c r="I134" s="218">
        <f t="shared" si="25"/>
        <v>3.3154646049802894</v>
      </c>
    </row>
    <row r="135" spans="2:9">
      <c r="B135" s="73"/>
      <c r="C135" s="210" t="s">
        <v>6</v>
      </c>
      <c r="D135" s="386">
        <v>20204.909726176</v>
      </c>
      <c r="E135" s="386">
        <f t="shared" si="26"/>
        <v>103292.37102834201</v>
      </c>
      <c r="F135" s="386">
        <v>20080.178756370999</v>
      </c>
      <c r="G135" s="218">
        <f t="shared" si="24"/>
        <v>-0.6173300029319595</v>
      </c>
      <c r="H135" s="386">
        <f t="shared" si="27"/>
        <v>105922.375429187</v>
      </c>
      <c r="I135" s="218">
        <f t="shared" si="25"/>
        <v>2.546174876868057</v>
      </c>
    </row>
    <row r="136" spans="2:9">
      <c r="B136" s="73"/>
      <c r="C136" s="210" t="s">
        <v>7</v>
      </c>
      <c r="D136" s="386">
        <v>21680.301562000001</v>
      </c>
      <c r="E136" s="386">
        <f t="shared" si="26"/>
        <v>124972.672590342</v>
      </c>
      <c r="F136" s="386">
        <v>20323.202189128002</v>
      </c>
      <c r="G136" s="218">
        <f t="shared" si="24"/>
        <v>-6.2595963851842633</v>
      </c>
      <c r="H136" s="386">
        <f t="shared" si="27"/>
        <v>126245.577618315</v>
      </c>
      <c r="I136" s="218">
        <f t="shared" si="25"/>
        <v>1.0185466963209988</v>
      </c>
    </row>
    <row r="137" spans="2:9">
      <c r="B137" s="73"/>
      <c r="C137" s="210" t="s">
        <v>8</v>
      </c>
      <c r="D137" s="386">
        <v>22413.194793999999</v>
      </c>
      <c r="E137" s="386">
        <f t="shared" si="26"/>
        <v>147385.86738434201</v>
      </c>
      <c r="F137" s="386">
        <v>22175.817136064001</v>
      </c>
      <c r="G137" s="218">
        <f t="shared" si="24"/>
        <v>-1.05909782214334</v>
      </c>
      <c r="H137" s="386">
        <f t="shared" si="27"/>
        <v>148421.394754379</v>
      </c>
      <c r="I137" s="218">
        <f t="shared" si="25"/>
        <v>0.70259610939265027</v>
      </c>
    </row>
    <row r="138" spans="2:9">
      <c r="B138" s="73"/>
      <c r="C138" s="210" t="s">
        <v>9</v>
      </c>
      <c r="D138" s="386">
        <v>21769.084502999998</v>
      </c>
      <c r="E138" s="386">
        <f t="shared" si="26"/>
        <v>169154.951887342</v>
      </c>
      <c r="F138" s="386">
        <v>21979.036773846001</v>
      </c>
      <c r="G138" s="218">
        <f t="shared" si="24"/>
        <v>0.96445154051871818</v>
      </c>
      <c r="H138" s="386">
        <f t="shared" si="27"/>
        <v>170400.43152822499</v>
      </c>
      <c r="I138" s="218">
        <f t="shared" si="25"/>
        <v>0.73629511107218271</v>
      </c>
    </row>
    <row r="139" spans="2:9">
      <c r="B139" s="73"/>
      <c r="C139" s="210" t="s">
        <v>10</v>
      </c>
      <c r="D139" s="386">
        <v>20145.293416</v>
      </c>
      <c r="E139" s="386">
        <f t="shared" si="26"/>
        <v>189300.245303342</v>
      </c>
      <c r="F139" s="386">
        <v>20738.221610712</v>
      </c>
      <c r="G139" s="218">
        <f t="shared" si="24"/>
        <v>2.9432591646497253</v>
      </c>
      <c r="H139" s="386">
        <f t="shared" si="27"/>
        <v>191138.65313893699</v>
      </c>
      <c r="I139" s="218">
        <f t="shared" si="25"/>
        <v>0.97115977459460989</v>
      </c>
    </row>
    <row r="140" spans="2:9">
      <c r="B140" s="73"/>
      <c r="C140" s="210" t="s">
        <v>11</v>
      </c>
      <c r="D140" s="386">
        <v>20160.571298999999</v>
      </c>
      <c r="E140" s="386">
        <f t="shared" si="26"/>
        <v>209460.81660234201</v>
      </c>
      <c r="F140" s="386">
        <v>20285.432612000001</v>
      </c>
      <c r="G140" s="218">
        <f t="shared" si="24"/>
        <v>0.61933420014836926</v>
      </c>
      <c r="H140" s="386">
        <f t="shared" si="27"/>
        <v>211424.085750937</v>
      </c>
      <c r="I140" s="218">
        <f t="shared" si="25"/>
        <v>0.93729661730586056</v>
      </c>
    </row>
    <row r="141" spans="2:9">
      <c r="B141" s="73"/>
      <c r="C141" s="210" t="s">
        <v>12</v>
      </c>
      <c r="D141" s="386">
        <v>20893.499284000001</v>
      </c>
      <c r="E141" s="386">
        <f t="shared" si="26"/>
        <v>230354.315886342</v>
      </c>
      <c r="F141" s="386">
        <v>20904.142527952001</v>
      </c>
      <c r="G141" s="218">
        <f t="shared" si="24"/>
        <v>5.0940456681414226E-2</v>
      </c>
      <c r="H141" s="386">
        <f t="shared" si="27"/>
        <v>232328.228278889</v>
      </c>
      <c r="I141" s="218">
        <f t="shared" si="25"/>
        <v>0.85690271742984159</v>
      </c>
    </row>
    <row r="142" spans="2:9">
      <c r="B142" s="73"/>
      <c r="C142" s="212" t="s">
        <v>13</v>
      </c>
      <c r="D142" s="387">
        <v>22152.089802999999</v>
      </c>
      <c r="E142" s="387">
        <f t="shared" si="26"/>
        <v>252506.40568934201</v>
      </c>
      <c r="F142" s="387">
        <v>21167.008913191999</v>
      </c>
      <c r="G142" s="219">
        <f t="shared" si="24"/>
        <v>-4.4468982320331367</v>
      </c>
      <c r="H142" s="387">
        <f t="shared" si="27"/>
        <v>253495.237192081</v>
      </c>
      <c r="I142" s="219">
        <f t="shared" si="25"/>
        <v>0.39160650203684533</v>
      </c>
    </row>
    <row r="143" spans="2:9">
      <c r="B143" s="73"/>
    </row>
    <row r="144" spans="2:9">
      <c r="B144" s="73"/>
      <c r="C144" s="217" t="s">
        <v>149</v>
      </c>
    </row>
    <row r="145" spans="2:5">
      <c r="B145" s="73"/>
      <c r="C145" s="215"/>
      <c r="D145" s="216" t="s">
        <v>48</v>
      </c>
      <c r="E145" s="216" t="s">
        <v>78</v>
      </c>
    </row>
    <row r="146" spans="2:5">
      <c r="B146" s="89">
        <v>2014</v>
      </c>
      <c r="C146" s="210" t="s">
        <v>17</v>
      </c>
      <c r="D146" s="218">
        <v>-2.2941973646715907</v>
      </c>
      <c r="E146" s="218">
        <v>-2.1360369206329666</v>
      </c>
    </row>
    <row r="147" spans="2:5">
      <c r="B147" s="89"/>
      <c r="C147" s="210" t="s">
        <v>18</v>
      </c>
      <c r="D147" s="218">
        <v>-1.4206364061453369</v>
      </c>
      <c r="E147" s="218">
        <v>-1.4366108345573725</v>
      </c>
    </row>
    <row r="148" spans="2:5">
      <c r="B148" s="89"/>
      <c r="C148" s="210" t="s">
        <v>19</v>
      </c>
      <c r="D148" s="218">
        <v>-1.4616705257506357</v>
      </c>
      <c r="E148" s="218">
        <v>-1.2581436946291102</v>
      </c>
    </row>
    <row r="149" spans="2:5">
      <c r="B149" s="89"/>
      <c r="C149" s="210" t="s">
        <v>20</v>
      </c>
      <c r="D149" s="218">
        <v>-1.7362760047634818</v>
      </c>
      <c r="E149" s="218">
        <v>-0.98459057041594411</v>
      </c>
    </row>
    <row r="150" spans="2:5">
      <c r="B150" s="89"/>
      <c r="C150" s="210" t="s">
        <v>19</v>
      </c>
      <c r="D150" s="218">
        <v>-1.4228653321082918</v>
      </c>
      <c r="E150" s="218">
        <v>-0.61171913878013129</v>
      </c>
    </row>
    <row r="151" spans="2:5">
      <c r="B151" s="89"/>
      <c r="C151" s="210" t="s">
        <v>21</v>
      </c>
      <c r="D151" s="218">
        <v>-0.5941205686124218</v>
      </c>
      <c r="E151" s="218">
        <v>-0.40872397588245235</v>
      </c>
    </row>
    <row r="152" spans="2:5">
      <c r="B152" s="89"/>
      <c r="C152" s="210" t="s">
        <v>21</v>
      </c>
      <c r="D152" s="218">
        <v>-0.81303647337350737</v>
      </c>
      <c r="E152" s="218">
        <v>-0.11394294172266672</v>
      </c>
    </row>
    <row r="153" spans="2:5">
      <c r="B153" s="89"/>
      <c r="C153" s="210" t="s">
        <v>20</v>
      </c>
      <c r="D153" s="218">
        <v>-0.65741407525370388</v>
      </c>
      <c r="E153" s="218">
        <v>7.9974298932716792E-2</v>
      </c>
    </row>
    <row r="154" spans="2:5">
      <c r="B154" s="480"/>
      <c r="C154" s="210" t="s">
        <v>22</v>
      </c>
      <c r="D154" s="218">
        <v>-0.3765495958775622</v>
      </c>
      <c r="E154" s="218">
        <v>0.29477619840765357</v>
      </c>
    </row>
    <row r="155" spans="2:5">
      <c r="B155" s="89"/>
      <c r="C155" s="210" t="s">
        <v>23</v>
      </c>
      <c r="D155" s="218">
        <v>-0.42748522510560605</v>
      </c>
      <c r="E155" s="218">
        <v>0.33959782643773195</v>
      </c>
    </row>
    <row r="156" spans="2:5">
      <c r="B156" s="89"/>
      <c r="C156" s="210" t="s">
        <v>24</v>
      </c>
      <c r="D156" s="218">
        <v>-0.78432569957992415</v>
      </c>
      <c r="E156" s="218">
        <v>0.24318932384800318</v>
      </c>
    </row>
    <row r="157" spans="2:5">
      <c r="B157" s="89"/>
      <c r="C157" s="210" t="s">
        <v>25</v>
      </c>
      <c r="D157" s="218">
        <v>-1.1165703303855801</v>
      </c>
      <c r="E157" s="218">
        <v>-0.12362130485646938</v>
      </c>
    </row>
    <row r="158" spans="2:5">
      <c r="B158" s="89">
        <v>2015</v>
      </c>
      <c r="C158" s="210" t="s">
        <v>17</v>
      </c>
      <c r="D158" s="218">
        <v>-0.66308093168142568</v>
      </c>
      <c r="E158" s="218">
        <v>0.22320615519026976</v>
      </c>
    </row>
    <row r="159" spans="2:5">
      <c r="B159" s="89"/>
      <c r="C159" s="210" t="s">
        <v>18</v>
      </c>
      <c r="D159" s="218">
        <v>-0.33893708316866666</v>
      </c>
      <c r="E159" s="218">
        <v>0.31464041729158954</v>
      </c>
    </row>
    <row r="160" spans="2:5">
      <c r="B160" s="89"/>
      <c r="C160" s="210" t="s">
        <v>19</v>
      </c>
      <c r="D160" s="218">
        <v>-0.12153892729561688</v>
      </c>
      <c r="E160" s="218">
        <v>0.33978316966348787</v>
      </c>
    </row>
    <row r="161" spans="2:5">
      <c r="B161" s="89"/>
      <c r="C161" s="210" t="s">
        <v>20</v>
      </c>
      <c r="D161" s="218">
        <v>0.17370880176077463</v>
      </c>
      <c r="E161" s="218">
        <v>0.32071464586085341</v>
      </c>
    </row>
    <row r="162" spans="2:5">
      <c r="B162" s="89"/>
      <c r="C162" s="210" t="s">
        <v>19</v>
      </c>
      <c r="D162" s="218">
        <v>0.31365549642583535</v>
      </c>
      <c r="E162" s="218">
        <v>9.2877763288423676E-2</v>
      </c>
    </row>
    <row r="163" spans="2:5">
      <c r="B163" s="89"/>
      <c r="C163" s="210" t="s">
        <v>21</v>
      </c>
      <c r="D163" s="218">
        <v>0.44891602659826724</v>
      </c>
      <c r="E163" s="218">
        <v>0.11609704376964736</v>
      </c>
    </row>
    <row r="164" spans="2:5">
      <c r="B164" s="89"/>
      <c r="C164" s="210" t="s">
        <v>21</v>
      </c>
      <c r="D164" s="218">
        <v>1.6552356706822202</v>
      </c>
      <c r="E164" s="218">
        <v>0.57955426606273175</v>
      </c>
    </row>
    <row r="165" spans="2:5">
      <c r="B165" s="89"/>
      <c r="C165" s="210" t="s">
        <v>20</v>
      </c>
      <c r="D165" s="218">
        <v>2.1356198408534421</v>
      </c>
      <c r="E165" s="218">
        <v>0.79106842842275871</v>
      </c>
    </row>
    <row r="166" spans="2:5">
      <c r="B166" s="89"/>
      <c r="C166" s="210" t="s">
        <v>22</v>
      </c>
      <c r="D166" s="218">
        <v>1.6116723919295195</v>
      </c>
      <c r="E166" s="218">
        <v>0.65816387712707147</v>
      </c>
    </row>
    <row r="167" spans="2:5">
      <c r="B167" s="89"/>
      <c r="C167" s="210" t="s">
        <v>23</v>
      </c>
      <c r="D167" s="218">
        <v>1.6708577492967835</v>
      </c>
      <c r="E167" s="218">
        <v>1.0705576674835182</v>
      </c>
    </row>
    <row r="168" spans="2:5">
      <c r="B168" s="89"/>
      <c r="C168" s="210" t="s">
        <v>24</v>
      </c>
      <c r="D168" s="218">
        <v>1.9921933992340657</v>
      </c>
      <c r="E168" s="218">
        <v>1.2673115725786221</v>
      </c>
    </row>
    <row r="169" spans="2:5">
      <c r="B169" s="89"/>
      <c r="C169" s="210" t="s">
        <v>25</v>
      </c>
      <c r="D169" s="218">
        <v>1.9720720160641081</v>
      </c>
      <c r="E169" s="218">
        <v>1.6879569613720724</v>
      </c>
    </row>
    <row r="170" spans="2:5">
      <c r="B170" s="89">
        <v>2016</v>
      </c>
      <c r="C170" s="210" t="s">
        <v>17</v>
      </c>
      <c r="D170" s="218">
        <v>1.2337419100335145</v>
      </c>
      <c r="E170" s="218">
        <v>1.2580591970271948</v>
      </c>
    </row>
    <row r="171" spans="2:5">
      <c r="B171" s="89"/>
      <c r="C171" s="210" t="s">
        <v>18</v>
      </c>
      <c r="D171" s="218">
        <v>0.91322261472213118</v>
      </c>
      <c r="E171" s="218">
        <v>1.0698443735218</v>
      </c>
    </row>
    <row r="172" spans="2:5">
      <c r="B172" s="89"/>
      <c r="C172" s="210" t="s">
        <v>19</v>
      </c>
      <c r="D172" s="218">
        <v>0.92760084465688397</v>
      </c>
      <c r="E172" s="218">
        <v>1.2476623759437588</v>
      </c>
    </row>
    <row r="173" spans="2:5">
      <c r="B173" s="89"/>
      <c r="C173" s="210" t="s">
        <v>20</v>
      </c>
      <c r="D173" s="218">
        <v>1.3549645512741515</v>
      </c>
      <c r="E173" s="218">
        <v>1.4702047517277883</v>
      </c>
    </row>
    <row r="174" spans="2:5">
      <c r="B174" s="89"/>
      <c r="C174" s="210" t="s">
        <v>19</v>
      </c>
      <c r="D174" s="218">
        <v>1.133537754556535</v>
      </c>
      <c r="E174" s="218">
        <v>1.3596434466267571</v>
      </c>
    </row>
    <row r="175" spans="2:5">
      <c r="B175" s="89"/>
      <c r="C175" s="210" t="s">
        <v>21</v>
      </c>
      <c r="D175" s="218">
        <v>0.75916800760960079</v>
      </c>
      <c r="E175" s="218">
        <v>1.2170422909633771</v>
      </c>
    </row>
    <row r="176" spans="2:5">
      <c r="B176" s="89"/>
      <c r="C176" s="210" t="s">
        <v>21</v>
      </c>
      <c r="D176" s="218">
        <v>-0.7102557544428012</v>
      </c>
      <c r="E176" s="218">
        <v>0.22628581302406303</v>
      </c>
    </row>
    <row r="177" spans="2:5">
      <c r="B177" s="89"/>
      <c r="C177" s="210" t="s">
        <v>20</v>
      </c>
      <c r="D177" s="218">
        <v>-0.76983247675092015</v>
      </c>
      <c r="E177" s="218">
        <v>3.8176462584083026E-3</v>
      </c>
    </row>
    <row r="178" spans="2:5">
      <c r="B178" s="89"/>
      <c r="C178" s="210" t="s">
        <v>22</v>
      </c>
      <c r="D178" s="218">
        <v>1.6589706366376689E-2</v>
      </c>
      <c r="E178" s="218">
        <v>0.49210147290799089</v>
      </c>
    </row>
    <row r="179" spans="2:5">
      <c r="B179" s="89"/>
      <c r="C179" s="210" t="s">
        <v>23</v>
      </c>
      <c r="D179" s="218">
        <v>3.2264394619829773E-2</v>
      </c>
      <c r="E179" s="218">
        <v>0.35590130951366206</v>
      </c>
    </row>
    <row r="180" spans="2:5">
      <c r="B180" s="89"/>
      <c r="C180" s="210" t="s">
        <v>24</v>
      </c>
      <c r="D180" s="218">
        <v>0.30954923618289332</v>
      </c>
      <c r="E180" s="218">
        <v>0.35830297764569696</v>
      </c>
    </row>
    <row r="181" spans="2:5">
      <c r="B181" s="89"/>
      <c r="C181" s="210" t="s">
        <v>25</v>
      </c>
      <c r="D181" s="218">
        <v>0.68954404924408408</v>
      </c>
      <c r="E181" s="218">
        <v>1.3063496734622149E-2</v>
      </c>
    </row>
    <row r="182" spans="2:5">
      <c r="B182" s="89">
        <v>2017</v>
      </c>
      <c r="C182" s="210" t="s">
        <v>17</v>
      </c>
      <c r="D182" s="218">
        <v>1.8214939570820654</v>
      </c>
      <c r="E182" s="218">
        <v>0.77660964997232629</v>
      </c>
    </row>
    <row r="183" spans="2:5">
      <c r="B183" s="89"/>
      <c r="C183" s="210" t="s">
        <v>18</v>
      </c>
      <c r="D183" s="218">
        <v>1.5487456247115006</v>
      </c>
      <c r="E183" s="218">
        <v>0.99351650448136208</v>
      </c>
    </row>
    <row r="184" spans="2:5">
      <c r="B184" s="89"/>
      <c r="C184" s="210" t="s">
        <v>19</v>
      </c>
      <c r="D184" s="218">
        <v>1.2902818730631704</v>
      </c>
      <c r="E184" s="218">
        <v>0.64457319574053873</v>
      </c>
    </row>
    <row r="185" spans="2:5">
      <c r="B185" s="89"/>
      <c r="C185" s="210" t="s">
        <v>20</v>
      </c>
      <c r="D185" s="218">
        <v>0.46742726205792895</v>
      </c>
      <c r="E185" s="218">
        <v>0.43870566045292048</v>
      </c>
    </row>
    <row r="186" spans="2:5">
      <c r="B186" s="89"/>
      <c r="C186" s="210" t="s">
        <v>19</v>
      </c>
      <c r="D186" s="218">
        <v>0.7352368524004671</v>
      </c>
      <c r="E186" s="218">
        <v>0.49798577538213706</v>
      </c>
    </row>
    <row r="187" spans="2:5">
      <c r="B187" s="89"/>
      <c r="C187" s="210" t="s">
        <v>21</v>
      </c>
      <c r="D187" s="218">
        <v>1.3777020564947451</v>
      </c>
      <c r="E187" s="218">
        <v>0.88168999940290149</v>
      </c>
    </row>
    <row r="188" spans="2:5">
      <c r="B188" s="89"/>
      <c r="C188" s="210" t="s">
        <v>21</v>
      </c>
      <c r="D188" s="218">
        <v>1.9747728299073231</v>
      </c>
      <c r="E188" s="218">
        <v>1.2653026621543217</v>
      </c>
    </row>
    <row r="189" spans="2:5">
      <c r="B189" s="89"/>
      <c r="C189" s="210" t="s">
        <v>20</v>
      </c>
      <c r="D189" s="218">
        <v>1.8805035296798556</v>
      </c>
      <c r="E189" s="218">
        <v>1.3714085711900692</v>
      </c>
    </row>
    <row r="190" spans="2:5">
      <c r="B190" s="89"/>
      <c r="C190" s="210" t="s">
        <v>22</v>
      </c>
      <c r="D190" s="218">
        <v>1.0942806209073508</v>
      </c>
      <c r="E190" s="218">
        <v>0.90896621129796795</v>
      </c>
    </row>
    <row r="191" spans="2:5">
      <c r="B191" s="89"/>
      <c r="C191" s="210" t="s">
        <v>23</v>
      </c>
      <c r="D191" s="218">
        <v>1.1928373158870409</v>
      </c>
      <c r="E191" s="218">
        <v>0.86892485876839398</v>
      </c>
    </row>
    <row r="192" spans="2:5">
      <c r="B192" s="89"/>
      <c r="C192" s="210" t="s">
        <v>24</v>
      </c>
      <c r="D192" s="218">
        <v>0.98189735459313088</v>
      </c>
      <c r="E192" s="218">
        <v>1.0267927287909817</v>
      </c>
    </row>
    <row r="193" spans="2:7">
      <c r="B193" s="89"/>
      <c r="C193" s="210" t="s">
        <v>25</v>
      </c>
      <c r="D193" s="218">
        <v>1.1320558128334435</v>
      </c>
      <c r="E193" s="218">
        <v>1.640687715691147</v>
      </c>
    </row>
    <row r="194" spans="2:7">
      <c r="B194" s="89">
        <v>2018</v>
      </c>
      <c r="C194" s="210" t="s">
        <v>17</v>
      </c>
      <c r="D194" s="218">
        <v>0.29028859468671619</v>
      </c>
      <c r="E194" s="218">
        <v>0.72968448250856355</v>
      </c>
    </row>
    <row r="195" spans="2:7">
      <c r="B195" s="480"/>
      <c r="C195" s="210" t="s">
        <v>18</v>
      </c>
      <c r="D195" s="218">
        <v>1.1499905101029606</v>
      </c>
      <c r="E195" s="218">
        <v>1.1338735503760411</v>
      </c>
    </row>
    <row r="196" spans="2:7">
      <c r="B196" s="480"/>
      <c r="C196" s="210" t="s">
        <v>19</v>
      </c>
      <c r="D196" s="218">
        <v>1.673640719028846</v>
      </c>
      <c r="E196" s="218">
        <v>1.7058365622015348</v>
      </c>
    </row>
    <row r="197" spans="2:7" ht="11.25" customHeight="1">
      <c r="B197" s="480"/>
      <c r="C197" s="210" t="s">
        <v>20</v>
      </c>
      <c r="D197" s="218">
        <v>2.4415526364539142</v>
      </c>
      <c r="E197" s="218">
        <v>1.8635418191359276</v>
      </c>
    </row>
    <row r="198" spans="2:7">
      <c r="B198" s="480"/>
      <c r="C198" s="210" t="s">
        <v>19</v>
      </c>
      <c r="D198" s="218">
        <v>2.1807097889496641</v>
      </c>
      <c r="E198" s="218">
        <v>1.9242655830324473</v>
      </c>
    </row>
    <row r="199" spans="2:7">
      <c r="B199" s="480"/>
      <c r="C199" s="210" t="s">
        <v>21</v>
      </c>
      <c r="D199" s="218">
        <v>1.044783300647345</v>
      </c>
      <c r="E199" s="218">
        <v>1.3063598213157279</v>
      </c>
    </row>
    <row r="200" spans="2:7">
      <c r="B200" s="89"/>
      <c r="C200" s="210" t="s">
        <v>21</v>
      </c>
      <c r="D200" s="218">
        <v>0.86536734840299001</v>
      </c>
      <c r="E200" s="218">
        <v>1.2038823962226441</v>
      </c>
    </row>
    <row r="201" spans="2:7">
      <c r="B201" s="89"/>
      <c r="C201" s="210" t="s">
        <v>20</v>
      </c>
      <c r="D201" s="218">
        <v>0.81112212503802184</v>
      </c>
      <c r="E201" s="218">
        <v>1.2121075620414867</v>
      </c>
    </row>
    <row r="202" spans="2:7">
      <c r="B202" s="89"/>
      <c r="C202" s="210" t="s">
        <v>22</v>
      </c>
      <c r="D202" s="218">
        <v>1.3135237741526584</v>
      </c>
      <c r="E202" s="218">
        <v>1.5753318903837688</v>
      </c>
    </row>
    <row r="203" spans="2:7">
      <c r="B203" s="89"/>
      <c r="C203" s="210" t="s">
        <v>23</v>
      </c>
      <c r="D203" s="218">
        <v>1.2249860956851766</v>
      </c>
      <c r="E203" s="218">
        <v>1.5435687822780819</v>
      </c>
    </row>
    <row r="204" spans="2:7">
      <c r="B204" s="89"/>
      <c r="C204" s="210" t="s">
        <v>24</v>
      </c>
      <c r="D204" s="218">
        <v>1.1227620682029649</v>
      </c>
      <c r="E204" s="218">
        <v>1.2121611850250069</v>
      </c>
    </row>
    <row r="205" spans="2:7">
      <c r="B205" s="89"/>
      <c r="C205" s="212" t="s">
        <v>25</v>
      </c>
      <c r="D205" s="219">
        <v>0.39160650203691194</v>
      </c>
      <c r="E205" s="219">
        <v>0.31215722717412575</v>
      </c>
    </row>
    <row r="207" spans="2:7">
      <c r="C207" s="217" t="s">
        <v>151</v>
      </c>
    </row>
    <row r="208" spans="2:7" ht="22.5">
      <c r="C208" s="215"/>
      <c r="D208" s="227" t="s">
        <v>150</v>
      </c>
      <c r="E208" s="216" t="s">
        <v>15</v>
      </c>
      <c r="F208" s="216" t="s">
        <v>16</v>
      </c>
      <c r="G208" s="227" t="s">
        <v>77</v>
      </c>
    </row>
    <row r="209" spans="3:9">
      <c r="C209" s="210" t="s">
        <v>2</v>
      </c>
      <c r="D209" s="228">
        <v>-2.0911449281721395</v>
      </c>
      <c r="E209" s="228">
        <v>1.5060782363353953</v>
      </c>
      <c r="F209" s="228">
        <v>-1.6089130443288746</v>
      </c>
      <c r="G209" s="228">
        <v>-1.9883101201786602</v>
      </c>
    </row>
    <row r="210" spans="3:9">
      <c r="C210" s="210" t="s">
        <v>3</v>
      </c>
      <c r="D210" s="228">
        <v>6.5906991743857057</v>
      </c>
      <c r="E210" s="228">
        <v>-0.14002200906282347</v>
      </c>
      <c r="F210" s="228">
        <v>3.6965286851976975</v>
      </c>
      <c r="G210" s="228">
        <v>3.0341924982508317</v>
      </c>
    </row>
    <row r="211" spans="3:9">
      <c r="C211" s="210" t="s">
        <v>4</v>
      </c>
      <c r="D211" s="228">
        <v>4.5689033634230825</v>
      </c>
      <c r="E211" s="228">
        <v>-2.8250612894685556</v>
      </c>
      <c r="F211" s="228">
        <v>2.3743739143770481</v>
      </c>
      <c r="G211" s="228">
        <v>5.0195907385145899</v>
      </c>
    </row>
    <row r="212" spans="3:9">
      <c r="C212" s="210" t="s">
        <v>5</v>
      </c>
      <c r="D212" s="228">
        <v>5.054271039489211</v>
      </c>
      <c r="E212" s="228">
        <v>2.2658307139816092</v>
      </c>
      <c r="F212" s="228">
        <v>1.1062434206777105</v>
      </c>
      <c r="G212" s="228">
        <v>1.6821969048298913</v>
      </c>
    </row>
    <row r="213" spans="3:9">
      <c r="C213" s="210" t="s">
        <v>6</v>
      </c>
      <c r="D213" s="228">
        <v>-0.6173300029319595</v>
      </c>
      <c r="E213" s="228">
        <v>-0.42905792720324687</v>
      </c>
      <c r="F213" s="228">
        <v>-1.5440245458743673</v>
      </c>
      <c r="G213" s="228">
        <v>1.3557524701456547</v>
      </c>
    </row>
    <row r="214" spans="3:9">
      <c r="C214" s="210" t="s">
        <v>7</v>
      </c>
      <c r="D214" s="228">
        <v>-6.2595963851842633</v>
      </c>
      <c r="E214" s="228">
        <v>-0.4864798511772026</v>
      </c>
      <c r="F214" s="228">
        <v>-2.6747369714020928</v>
      </c>
      <c r="G214" s="228">
        <v>-3.0983795626049679</v>
      </c>
    </row>
    <row r="215" spans="3:9">
      <c r="C215" s="210" t="s">
        <v>8</v>
      </c>
      <c r="D215" s="228">
        <v>-1.0590978221433622</v>
      </c>
      <c r="E215" s="228">
        <v>-0.71396157129065552</v>
      </c>
      <c r="F215" s="228">
        <v>-0.35399188282606575</v>
      </c>
      <c r="G215" s="228">
        <v>8.855631973359035E-3</v>
      </c>
    </row>
    <row r="216" spans="3:9">
      <c r="C216" s="210" t="s">
        <v>9</v>
      </c>
      <c r="D216" s="228">
        <v>0.96445154051869597</v>
      </c>
      <c r="E216" s="228">
        <v>-1.4754783626463874</v>
      </c>
      <c r="F216" s="228">
        <v>0.70129453712288736</v>
      </c>
      <c r="G216" s="228">
        <v>1.738635366042196</v>
      </c>
    </row>
    <row r="217" spans="3:9">
      <c r="C217" s="210" t="s">
        <v>10</v>
      </c>
      <c r="D217" s="228">
        <v>2.9432591646496808</v>
      </c>
      <c r="E217" s="228">
        <v>-1.8306262218946268</v>
      </c>
      <c r="F217" s="228">
        <v>1.7894521619491233</v>
      </c>
      <c r="G217" s="228">
        <v>2.9844332245951843</v>
      </c>
    </row>
    <row r="218" spans="3:9">
      <c r="C218" s="210" t="s">
        <v>11</v>
      </c>
      <c r="D218" s="228">
        <v>0.61933420014832485</v>
      </c>
      <c r="E218" s="228">
        <v>0.87446389212507691</v>
      </c>
      <c r="F218" s="228">
        <v>-0.22134430335545296</v>
      </c>
      <c r="G218" s="228">
        <v>-3.3785388621299095E-2</v>
      </c>
    </row>
    <row r="219" spans="3:9">
      <c r="C219" s="210" t="s">
        <v>12</v>
      </c>
      <c r="D219" s="228">
        <v>5.0940456681458635E-2</v>
      </c>
      <c r="E219" s="228">
        <v>-0.44744165197523333</v>
      </c>
      <c r="F219" s="228">
        <v>1.5251728040039714</v>
      </c>
      <c r="G219" s="228">
        <v>-1.0267906953472794</v>
      </c>
    </row>
    <row r="220" spans="3:9">
      <c r="C220" s="212" t="s">
        <v>13</v>
      </c>
      <c r="D220" s="229">
        <v>-4.4468982320331367</v>
      </c>
      <c r="E220" s="229">
        <v>2.0637523411552889</v>
      </c>
      <c r="F220" s="229">
        <v>-1.5548532956937695</v>
      </c>
      <c r="G220" s="229">
        <v>-4.9557972774946562</v>
      </c>
    </row>
    <row r="222" spans="3:9">
      <c r="C222" s="217" t="s">
        <v>154</v>
      </c>
    </row>
    <row r="223" spans="3:9" ht="11.25" customHeight="1">
      <c r="C223" s="237"/>
      <c r="D223" s="646" t="s">
        <v>65</v>
      </c>
      <c r="E223" s="646"/>
      <c r="F223" s="646" t="s">
        <v>153</v>
      </c>
      <c r="G223" s="646"/>
    </row>
    <row r="224" spans="3:9" ht="11.25" customHeight="1">
      <c r="C224" s="230">
        <v>2014</v>
      </c>
      <c r="D224" s="231" t="s">
        <v>349</v>
      </c>
      <c r="E224" s="232">
        <v>38746.112000000001</v>
      </c>
      <c r="F224" s="232">
        <v>797.89730599999996</v>
      </c>
      <c r="G224" s="233" t="s">
        <v>168</v>
      </c>
      <c r="H224" s="97"/>
      <c r="I224" s="101"/>
    </row>
    <row r="225" spans="3:9">
      <c r="C225" s="230">
        <v>2015</v>
      </c>
      <c r="D225" s="231" t="s">
        <v>349</v>
      </c>
      <c r="E225" s="232">
        <v>40218.014999999999</v>
      </c>
      <c r="F225" s="232">
        <v>821.81680200000005</v>
      </c>
      <c r="G225" s="233" t="s">
        <v>170</v>
      </c>
      <c r="H225" s="97"/>
      <c r="I225" s="101"/>
    </row>
    <row r="226" spans="3:9">
      <c r="C226" s="230">
        <v>2016</v>
      </c>
      <c r="D226" s="231" t="s">
        <v>352</v>
      </c>
      <c r="E226" s="232">
        <v>38085.987000000001</v>
      </c>
      <c r="F226" s="232">
        <v>783.27083900000002</v>
      </c>
      <c r="G226" s="233" t="s">
        <v>171</v>
      </c>
      <c r="H226" s="97"/>
      <c r="I226" s="101"/>
    </row>
    <row r="227" spans="3:9">
      <c r="C227" s="230">
        <v>2017</v>
      </c>
      <c r="D227" s="233" t="s">
        <v>354</v>
      </c>
      <c r="E227" s="232">
        <v>40960.58</v>
      </c>
      <c r="F227" s="232">
        <v>844.11916199999996</v>
      </c>
      <c r="G227" s="233" t="s">
        <v>172</v>
      </c>
      <c r="H227" s="97"/>
      <c r="I227" s="101"/>
    </row>
    <row r="228" spans="3:9">
      <c r="C228" s="234">
        <v>2018</v>
      </c>
      <c r="D228" s="235" t="s">
        <v>356</v>
      </c>
      <c r="E228" s="236">
        <v>40611.154000000002</v>
      </c>
      <c r="F228" s="236">
        <v>835.89350000000002</v>
      </c>
      <c r="G228" s="235" t="s">
        <v>166</v>
      </c>
      <c r="H228" s="97"/>
      <c r="I228" s="101"/>
    </row>
    <row r="230" spans="3:9">
      <c r="C230" s="217" t="s">
        <v>155</v>
      </c>
    </row>
    <row r="231" spans="3:9">
      <c r="C231" s="237"/>
      <c r="D231" s="646" t="s">
        <v>65</v>
      </c>
      <c r="E231" s="646"/>
      <c r="F231" s="646" t="s">
        <v>153</v>
      </c>
      <c r="G231" s="646"/>
    </row>
    <row r="232" spans="3:9">
      <c r="C232" s="230">
        <v>2014</v>
      </c>
      <c r="D232" s="231" t="s">
        <v>350</v>
      </c>
      <c r="E232" s="232">
        <v>36929.309000000001</v>
      </c>
      <c r="F232" s="232">
        <v>756.13657599999999</v>
      </c>
      <c r="G232" s="233" t="s">
        <v>169</v>
      </c>
      <c r="H232" s="97"/>
      <c r="I232" s="101"/>
    </row>
    <row r="233" spans="3:9">
      <c r="C233" s="230">
        <v>2015</v>
      </c>
      <c r="D233" s="231" t="s">
        <v>351</v>
      </c>
      <c r="E233" s="232">
        <v>40146.381000000001</v>
      </c>
      <c r="F233" s="232">
        <v>816.95564999999999</v>
      </c>
      <c r="G233" s="233" t="s">
        <v>163</v>
      </c>
      <c r="H233" s="97"/>
      <c r="I233" s="101"/>
    </row>
    <row r="234" spans="3:9">
      <c r="C234" s="230">
        <v>2016</v>
      </c>
      <c r="D234" s="231" t="s">
        <v>353</v>
      </c>
      <c r="E234" s="232">
        <v>40043.813999999998</v>
      </c>
      <c r="F234" s="232">
        <v>817.42597000000001</v>
      </c>
      <c r="G234" s="233" t="s">
        <v>164</v>
      </c>
      <c r="H234" s="97"/>
      <c r="I234" s="101"/>
    </row>
    <row r="235" spans="3:9">
      <c r="C235" s="230">
        <v>2017</v>
      </c>
      <c r="D235" s="233" t="s">
        <v>355</v>
      </c>
      <c r="E235" s="232">
        <v>39301.834999999999</v>
      </c>
      <c r="F235" s="232">
        <v>813.75465099999997</v>
      </c>
      <c r="G235" s="233" t="s">
        <v>165</v>
      </c>
      <c r="H235" s="97"/>
      <c r="I235" s="101"/>
    </row>
    <row r="236" spans="3:9">
      <c r="C236" s="234">
        <v>2018</v>
      </c>
      <c r="D236" s="235" t="s">
        <v>357</v>
      </c>
      <c r="E236" s="236">
        <v>39685.438000000002</v>
      </c>
      <c r="F236" s="236">
        <v>805.77926904000003</v>
      </c>
      <c r="G236" s="235" t="s">
        <v>167</v>
      </c>
      <c r="H236" s="97"/>
      <c r="I236" s="101"/>
    </row>
    <row r="238" spans="3:9">
      <c r="C238" s="259" t="s">
        <v>173</v>
      </c>
      <c r="D238" s="259"/>
      <c r="E238" s="259"/>
      <c r="F238" s="259"/>
    </row>
    <row r="239" spans="3:9">
      <c r="C239" s="260"/>
      <c r="D239" s="261"/>
      <c r="E239" s="262" t="s">
        <v>31</v>
      </c>
      <c r="F239" s="262" t="s">
        <v>14</v>
      </c>
    </row>
    <row r="240" spans="3:9">
      <c r="C240" s="263" t="s">
        <v>68</v>
      </c>
      <c r="D240" s="264"/>
      <c r="E240" s="265">
        <f>SUM(D68:F68,H68,J68:M68,O68:R68,T68:V68)</f>
        <v>3328.8900000000003</v>
      </c>
      <c r="F240" s="266">
        <f>ROUND(E240/$E$252*100,1)</f>
        <v>3.4</v>
      </c>
      <c r="I240" s="97"/>
    </row>
    <row r="241" spans="3:9">
      <c r="C241" s="267" t="s">
        <v>27</v>
      </c>
      <c r="D241" s="268" t="str">
        <f>C241&amp;" "&amp;TEXT(F241,"0,0")&amp;" %"</f>
        <v>Nuclear 7,2 %</v>
      </c>
      <c r="E241" s="265">
        <f>SUM(D69:F69,H69,J69:M69,O69:R69,T69:V69)</f>
        <v>7117.29</v>
      </c>
      <c r="F241" s="266">
        <f t="shared" ref="F241:F251" si="28">ROUND(E241/$E$252*100,1)</f>
        <v>7.2</v>
      </c>
      <c r="I241" s="97"/>
    </row>
    <row r="242" spans="3:9">
      <c r="C242" s="267" t="s">
        <v>28</v>
      </c>
      <c r="D242" s="268" t="str">
        <f t="shared" ref="D242:D249" si="29">C242&amp;" "&amp;TEXT(F242,"0,0")&amp;" %"</f>
        <v>Carbón 9,7 %</v>
      </c>
      <c r="E242" s="265">
        <f>SUM(D70:F70,H70,J70:M70,O70:R70,T70:V70)</f>
        <v>9561.8849999999984</v>
      </c>
      <c r="F242" s="266">
        <f t="shared" si="28"/>
        <v>9.6999999999999993</v>
      </c>
      <c r="I242" s="97"/>
    </row>
    <row r="243" spans="3:9">
      <c r="C243" s="267" t="s">
        <v>44</v>
      </c>
      <c r="D243" s="268" t="str">
        <f t="shared" si="29"/>
        <v>Ciclo combinado 24,9 %</v>
      </c>
      <c r="E243" s="265">
        <f>SUM(D72:F72,H72,J72:M72,O72:R72,T72:V72)</f>
        <v>24561.86</v>
      </c>
      <c r="F243" s="266">
        <f t="shared" si="28"/>
        <v>24.9</v>
      </c>
      <c r="I243" s="97"/>
    </row>
    <row r="244" spans="3:9">
      <c r="C244" s="267" t="s">
        <v>74</v>
      </c>
      <c r="D244" s="268" t="str">
        <f t="shared" si="29"/>
        <v>Cogeneración 5,8 %</v>
      </c>
      <c r="E244" s="265">
        <f>SUM(D78:F78,H78,J78:M78,O78:R78,T78:V78)</f>
        <v>5735.7954000000009</v>
      </c>
      <c r="F244" s="266">
        <f>100-SUM(F240:F243,F245:F251)</f>
        <v>5.8000000000000114</v>
      </c>
      <c r="I244" s="97"/>
    </row>
    <row r="245" spans="3:9">
      <c r="C245" s="267" t="s">
        <v>96</v>
      </c>
      <c r="D245" s="268"/>
      <c r="E245" s="265">
        <f>SUM(D79:F79,H79,J79:M79,O79:R79,T79:V79)</f>
        <v>452.3775</v>
      </c>
      <c r="F245" s="266">
        <f t="shared" si="28"/>
        <v>0.5</v>
      </c>
      <c r="I245" s="97"/>
    </row>
    <row r="246" spans="3:9">
      <c r="C246" s="267" t="s">
        <v>97</v>
      </c>
      <c r="D246" s="268" t="str">
        <f t="shared" si="29"/>
        <v>Residuos renovables 0,1 %</v>
      </c>
      <c r="E246" s="265">
        <f>SUM(D80:F80,H80,J80:M80,O80:R80,T80:V80)</f>
        <v>123.0415</v>
      </c>
      <c r="F246" s="266">
        <f t="shared" si="28"/>
        <v>0.1</v>
      </c>
      <c r="I246" s="97"/>
    </row>
    <row r="247" spans="3:9">
      <c r="C247" s="267" t="s">
        <v>50</v>
      </c>
      <c r="D247" s="268" t="str">
        <f t="shared" si="29"/>
        <v>Eólica 23,4 %</v>
      </c>
      <c r="E247" s="265">
        <f>SUM(D74:F74,H74,J74:M74,O74:R74,T74:V74)</f>
        <v>23041.100999999999</v>
      </c>
      <c r="F247" s="266">
        <f t="shared" si="28"/>
        <v>23.4</v>
      </c>
      <c r="I247" s="97"/>
    </row>
    <row r="248" spans="3:9">
      <c r="C248" s="267" t="s">
        <v>26</v>
      </c>
      <c r="D248" s="268" t="str">
        <f t="shared" si="29"/>
        <v>Hidráulica 17,3 %</v>
      </c>
      <c r="E248" s="265">
        <f>SUM(D67:F67,H67,J67:M67,O67:R67,T67:V67)</f>
        <v>17048.908629999998</v>
      </c>
      <c r="F248" s="266">
        <f t="shared" si="28"/>
        <v>17.3</v>
      </c>
      <c r="I248" s="97"/>
    </row>
    <row r="249" spans="3:9">
      <c r="C249" s="267" t="s">
        <v>51</v>
      </c>
      <c r="D249" s="268" t="str">
        <f t="shared" si="29"/>
        <v>Solar fotovoltaica 4,5 %</v>
      </c>
      <c r="E249" s="265">
        <f>SUM(D75:F75,H75,J75:M75,O75:R75,T75:V75)</f>
        <v>4459.1341530001273</v>
      </c>
      <c r="F249" s="266">
        <f t="shared" si="28"/>
        <v>4.5</v>
      </c>
      <c r="I249" s="97"/>
    </row>
    <row r="250" spans="3:9">
      <c r="C250" s="267" t="s">
        <v>67</v>
      </c>
      <c r="D250" s="268"/>
      <c r="E250" s="265">
        <f>SUM(D76:F76,H76,J76:M76,O76:R76,T76:V76)</f>
        <v>2304.1129999999998</v>
      </c>
      <c r="F250" s="266">
        <f t="shared" si="28"/>
        <v>2.2999999999999998</v>
      </c>
      <c r="I250" s="97"/>
    </row>
    <row r="251" spans="3:9">
      <c r="C251" s="267" t="s">
        <v>76</v>
      </c>
      <c r="D251" s="268"/>
      <c r="E251" s="265">
        <f>SUM(D77:F77,H77,J77:M77,O77:R77,T77:V77)</f>
        <v>858.48899999999992</v>
      </c>
      <c r="F251" s="266">
        <f t="shared" si="28"/>
        <v>0.9</v>
      </c>
      <c r="I251" s="97"/>
    </row>
    <row r="252" spans="3:9">
      <c r="C252" s="269" t="s">
        <v>32</v>
      </c>
      <c r="D252" s="270"/>
      <c r="E252" s="271">
        <f>SUM(E240:E251)</f>
        <v>98592.885183000122</v>
      </c>
      <c r="F252" s="272">
        <f>SUM(F240:F251)</f>
        <v>100</v>
      </c>
      <c r="I252" s="97"/>
    </row>
    <row r="254" spans="3:9">
      <c r="C254" s="259" t="s">
        <v>403</v>
      </c>
      <c r="D254" s="259"/>
      <c r="E254" s="259"/>
      <c r="F254" s="259"/>
    </row>
    <row r="255" spans="3:9">
      <c r="C255" s="260"/>
      <c r="D255" s="261"/>
      <c r="E255" s="262" t="s">
        <v>1</v>
      </c>
      <c r="F255" s="262" t="s">
        <v>14</v>
      </c>
    </row>
    <row r="256" spans="3:9">
      <c r="C256" s="263" t="s">
        <v>178</v>
      </c>
      <c r="D256" s="264"/>
      <c r="E256" s="265">
        <f>G319</f>
        <v>2248.9644183400001</v>
      </c>
      <c r="F256" s="266">
        <f>ROUND(E256/$E$269*100,1)</f>
        <v>0.9</v>
      </c>
      <c r="G256" s="473">
        <f>ROUND((E256/SUM($E$256:$E$267)*100),1)</f>
        <v>0.9</v>
      </c>
    </row>
    <row r="257" spans="3:7">
      <c r="C257" s="267" t="s">
        <v>27</v>
      </c>
      <c r="D257" s="268" t="str">
        <f>C257&amp;" "&amp;TEXT(F257,"0,0")&amp;" %"</f>
        <v>Nuclear 21,6 %</v>
      </c>
      <c r="E257" s="265">
        <f>G320</f>
        <v>55539.351045999996</v>
      </c>
      <c r="F257" s="266">
        <f>ROUND(E257/$E$269*100,1)</f>
        <v>21.6</v>
      </c>
      <c r="G257" s="473">
        <f t="shared" ref="G257:G267" si="30">ROUND((E257/SUM($E$256:$E$267)*100),1)</f>
        <v>22.4</v>
      </c>
    </row>
    <row r="258" spans="3:7">
      <c r="C258" s="267" t="s">
        <v>28</v>
      </c>
      <c r="D258" s="268" t="str">
        <f t="shared" ref="D258:D260" si="31">C258&amp;" "&amp;TEXT(F258,"0,0")&amp;" %"</f>
        <v>Carbón 16,5 %</v>
      </c>
      <c r="E258" s="265">
        <f>G321</f>
        <v>42421.888556000005</v>
      </c>
      <c r="F258" s="266">
        <f>ROUND(E258/$E$269*100,1)</f>
        <v>16.5</v>
      </c>
      <c r="G258" s="473">
        <f t="shared" si="30"/>
        <v>17.100000000000001</v>
      </c>
    </row>
    <row r="259" spans="3:7">
      <c r="C259" s="267" t="s">
        <v>44</v>
      </c>
      <c r="D259" s="268" t="str">
        <f t="shared" si="31"/>
        <v>Ciclo combinado 13,1 %</v>
      </c>
      <c r="E259" s="265">
        <f>G323</f>
        <v>33647.980778999998</v>
      </c>
      <c r="F259" s="266">
        <f>ROUND(E259/$E$269*100,1)</f>
        <v>13.1</v>
      </c>
      <c r="G259" s="473">
        <f t="shared" si="30"/>
        <v>13.6</v>
      </c>
    </row>
    <row r="260" spans="3:7">
      <c r="C260" s="267" t="s">
        <v>74</v>
      </c>
      <c r="D260" s="268" t="str">
        <f t="shared" si="31"/>
        <v>Cogeneración 10,7 %</v>
      </c>
      <c r="E260" s="265">
        <f>G328</f>
        <v>28175.562469</v>
      </c>
      <c r="F260" s="266">
        <f>100-SUM(F256:F259,F261:F268)</f>
        <v>10.700000000000003</v>
      </c>
      <c r="G260" s="473">
        <f>100-SUM(G256:G259,G261:G267)</f>
        <v>11.299999999999983</v>
      </c>
    </row>
    <row r="261" spans="3:7">
      <c r="C261" s="267" t="s">
        <v>96</v>
      </c>
      <c r="D261" s="268"/>
      <c r="E261" s="265">
        <f>G329</f>
        <v>2459.1288610000001</v>
      </c>
      <c r="F261" s="266">
        <f t="shared" ref="F261:F267" si="32">ROUND(E261/$E$269*100,1)</f>
        <v>1</v>
      </c>
      <c r="G261" s="473">
        <f t="shared" si="30"/>
        <v>1</v>
      </c>
    </row>
    <row r="262" spans="3:7">
      <c r="C262" s="267" t="s">
        <v>97</v>
      </c>
      <c r="D262" s="268" t="str">
        <f t="shared" ref="D262:D266" si="33">C262&amp;" "&amp;TEXT(F262,"0,0")&amp;" %"</f>
        <v>Residuos renovables 0,3 %</v>
      </c>
      <c r="E262" s="265">
        <f>G330</f>
        <v>728.150432999999</v>
      </c>
      <c r="F262" s="266">
        <f t="shared" si="32"/>
        <v>0.3</v>
      </c>
      <c r="G262" s="473">
        <f t="shared" si="30"/>
        <v>0.3</v>
      </c>
    </row>
    <row r="263" spans="3:7">
      <c r="C263" s="267" t="s">
        <v>50</v>
      </c>
      <c r="D263" s="268" t="str">
        <f t="shared" si="33"/>
        <v>Eólica 18,5 %</v>
      </c>
      <c r="E263" s="265">
        <f>G324</f>
        <v>47508.105951999998</v>
      </c>
      <c r="F263" s="266">
        <f t="shared" si="32"/>
        <v>18.5</v>
      </c>
      <c r="G263" s="473">
        <f t="shared" si="30"/>
        <v>19.100000000000001</v>
      </c>
    </row>
    <row r="264" spans="3:7">
      <c r="C264" s="267" t="s">
        <v>26</v>
      </c>
      <c r="D264" s="268" t="str">
        <f t="shared" si="33"/>
        <v>Hidráulica 7,2 %</v>
      </c>
      <c r="E264" s="265">
        <f>G318</f>
        <v>18447.346771659999</v>
      </c>
      <c r="F264" s="266">
        <f t="shared" si="32"/>
        <v>7.2</v>
      </c>
      <c r="G264" s="473">
        <f t="shared" si="30"/>
        <v>7.4</v>
      </c>
    </row>
    <row r="265" spans="3:7">
      <c r="C265" s="267" t="s">
        <v>51</v>
      </c>
      <c r="D265" s="268" t="str">
        <f t="shared" si="33"/>
        <v>Solar fotovoltaica 3,1 %</v>
      </c>
      <c r="E265" s="265">
        <f>G325</f>
        <v>8000.7121639999996</v>
      </c>
      <c r="F265" s="266">
        <f t="shared" si="32"/>
        <v>3.1</v>
      </c>
      <c r="G265" s="473">
        <f t="shared" si="30"/>
        <v>3.2</v>
      </c>
    </row>
    <row r="266" spans="3:7">
      <c r="C266" s="267" t="s">
        <v>67</v>
      </c>
      <c r="D266" s="268" t="str">
        <f t="shared" si="33"/>
        <v>Solar térmica 2,1 %</v>
      </c>
      <c r="E266" s="265">
        <f>G326</f>
        <v>5347.9524650000003</v>
      </c>
      <c r="F266" s="266">
        <f t="shared" si="32"/>
        <v>2.1</v>
      </c>
      <c r="G266" s="473">
        <f t="shared" si="30"/>
        <v>2.2000000000000002</v>
      </c>
    </row>
    <row r="267" spans="3:7">
      <c r="C267" s="267" t="s">
        <v>76</v>
      </c>
      <c r="D267" s="268"/>
      <c r="E267" s="265">
        <f>G327</f>
        <v>3599.155882</v>
      </c>
      <c r="F267" s="266">
        <f t="shared" si="32"/>
        <v>1.4</v>
      </c>
      <c r="G267" s="473">
        <f t="shared" si="30"/>
        <v>1.5</v>
      </c>
    </row>
    <row r="268" spans="3:7" ht="22.5">
      <c r="C268" s="274" t="s">
        <v>179</v>
      </c>
      <c r="D268" s="268" t="str">
        <f t="shared" ref="D268" si="34">C268&amp;" "&amp;TEXT(F268,"0,0")&amp;" %"</f>
        <v>Saldo importador intercambios internacionales 3,6 %</v>
      </c>
      <c r="E268" s="265">
        <f>G334</f>
        <v>9168.9935229999901</v>
      </c>
      <c r="F268" s="266">
        <f t="shared" ref="F268" si="35">ROUND(E268/$E$269*100,1)</f>
        <v>3.6</v>
      </c>
      <c r="G268" s="221"/>
    </row>
    <row r="269" spans="3:7">
      <c r="C269" s="275" t="s">
        <v>32</v>
      </c>
      <c r="D269" s="270"/>
      <c r="E269" s="271">
        <f>SUM(E256:E268)</f>
        <v>257293.29331999997</v>
      </c>
      <c r="F269" s="272">
        <f>SUM(F256:F268)</f>
        <v>100</v>
      </c>
    </row>
    <row r="271" spans="3:7">
      <c r="C271" s="259" t="s">
        <v>180</v>
      </c>
      <c r="D271" s="259"/>
      <c r="E271" s="259"/>
      <c r="F271" s="259"/>
    </row>
    <row r="272" spans="3:7">
      <c r="C272" s="260"/>
      <c r="D272" s="261"/>
      <c r="E272" s="262" t="s">
        <v>1</v>
      </c>
      <c r="F272" s="262" t="s">
        <v>14</v>
      </c>
    </row>
    <row r="273" spans="3:7">
      <c r="C273" s="263" t="s">
        <v>178</v>
      </c>
      <c r="D273" s="264"/>
      <c r="E273" s="265">
        <f>H319</f>
        <v>2009.3771881279999</v>
      </c>
      <c r="F273" s="266">
        <f>ROUND(E273/$E$286*100,1)</f>
        <v>0.8</v>
      </c>
      <c r="G273" s="473">
        <f>E273/SUM($E$273:$E$284)*100</f>
        <v>0.81408323839118668</v>
      </c>
    </row>
    <row r="274" spans="3:7">
      <c r="C274" s="267" t="s">
        <v>27</v>
      </c>
      <c r="D274" s="268" t="str">
        <f>C274&amp;" "&amp;TEXT(F274,"0,0")&amp;" %"</f>
        <v>Nuclear 20,6 %</v>
      </c>
      <c r="E274" s="265">
        <f>H320</f>
        <v>53197.615882999999</v>
      </c>
      <c r="F274" s="266">
        <f t="shared" ref="F274:F285" si="36">ROUND(E274/$E$286*100,1)</f>
        <v>20.6</v>
      </c>
      <c r="G274" s="473">
        <f t="shared" ref="G274:G284" si="37">E274/SUM($E$273:$E$284)*100</f>
        <v>21.552592349806421</v>
      </c>
    </row>
    <row r="275" spans="3:7">
      <c r="C275" s="267" t="s">
        <v>28</v>
      </c>
      <c r="D275" s="268" t="str">
        <f t="shared" ref="D275:D285" si="38">C275&amp;" "&amp;TEXT(F275,"0,0")&amp;" %"</f>
        <v>Carbón 13,5 %</v>
      </c>
      <c r="E275" s="265">
        <f>H321</f>
        <v>34881.770042999997</v>
      </c>
      <c r="F275" s="266">
        <f t="shared" si="36"/>
        <v>13.5</v>
      </c>
      <c r="G275" s="473">
        <f t="shared" si="37"/>
        <v>14.132072606973987</v>
      </c>
    </row>
    <row r="276" spans="3:7">
      <c r="C276" s="267" t="s">
        <v>44</v>
      </c>
      <c r="D276" s="268" t="str">
        <f t="shared" si="38"/>
        <v>Ciclo combinado 10,2 %</v>
      </c>
      <c r="E276" s="265">
        <f>H323</f>
        <v>26403.084659</v>
      </c>
      <c r="F276" s="266">
        <f t="shared" si="36"/>
        <v>10.199999999999999</v>
      </c>
      <c r="G276" s="473">
        <f t="shared" si="37"/>
        <v>10.697000438598673</v>
      </c>
    </row>
    <row r="277" spans="3:7">
      <c r="C277" s="267" t="s">
        <v>74</v>
      </c>
      <c r="D277" s="268" t="str">
        <f t="shared" si="38"/>
        <v>Cogeneración 11,2 %</v>
      </c>
      <c r="E277" s="265">
        <f>H328</f>
        <v>28974.772417</v>
      </c>
      <c r="F277" s="266">
        <f>100-SUM(F273:F276,F278:F285)</f>
        <v>11.199999999999974</v>
      </c>
      <c r="G277" s="473">
        <f t="shared" si="37"/>
        <v>11.738899346644924</v>
      </c>
    </row>
    <row r="278" spans="3:7">
      <c r="C278" s="267" t="s">
        <v>96</v>
      </c>
      <c r="D278" s="268"/>
      <c r="E278" s="265">
        <f>H329</f>
        <v>2295.6874865</v>
      </c>
      <c r="F278" s="266">
        <f t="shared" si="36"/>
        <v>0.9</v>
      </c>
      <c r="G278" s="473">
        <f t="shared" si="37"/>
        <v>0.93007958604583973</v>
      </c>
    </row>
    <row r="279" spans="3:7">
      <c r="C279" s="267" t="s">
        <v>97</v>
      </c>
      <c r="D279" s="268" t="str">
        <f t="shared" si="38"/>
        <v>Residuos renovables 0,3 %</v>
      </c>
      <c r="E279" s="265">
        <f>H330</f>
        <v>732.97066150000001</v>
      </c>
      <c r="F279" s="266">
        <f t="shared" si="36"/>
        <v>0.3</v>
      </c>
      <c r="G279" s="473">
        <f t="shared" si="37"/>
        <v>0.29695725286677227</v>
      </c>
    </row>
    <row r="280" spans="3:7">
      <c r="C280" s="267" t="s">
        <v>50</v>
      </c>
      <c r="D280" s="268" t="str">
        <f t="shared" si="38"/>
        <v>Eólica 19,0 %</v>
      </c>
      <c r="E280" s="265">
        <f>H324</f>
        <v>48901.728058000001</v>
      </c>
      <c r="F280" s="266">
        <f t="shared" si="36"/>
        <v>19</v>
      </c>
      <c r="G280" s="473">
        <f t="shared" si="37"/>
        <v>19.812147453246514</v>
      </c>
    </row>
    <row r="281" spans="3:7">
      <c r="C281" s="267" t="s">
        <v>26</v>
      </c>
      <c r="D281" s="268" t="str">
        <f t="shared" si="38"/>
        <v>Hidráulica 13,2 %</v>
      </c>
      <c r="E281" s="265">
        <f>H318</f>
        <v>34096.796785872</v>
      </c>
      <c r="F281" s="266">
        <f t="shared" si="36"/>
        <v>13.2</v>
      </c>
      <c r="G281" s="473">
        <f t="shared" si="37"/>
        <v>13.814046914740175</v>
      </c>
    </row>
    <row r="282" spans="3:7">
      <c r="C282" s="267" t="s">
        <v>51</v>
      </c>
      <c r="D282" s="268" t="str">
        <f t="shared" si="38"/>
        <v>Solar fotovoltaica 2,9 %</v>
      </c>
      <c r="E282" s="265">
        <f>H325</f>
        <v>7362.7444520000099</v>
      </c>
      <c r="F282" s="266">
        <f t="shared" si="36"/>
        <v>2.9</v>
      </c>
      <c r="G282" s="473">
        <f t="shared" si="37"/>
        <v>2.9829575464201463</v>
      </c>
    </row>
    <row r="283" spans="3:7">
      <c r="C283" s="267" t="s">
        <v>67</v>
      </c>
      <c r="D283" s="268" t="str">
        <f t="shared" si="38"/>
        <v>Solar térmica 1,7 %</v>
      </c>
      <c r="E283" s="265">
        <f>H326</f>
        <v>4424.3286090000001</v>
      </c>
      <c r="F283" s="266">
        <f t="shared" si="36"/>
        <v>1.7</v>
      </c>
      <c r="G283" s="473">
        <f t="shared" si="37"/>
        <v>1.7924816619805564</v>
      </c>
    </row>
    <row r="284" spans="3:7">
      <c r="C284" s="267" t="s">
        <v>76</v>
      </c>
      <c r="D284" s="268"/>
      <c r="E284" s="265">
        <f>H327</f>
        <v>3546.1180210000002</v>
      </c>
      <c r="F284" s="266">
        <f t="shared" si="36"/>
        <v>1.4</v>
      </c>
      <c r="G284" s="473">
        <f t="shared" si="37"/>
        <v>1.4366816042848056</v>
      </c>
    </row>
    <row r="285" spans="3:7" ht="22.5">
      <c r="C285" s="274" t="s">
        <v>179</v>
      </c>
      <c r="D285" s="268" t="str">
        <f t="shared" si="38"/>
        <v>Saldo importador intercambios internacionales 4,3 %</v>
      </c>
      <c r="E285" s="265">
        <f>H334</f>
        <v>11102.311146</v>
      </c>
      <c r="F285" s="266">
        <f t="shared" si="36"/>
        <v>4.3</v>
      </c>
      <c r="G285" s="89"/>
    </row>
    <row r="286" spans="3:7">
      <c r="C286" s="275" t="s">
        <v>32</v>
      </c>
      <c r="D286" s="270"/>
      <c r="E286" s="271">
        <f>SUM(E273:E285)</f>
        <v>257929.30541</v>
      </c>
      <c r="F286" s="272">
        <f>SUM(F273:F285)</f>
        <v>99.999999999999986</v>
      </c>
    </row>
    <row r="288" spans="3:7">
      <c r="C288" s="259" t="s">
        <v>365</v>
      </c>
      <c r="D288" s="259"/>
      <c r="E288" s="259"/>
      <c r="F288" s="259"/>
    </row>
    <row r="289" spans="3:7">
      <c r="C289" s="260"/>
      <c r="D289" s="261"/>
      <c r="E289" s="262" t="s">
        <v>366</v>
      </c>
      <c r="F289" s="262" t="s">
        <v>14</v>
      </c>
    </row>
    <row r="290" spans="3:7">
      <c r="C290" s="263" t="s">
        <v>178</v>
      </c>
      <c r="D290" s="264"/>
      <c r="E290" s="265">
        <v>861.00099999999998</v>
      </c>
      <c r="F290" s="266">
        <f>ROUND(E290/SUM($E$290:$E$302)*100,1)</f>
        <v>2.1</v>
      </c>
      <c r="G290" s="473">
        <f>E290/SUM($E$290:$E$301)*100</f>
        <v>2.145119748617172</v>
      </c>
    </row>
    <row r="291" spans="3:7">
      <c r="C291" s="267" t="s">
        <v>27</v>
      </c>
      <c r="D291" s="268" t="str">
        <f>C291&amp;" "&amp;TEXT(F291,"0,0")&amp;" %"</f>
        <v>Nuclear 17,4 %</v>
      </c>
      <c r="E291" s="265">
        <v>7132.9009999999998</v>
      </c>
      <c r="F291" s="266">
        <f t="shared" ref="F291:F302" si="39">ROUND(E291/SUM($E$290:$E$302)*100,1)</f>
        <v>17.399999999999999</v>
      </c>
      <c r="G291" s="473">
        <f t="shared" ref="G291:G301" si="40">E291/SUM($E$290:$E$301)*100</f>
        <v>17.77109062594721</v>
      </c>
    </row>
    <row r="292" spans="3:7">
      <c r="C292" s="267" t="s">
        <v>28</v>
      </c>
      <c r="D292" s="268" t="str">
        <f t="shared" ref="D292:D294" si="41">C292&amp;" "&amp;TEXT(F292,"0,0")&amp;" %"</f>
        <v>Carbón 18,5 %</v>
      </c>
      <c r="E292" s="265">
        <v>7548.8360000000002</v>
      </c>
      <c r="F292" s="266">
        <f t="shared" si="39"/>
        <v>18.5</v>
      </c>
      <c r="G292" s="473">
        <f t="shared" si="40"/>
        <v>18.807361643798622</v>
      </c>
    </row>
    <row r="293" spans="3:7">
      <c r="C293" s="267" t="s">
        <v>44</v>
      </c>
      <c r="D293" s="268" t="str">
        <f t="shared" si="41"/>
        <v>Ciclo combinado 22,6 %</v>
      </c>
      <c r="E293" s="265">
        <v>9255.3780000000006</v>
      </c>
      <c r="F293" s="266">
        <f t="shared" si="39"/>
        <v>22.6</v>
      </c>
      <c r="G293" s="473">
        <f t="shared" si="40"/>
        <v>23.059083704568177</v>
      </c>
    </row>
    <row r="294" spans="3:7">
      <c r="C294" s="267" t="s">
        <v>74</v>
      </c>
      <c r="D294" s="268" t="str">
        <f t="shared" si="41"/>
        <v>Cogeneración 8,7 %</v>
      </c>
      <c r="E294" s="265">
        <v>3528.3330000000001</v>
      </c>
      <c r="F294" s="266">
        <f>100-SUM(F290:F293,F295:F302)</f>
        <v>8.7000000000000171</v>
      </c>
      <c r="G294" s="473">
        <f t="shared" si="40"/>
        <v>8.7905784058295779</v>
      </c>
    </row>
    <row r="295" spans="3:7">
      <c r="C295" s="267" t="s">
        <v>96</v>
      </c>
      <c r="D295" s="268"/>
      <c r="E295" s="265">
        <v>310.85500000000002</v>
      </c>
      <c r="F295" s="266">
        <f t="shared" si="39"/>
        <v>0.8</v>
      </c>
      <c r="G295" s="473">
        <f t="shared" si="40"/>
        <v>0.77447203830935274</v>
      </c>
    </row>
    <row r="296" spans="3:7">
      <c r="C296" s="267" t="s">
        <v>97</v>
      </c>
      <c r="D296" s="268" t="str">
        <f t="shared" ref="D296:D300" si="42">C296&amp;" "&amp;TEXT(F296,"0,0")&amp;" %"</f>
        <v>Residuos renovables 0,2 %</v>
      </c>
      <c r="E296" s="265">
        <v>94.516999999999996</v>
      </c>
      <c r="F296" s="266">
        <f t="shared" si="39"/>
        <v>0.2</v>
      </c>
      <c r="G296" s="473">
        <f t="shared" si="40"/>
        <v>0.23548205319163301</v>
      </c>
    </row>
    <row r="297" spans="3:7">
      <c r="C297" s="267" t="s">
        <v>50</v>
      </c>
      <c r="D297" s="268" t="str">
        <f t="shared" si="42"/>
        <v>Eólica 11,7 %</v>
      </c>
      <c r="E297" s="265">
        <v>4762.4459999999999</v>
      </c>
      <c r="F297" s="266">
        <f t="shared" si="39"/>
        <v>11.7</v>
      </c>
      <c r="G297" s="473">
        <f t="shared" si="40"/>
        <v>11.865278863001153</v>
      </c>
    </row>
    <row r="298" spans="3:7">
      <c r="C298" s="267" t="s">
        <v>26</v>
      </c>
      <c r="D298" s="268" t="str">
        <f t="shared" si="42"/>
        <v>Hidráulica 14,6 %</v>
      </c>
      <c r="E298" s="265">
        <v>5969.4160000000002</v>
      </c>
      <c r="F298" s="266">
        <f t="shared" si="39"/>
        <v>14.6</v>
      </c>
      <c r="G298" s="473">
        <f t="shared" si="40"/>
        <v>14.872354560925395</v>
      </c>
    </row>
    <row r="299" spans="3:7">
      <c r="C299" s="267" t="s">
        <v>51</v>
      </c>
      <c r="D299" s="268" t="str">
        <f t="shared" si="42"/>
        <v>Solar fotovoltaica 0,0 %</v>
      </c>
      <c r="E299" s="265">
        <v>0.54</v>
      </c>
      <c r="F299" s="266">
        <f t="shared" si="39"/>
        <v>0</v>
      </c>
      <c r="G299" s="473">
        <f t="shared" si="40"/>
        <v>1.3453697083432806E-3</v>
      </c>
    </row>
    <row r="300" spans="3:7">
      <c r="C300" s="267" t="s">
        <v>67</v>
      </c>
      <c r="D300" s="268" t="str">
        <f t="shared" si="42"/>
        <v>Solar térmica 0,5 %</v>
      </c>
      <c r="E300" s="265">
        <v>204.375</v>
      </c>
      <c r="F300" s="266">
        <f t="shared" si="39"/>
        <v>0.5</v>
      </c>
      <c r="G300" s="473">
        <f t="shared" si="40"/>
        <v>0.50918506322714441</v>
      </c>
    </row>
    <row r="301" spans="3:7">
      <c r="C301" s="267" t="s">
        <v>76</v>
      </c>
      <c r="D301" s="268"/>
      <c r="E301" s="265">
        <v>469.06799999999998</v>
      </c>
      <c r="F301" s="266">
        <f t="shared" si="39"/>
        <v>1.1000000000000001</v>
      </c>
      <c r="G301" s="473">
        <f t="shared" si="40"/>
        <v>1.168647922876233</v>
      </c>
    </row>
    <row r="302" spans="3:7" ht="22.5">
      <c r="C302" s="274" t="s">
        <v>179</v>
      </c>
      <c r="D302" s="268" t="str">
        <f>C302&amp;" "&amp;TEXT(F302,"0,0")&amp;" %"</f>
        <v>Saldo importador intercambios internacionales 1,8 %</v>
      </c>
      <c r="E302" s="265">
        <v>740.077</v>
      </c>
      <c r="F302" s="266">
        <f t="shared" si="39"/>
        <v>1.8</v>
      </c>
      <c r="G302" s="89"/>
    </row>
    <row r="303" spans="3:7">
      <c r="C303" s="267" t="s">
        <v>182</v>
      </c>
      <c r="D303" s="268"/>
      <c r="E303" s="265">
        <v>-1.73</v>
      </c>
      <c r="F303" s="266"/>
      <c r="G303" s="473"/>
    </row>
    <row r="304" spans="3:7">
      <c r="C304" s="267" t="s">
        <v>64</v>
      </c>
      <c r="D304" s="268"/>
      <c r="E304" s="265">
        <v>-264.85899999999998</v>
      </c>
      <c r="F304" s="266"/>
      <c r="G304" s="473"/>
    </row>
    <row r="305" spans="2:17">
      <c r="C305" s="275" t="s">
        <v>32</v>
      </c>
      <c r="D305" s="270"/>
      <c r="E305" s="271">
        <f>SUM(E290:E304)</f>
        <v>40611.153999999995</v>
      </c>
      <c r="F305" s="272">
        <f>SUM(F290:F304)</f>
        <v>100</v>
      </c>
    </row>
    <row r="307" spans="2:17" s="280" customFormat="1" ht="11.25" customHeight="1">
      <c r="B307" s="2"/>
      <c r="C307" s="279" t="s">
        <v>370</v>
      </c>
      <c r="D307" s="451"/>
      <c r="E307" s="451"/>
      <c r="F307" s="451"/>
      <c r="G307" s="451"/>
      <c r="H307" s="451"/>
      <c r="I307" s="451"/>
      <c r="J307" s="451"/>
      <c r="K307" s="451"/>
      <c r="L307" s="451"/>
      <c r="M307" s="451"/>
      <c r="O307" s="452"/>
    </row>
    <row r="308" spans="2:17" s="280" customFormat="1" ht="11.25" customHeight="1">
      <c r="B308" s="2"/>
      <c r="C308" s="260"/>
      <c r="D308" s="282">
        <v>2014</v>
      </c>
      <c r="E308" s="282">
        <v>2015</v>
      </c>
      <c r="F308" s="282">
        <v>2016</v>
      </c>
      <c r="G308" s="282">
        <v>2017</v>
      </c>
      <c r="H308" s="282">
        <v>2018</v>
      </c>
      <c r="N308" s="452"/>
      <c r="O308" s="452"/>
    </row>
    <row r="309" spans="2:17" s="280" customFormat="1" ht="11.25" customHeight="1">
      <c r="B309" s="2"/>
      <c r="C309" s="267" t="s">
        <v>367</v>
      </c>
      <c r="D309" s="453">
        <v>39005364.832449995</v>
      </c>
      <c r="E309" s="453">
        <v>48217054.785449997</v>
      </c>
      <c r="F309" s="453">
        <v>33260364.291000001</v>
      </c>
      <c r="G309" s="453">
        <v>40300794.128200002</v>
      </c>
      <c r="H309" s="453">
        <v>33137681.540849995</v>
      </c>
      <c r="N309" s="454"/>
      <c r="O309" s="455"/>
      <c r="P309" s="454"/>
      <c r="Q309" s="454"/>
    </row>
    <row r="310" spans="2:17" s="280" customFormat="1" ht="11.25" customHeight="1">
      <c r="B310" s="2"/>
      <c r="C310" s="267" t="s">
        <v>44</v>
      </c>
      <c r="D310" s="453">
        <v>7814588.1912500001</v>
      </c>
      <c r="E310" s="453">
        <v>9262781.8571999986</v>
      </c>
      <c r="F310" s="453">
        <v>9421334.5154599994</v>
      </c>
      <c r="G310" s="453">
        <v>12449752.88823</v>
      </c>
      <c r="H310" s="453">
        <v>9769141.3238300011</v>
      </c>
      <c r="N310" s="454"/>
      <c r="O310" s="455"/>
      <c r="P310" s="454"/>
    </row>
    <row r="311" spans="2:17" s="280" customFormat="1" ht="11.25" customHeight="1">
      <c r="B311" s="2"/>
      <c r="C311" s="267" t="s">
        <v>74</v>
      </c>
      <c r="D311" s="453">
        <v>8927367.88026</v>
      </c>
      <c r="E311" s="453">
        <v>9312651.3744300008</v>
      </c>
      <c r="F311" s="453">
        <v>9573358.6295400001</v>
      </c>
      <c r="G311" s="453">
        <v>10424958.113530001</v>
      </c>
      <c r="H311" s="453">
        <v>10720665.794290001</v>
      </c>
      <c r="N311" s="454"/>
      <c r="O311" s="455"/>
      <c r="P311" s="454"/>
    </row>
    <row r="312" spans="2:17" s="280" customFormat="1" ht="11.25" customHeight="1">
      <c r="B312" s="2"/>
      <c r="C312" s="267" t="s">
        <v>96</v>
      </c>
      <c r="D312" s="453">
        <v>440002.45367999998</v>
      </c>
      <c r="E312" s="453">
        <v>557931.53784</v>
      </c>
      <c r="F312" s="453">
        <v>593114.07492000004</v>
      </c>
      <c r="G312" s="453">
        <v>590190.92663999996</v>
      </c>
      <c r="H312" s="453">
        <v>550964.99676000001</v>
      </c>
      <c r="N312" s="454"/>
      <c r="O312" s="455"/>
      <c r="P312" s="454"/>
    </row>
    <row r="313" spans="2:17" s="280" customFormat="1" ht="11.25" customHeight="1">
      <c r="B313" s="2"/>
      <c r="C313" s="59" t="s">
        <v>368</v>
      </c>
      <c r="D313" s="456">
        <f>SUM(D309:D312)</f>
        <v>56187323.357639998</v>
      </c>
      <c r="E313" s="456">
        <f>SUM(E309:E312)</f>
        <v>67350419.554919988</v>
      </c>
      <c r="F313" s="456">
        <f>SUM(F309:F312)</f>
        <v>52848171.510920003</v>
      </c>
      <c r="G313" s="456">
        <f>SUM(G309:G312)</f>
        <v>63765696.056600004</v>
      </c>
      <c r="H313" s="456">
        <f>SUM(H309:H312)</f>
        <v>54178453.655729994</v>
      </c>
      <c r="N313" s="454"/>
      <c r="O313" s="457"/>
      <c r="P313" s="454"/>
    </row>
    <row r="314" spans="2:17" s="280" customFormat="1" ht="11.25" customHeight="1">
      <c r="B314" s="2"/>
      <c r="C314" s="59" t="s">
        <v>369</v>
      </c>
      <c r="D314" s="458">
        <v>0.22185225448000173</v>
      </c>
      <c r="E314" s="458">
        <v>0.26521004977195445</v>
      </c>
      <c r="F314" s="458">
        <v>0.21301156084766151</v>
      </c>
      <c r="G314" s="458">
        <v>0.25699093603095768</v>
      </c>
      <c r="H314" s="458">
        <v>0.21949970997905344</v>
      </c>
    </row>
    <row r="315" spans="2:17" s="280" customFormat="1" ht="11.25" customHeight="1">
      <c r="B315" s="2"/>
      <c r="C315" s="459"/>
      <c r="D315" s="460"/>
      <c r="E315" s="460"/>
      <c r="F315" s="460"/>
      <c r="G315" s="460"/>
      <c r="H315" s="460"/>
      <c r="I315" s="460"/>
      <c r="J315" s="460"/>
      <c r="K315" s="460"/>
      <c r="L315" s="460"/>
      <c r="M315" s="460"/>
    </row>
    <row r="316" spans="2:17">
      <c r="C316" s="288" t="s">
        <v>190</v>
      </c>
      <c r="D316" s="279"/>
      <c r="E316" s="280"/>
      <c r="F316" s="280"/>
      <c r="G316" s="280"/>
      <c r="H316" s="280"/>
      <c r="I316" s="280"/>
      <c r="J316" s="280"/>
      <c r="K316" s="280"/>
      <c r="L316" s="280"/>
      <c r="M316" s="280"/>
    </row>
    <row r="317" spans="2:17">
      <c r="C317" s="289"/>
      <c r="D317" s="286">
        <v>2014</v>
      </c>
      <c r="E317" s="286">
        <v>2015</v>
      </c>
      <c r="F317" s="286">
        <v>2016</v>
      </c>
      <c r="G317" s="286">
        <v>2017</v>
      </c>
      <c r="H317" s="286">
        <v>2018</v>
      </c>
      <c r="I317" s="513" t="s">
        <v>320</v>
      </c>
    </row>
    <row r="318" spans="2:17">
      <c r="C318" s="284" t="s">
        <v>26</v>
      </c>
      <c r="D318" s="287">
        <v>39178.524159203997</v>
      </c>
      <c r="E318" s="287">
        <v>28379.011570850002</v>
      </c>
      <c r="F318" s="287">
        <v>36111.434365772002</v>
      </c>
      <c r="G318" s="287">
        <v>18447.346771659999</v>
      </c>
      <c r="H318" s="287">
        <v>34096.796785872</v>
      </c>
      <c r="I318" s="514">
        <f>((H318/G318)-1)*100</f>
        <v>84.833066824838426</v>
      </c>
    </row>
    <row r="319" spans="2:17">
      <c r="C319" s="284" t="s">
        <v>194</v>
      </c>
      <c r="D319" s="287">
        <v>3415.996026796</v>
      </c>
      <c r="E319" s="287">
        <v>2895.3657881499998</v>
      </c>
      <c r="F319" s="287">
        <v>3134.328910228</v>
      </c>
      <c r="G319" s="287">
        <v>2248.9644183400001</v>
      </c>
      <c r="H319" s="287">
        <v>2009.3771881279999</v>
      </c>
      <c r="I319" s="514">
        <f t="shared" ref="I319:I335" si="43">((H319/G319)-1)*100</f>
        <v>-10.653224580086674</v>
      </c>
    </row>
    <row r="320" spans="2:17">
      <c r="C320" s="284" t="s">
        <v>27</v>
      </c>
      <c r="D320" s="287">
        <v>54781.281335</v>
      </c>
      <c r="E320" s="287">
        <v>54661.803305000001</v>
      </c>
      <c r="F320" s="287">
        <v>56021.682058999999</v>
      </c>
      <c r="G320" s="287">
        <v>55539.351045999996</v>
      </c>
      <c r="H320" s="287">
        <v>53197.615882999999</v>
      </c>
      <c r="I320" s="514">
        <f t="shared" si="43"/>
        <v>-4.2163531242208396</v>
      </c>
    </row>
    <row r="321" spans="3:13">
      <c r="C321" s="284" t="s">
        <v>28</v>
      </c>
      <c r="D321" s="287">
        <v>41058.278770999998</v>
      </c>
      <c r="E321" s="287">
        <v>50754.794511</v>
      </c>
      <c r="F321" s="287">
        <v>35010.909780000002</v>
      </c>
      <c r="G321" s="287">
        <v>42421.888556000005</v>
      </c>
      <c r="H321" s="287">
        <v>34881.770042999997</v>
      </c>
      <c r="I321" s="514">
        <f t="shared" si="43"/>
        <v>-17.774122675011274</v>
      </c>
    </row>
    <row r="322" spans="3:13">
      <c r="C322" s="284" t="s">
        <v>115</v>
      </c>
      <c r="D322" s="287">
        <v>-0.81973099999999999</v>
      </c>
      <c r="E322" s="287">
        <v>1.6617999999999997E-2</v>
      </c>
      <c r="F322" s="287">
        <v>2.3499999999999999E-4</v>
      </c>
      <c r="G322" s="287">
        <v>-9.9999999999999995E-7</v>
      </c>
      <c r="H322" s="287">
        <v>-9.9999999999999995E-7</v>
      </c>
      <c r="I322" s="514">
        <f t="shared" si="43"/>
        <v>0</v>
      </c>
    </row>
    <row r="323" spans="3:13">
      <c r="C323" s="284" t="s">
        <v>44</v>
      </c>
      <c r="D323" s="287">
        <v>21120.508624999999</v>
      </c>
      <c r="E323" s="287">
        <v>25034.545559999999</v>
      </c>
      <c r="F323" s="287">
        <v>25463.066258000003</v>
      </c>
      <c r="G323" s="287">
        <v>33647.980778999998</v>
      </c>
      <c r="H323" s="287">
        <v>26403.084659</v>
      </c>
      <c r="I323" s="514">
        <f t="shared" si="43"/>
        <v>-21.531443944837246</v>
      </c>
    </row>
    <row r="324" spans="3:13">
      <c r="C324" s="284" t="s">
        <v>50</v>
      </c>
      <c r="D324" s="287">
        <v>50636.662464000001</v>
      </c>
      <c r="E324" s="287">
        <v>47715.882145000003</v>
      </c>
      <c r="F324" s="287">
        <v>47298.163668000001</v>
      </c>
      <c r="G324" s="287">
        <v>47508.105951999998</v>
      </c>
      <c r="H324" s="287">
        <v>48901.728058000001</v>
      </c>
      <c r="I324" s="514">
        <f t="shared" si="43"/>
        <v>2.933440679382282</v>
      </c>
    </row>
    <row r="325" spans="3:13">
      <c r="C325" s="284" t="s">
        <v>51</v>
      </c>
      <c r="D325" s="287">
        <v>7802.7909200000104</v>
      </c>
      <c r="E325" s="287">
        <v>7845.3145369999993</v>
      </c>
      <c r="F325" s="287">
        <v>7579.2182120000007</v>
      </c>
      <c r="G325" s="287">
        <v>8000.7121639999996</v>
      </c>
      <c r="H325" s="287">
        <v>7362.7444520000099</v>
      </c>
      <c r="I325" s="514">
        <f t="shared" si="43"/>
        <v>-7.9738865606313052</v>
      </c>
    </row>
    <row r="326" spans="3:13">
      <c r="C326" s="284" t="s">
        <v>67</v>
      </c>
      <c r="D326" s="287">
        <v>4958.9149260000004</v>
      </c>
      <c r="E326" s="287">
        <v>5085.2355140000009</v>
      </c>
      <c r="F326" s="287">
        <v>5071.2017019999994</v>
      </c>
      <c r="G326" s="287">
        <v>5347.9524650000003</v>
      </c>
      <c r="H326" s="287">
        <v>4424.3286090000001</v>
      </c>
      <c r="I326" s="514">
        <f t="shared" si="43"/>
        <v>-17.270607060266762</v>
      </c>
    </row>
    <row r="327" spans="3:13">
      <c r="C327" s="284" t="s">
        <v>76</v>
      </c>
      <c r="D327" s="287">
        <v>3805.563474</v>
      </c>
      <c r="E327" s="287">
        <v>3422.5667469999999</v>
      </c>
      <c r="F327" s="287">
        <v>3415.0193380000001</v>
      </c>
      <c r="G327" s="287">
        <v>3599.155882</v>
      </c>
      <c r="H327" s="287">
        <v>3546.1180210000002</v>
      </c>
      <c r="I327" s="514">
        <f t="shared" si="43"/>
        <v>-1.4736194468611741</v>
      </c>
    </row>
    <row r="328" spans="3:13">
      <c r="C328" s="284" t="s">
        <v>74</v>
      </c>
      <c r="D328" s="287">
        <v>24128.021298</v>
      </c>
      <c r="E328" s="287">
        <v>25169.328039</v>
      </c>
      <c r="F328" s="287">
        <v>25873.942241999997</v>
      </c>
      <c r="G328" s="287">
        <v>28175.562469</v>
      </c>
      <c r="H328" s="287">
        <v>28974.772417</v>
      </c>
      <c r="I328" s="514">
        <f t="shared" si="43"/>
        <v>2.8365359125636758</v>
      </c>
    </row>
    <row r="329" spans="3:13">
      <c r="C329" s="284" t="s">
        <v>96</v>
      </c>
      <c r="D329" s="287">
        <v>1833.3435569999999</v>
      </c>
      <c r="E329" s="287">
        <v>2324.7147409999998</v>
      </c>
      <c r="F329" s="287">
        <v>2471.3086455000002</v>
      </c>
      <c r="G329" s="287">
        <v>2459.1288610000001</v>
      </c>
      <c r="H329" s="287">
        <v>2295.6874865</v>
      </c>
      <c r="I329" s="514">
        <f t="shared" si="43"/>
        <v>-6.6463119152502248</v>
      </c>
    </row>
    <row r="330" spans="3:13">
      <c r="C330" s="284" t="s">
        <v>97</v>
      </c>
      <c r="D330" s="287">
        <v>545.53808600000002</v>
      </c>
      <c r="E330" s="287">
        <v>662.65547500000002</v>
      </c>
      <c r="F330" s="287">
        <v>649.73991049999995</v>
      </c>
      <c r="G330" s="287">
        <v>728.150432999999</v>
      </c>
      <c r="H330" s="287">
        <v>732.97066150000001</v>
      </c>
      <c r="I330" s="514">
        <f t="shared" si="43"/>
        <v>0.66198250822175897</v>
      </c>
    </row>
    <row r="331" spans="3:13">
      <c r="C331" s="290" t="s">
        <v>73</v>
      </c>
      <c r="D331" s="293">
        <f>SUM(D318:D330)</f>
        <v>253264.60391099993</v>
      </c>
      <c r="E331" s="293">
        <f t="shared" ref="E331:F331" si="44">SUM(E318:E330)</f>
        <v>253951.234551</v>
      </c>
      <c r="F331" s="293">
        <f t="shared" si="44"/>
        <v>248100.01532599999</v>
      </c>
      <c r="G331" s="293">
        <f>SUM(G318:G330)</f>
        <v>248124.29979600001</v>
      </c>
      <c r="H331" s="293">
        <f>SUM(H318:H330)</f>
        <v>246826.99426300003</v>
      </c>
      <c r="I331" s="396">
        <f t="shared" si="43"/>
        <v>-0.52284501520672988</v>
      </c>
    </row>
    <row r="332" spans="3:13">
      <c r="C332" s="291" t="s">
        <v>191</v>
      </c>
      <c r="D332" s="287">
        <v>-5385.7688595580003</v>
      </c>
      <c r="E332" s="287">
        <v>-4512.2514306060002</v>
      </c>
      <c r="F332" s="287">
        <v>-4827.5850676680002</v>
      </c>
      <c r="G332" s="287">
        <v>-3607.5809876580001</v>
      </c>
      <c r="H332" s="287">
        <v>-3200.7100749189999</v>
      </c>
      <c r="I332" s="514">
        <f t="shared" si="43"/>
        <v>-11.278219785805454</v>
      </c>
    </row>
    <row r="333" spans="3:13">
      <c r="C333" s="291" t="s">
        <v>64</v>
      </c>
      <c r="D333" s="287">
        <v>-1298.258934</v>
      </c>
      <c r="E333" s="287">
        <v>-1335.7925439999999</v>
      </c>
      <c r="F333" s="287">
        <v>-1250.5839680000001</v>
      </c>
      <c r="G333" s="287">
        <v>-1179.306642</v>
      </c>
      <c r="H333" s="287">
        <v>-1233.358142</v>
      </c>
      <c r="I333" s="514">
        <f t="shared" si="43"/>
        <v>4.5833287183334681</v>
      </c>
    </row>
    <row r="334" spans="3:13">
      <c r="C334" s="291" t="s">
        <v>79</v>
      </c>
      <c r="D334" s="287">
        <v>-3406.1240240000002</v>
      </c>
      <c r="E334" s="287">
        <v>-133.163162999999</v>
      </c>
      <c r="F334" s="287">
        <v>7658.0436910000099</v>
      </c>
      <c r="G334" s="287">
        <v>9168.9935229999901</v>
      </c>
      <c r="H334" s="287">
        <v>11102.311146</v>
      </c>
      <c r="I334" s="514">
        <f t="shared" si="43"/>
        <v>21.085385414989922</v>
      </c>
      <c r="J334" s="280"/>
      <c r="K334" s="280"/>
      <c r="L334" s="280"/>
      <c r="M334" s="280"/>
    </row>
    <row r="335" spans="3:13">
      <c r="C335" s="292" t="s">
        <v>40</v>
      </c>
      <c r="D335" s="294">
        <f t="shared" ref="D335:F335" si="45">SUM(D331:D334)</f>
        <v>243174.45209344191</v>
      </c>
      <c r="E335" s="294">
        <f t="shared" si="45"/>
        <v>247970.02741339401</v>
      </c>
      <c r="F335" s="294">
        <f t="shared" si="45"/>
        <v>249679.889981332</v>
      </c>
      <c r="G335" s="294">
        <f>SUM(G331:G334)</f>
        <v>252506.40568934198</v>
      </c>
      <c r="H335" s="294">
        <f>SUM(H331:H334)</f>
        <v>253495.237192081</v>
      </c>
      <c r="I335" s="400">
        <f t="shared" si="43"/>
        <v>0.39160650203684533</v>
      </c>
      <c r="J335" s="280"/>
      <c r="K335" s="280"/>
      <c r="L335" s="280"/>
      <c r="M335" s="280"/>
    </row>
    <row r="336" spans="3:13">
      <c r="G336" s="423">
        <f>X24-G335</f>
        <v>1.2000062270089984E-5</v>
      </c>
      <c r="H336" s="423">
        <f>H335-X45</f>
        <v>-9.000010322779417E-6</v>
      </c>
    </row>
    <row r="337" spans="3:8">
      <c r="C337" s="279" t="s">
        <v>186</v>
      </c>
      <c r="D337" s="279"/>
      <c r="E337" s="280"/>
      <c r="F337" s="280"/>
      <c r="G337" s="280"/>
      <c r="H337" s="280"/>
    </row>
    <row r="338" spans="3:8">
      <c r="C338" s="281"/>
      <c r="D338" s="282">
        <v>2014</v>
      </c>
      <c r="E338" s="282">
        <v>2015</v>
      </c>
      <c r="F338" s="282">
        <v>2016</v>
      </c>
      <c r="G338" s="282">
        <v>2017</v>
      </c>
      <c r="H338" s="282">
        <v>2018</v>
      </c>
    </row>
    <row r="339" spans="3:8">
      <c r="C339" s="284" t="s">
        <v>26</v>
      </c>
      <c r="D339" s="295">
        <f>ROUND((D318/$D$331)*100,1)</f>
        <v>15.5</v>
      </c>
      <c r="E339" s="295">
        <f>ROUND((E318/$E$331)*100,1)</f>
        <v>11.2</v>
      </c>
      <c r="F339" s="295">
        <f>ROUND((F318/$F$331)*100,1)</f>
        <v>14.6</v>
      </c>
      <c r="G339" s="295">
        <f>ROUND((G318/$G$331)*100,1)</f>
        <v>7.4</v>
      </c>
      <c r="H339" s="295">
        <f>ROUND((H318/$H$331)*100,1)</f>
        <v>13.8</v>
      </c>
    </row>
    <row r="340" spans="3:8">
      <c r="C340" s="284" t="s">
        <v>68</v>
      </c>
      <c r="D340" s="295">
        <f t="shared" ref="D340:D351" si="46">ROUND((D319/$D$331)*100,1)</f>
        <v>1.3</v>
      </c>
      <c r="E340" s="295">
        <f t="shared" ref="E340:E351" si="47">ROUND((E319/$E$331)*100,1)</f>
        <v>1.1000000000000001</v>
      </c>
      <c r="F340" s="295">
        <f t="shared" ref="F340:F351" si="48">ROUND((F319/$F$331)*100,1)</f>
        <v>1.3</v>
      </c>
      <c r="G340" s="295">
        <f t="shared" ref="G340:G351" si="49">ROUND((G319/$G$331)*100,1)</f>
        <v>0.9</v>
      </c>
      <c r="H340" s="295">
        <f t="shared" ref="H340:H351" si="50">ROUND((H319/$H$331)*100,1)</f>
        <v>0.8</v>
      </c>
    </row>
    <row r="341" spans="3:8">
      <c r="C341" s="284" t="s">
        <v>27</v>
      </c>
      <c r="D341" s="295">
        <f t="shared" si="46"/>
        <v>21.6</v>
      </c>
      <c r="E341" s="295">
        <f t="shared" si="47"/>
        <v>21.5</v>
      </c>
      <c r="F341" s="295">
        <f t="shared" si="48"/>
        <v>22.6</v>
      </c>
      <c r="G341" s="295">
        <f t="shared" si="49"/>
        <v>22.4</v>
      </c>
      <c r="H341" s="295">
        <f t="shared" si="50"/>
        <v>21.6</v>
      </c>
    </row>
    <row r="342" spans="3:8">
      <c r="C342" s="284" t="s">
        <v>28</v>
      </c>
      <c r="D342" s="295">
        <f t="shared" si="46"/>
        <v>16.2</v>
      </c>
      <c r="E342" s="295">
        <f t="shared" si="47"/>
        <v>20</v>
      </c>
      <c r="F342" s="295">
        <f t="shared" si="48"/>
        <v>14.1</v>
      </c>
      <c r="G342" s="295">
        <f t="shared" si="49"/>
        <v>17.100000000000001</v>
      </c>
      <c r="H342" s="295">
        <f t="shared" si="50"/>
        <v>14.1</v>
      </c>
    </row>
    <row r="343" spans="3:8">
      <c r="C343" s="284" t="s">
        <v>115</v>
      </c>
      <c r="D343" s="295">
        <f t="shared" si="46"/>
        <v>0</v>
      </c>
      <c r="E343" s="295">
        <f t="shared" si="47"/>
        <v>0</v>
      </c>
      <c r="F343" s="295">
        <f t="shared" si="48"/>
        <v>0</v>
      </c>
      <c r="G343" s="295">
        <f t="shared" si="49"/>
        <v>0</v>
      </c>
      <c r="H343" s="295">
        <f t="shared" si="50"/>
        <v>0</v>
      </c>
    </row>
    <row r="344" spans="3:8">
      <c r="C344" s="284" t="s">
        <v>44</v>
      </c>
      <c r="D344" s="295">
        <f t="shared" si="46"/>
        <v>8.3000000000000007</v>
      </c>
      <c r="E344" s="295">
        <f t="shared" si="47"/>
        <v>9.9</v>
      </c>
      <c r="F344" s="295">
        <f t="shared" si="48"/>
        <v>10.3</v>
      </c>
      <c r="G344" s="295">
        <f t="shared" si="49"/>
        <v>13.6</v>
      </c>
      <c r="H344" s="295">
        <f t="shared" si="50"/>
        <v>10.7</v>
      </c>
    </row>
    <row r="345" spans="3:8">
      <c r="C345" s="284" t="s">
        <v>50</v>
      </c>
      <c r="D345" s="295">
        <f t="shared" si="46"/>
        <v>20</v>
      </c>
      <c r="E345" s="295">
        <f t="shared" si="47"/>
        <v>18.8</v>
      </c>
      <c r="F345" s="295">
        <f t="shared" si="48"/>
        <v>19.100000000000001</v>
      </c>
      <c r="G345" s="295">
        <f t="shared" si="49"/>
        <v>19.100000000000001</v>
      </c>
      <c r="H345" s="295">
        <f t="shared" si="50"/>
        <v>19.8</v>
      </c>
    </row>
    <row r="346" spans="3:8">
      <c r="C346" s="284" t="s">
        <v>51</v>
      </c>
      <c r="D346" s="295">
        <f t="shared" si="46"/>
        <v>3.1</v>
      </c>
      <c r="E346" s="295">
        <f t="shared" si="47"/>
        <v>3.1</v>
      </c>
      <c r="F346" s="295">
        <f t="shared" si="48"/>
        <v>3.1</v>
      </c>
      <c r="G346" s="295">
        <f t="shared" si="49"/>
        <v>3.2</v>
      </c>
      <c r="H346" s="295">
        <f t="shared" si="50"/>
        <v>3</v>
      </c>
    </row>
    <row r="347" spans="3:8">
      <c r="C347" s="284" t="s">
        <v>67</v>
      </c>
      <c r="D347" s="295">
        <f t="shared" si="46"/>
        <v>2</v>
      </c>
      <c r="E347" s="295">
        <f t="shared" si="47"/>
        <v>2</v>
      </c>
      <c r="F347" s="295">
        <f t="shared" si="48"/>
        <v>2</v>
      </c>
      <c r="G347" s="295">
        <f t="shared" si="49"/>
        <v>2.2000000000000002</v>
      </c>
      <c r="H347" s="295">
        <f t="shared" si="50"/>
        <v>1.8</v>
      </c>
    </row>
    <row r="348" spans="3:8">
      <c r="C348" s="284" t="s">
        <v>76</v>
      </c>
      <c r="D348" s="295">
        <f t="shared" si="46"/>
        <v>1.5</v>
      </c>
      <c r="E348" s="295">
        <f t="shared" si="47"/>
        <v>1.3</v>
      </c>
      <c r="F348" s="295">
        <f t="shared" si="48"/>
        <v>1.4</v>
      </c>
      <c r="G348" s="295">
        <f t="shared" si="49"/>
        <v>1.5</v>
      </c>
      <c r="H348" s="295">
        <f t="shared" si="50"/>
        <v>1.4</v>
      </c>
    </row>
    <row r="349" spans="3:8" ht="11.25" customHeight="1">
      <c r="C349" s="284" t="s">
        <v>74</v>
      </c>
      <c r="D349" s="295">
        <f>100-SUM(D339:D348,D350:D351)</f>
        <v>9.5999999999999943</v>
      </c>
      <c r="E349" s="295">
        <f t="shared" ref="E349:H349" si="51">100-SUM(E339:E348,E350:E351)</f>
        <v>9.9000000000000057</v>
      </c>
      <c r="F349" s="295">
        <f t="shared" si="51"/>
        <v>10.200000000000003</v>
      </c>
      <c r="G349" s="295">
        <f t="shared" si="51"/>
        <v>11.299999999999997</v>
      </c>
      <c r="H349" s="295">
        <f t="shared" si="51"/>
        <v>11.799999999999997</v>
      </c>
    </row>
    <row r="350" spans="3:8">
      <c r="C350" s="284" t="s">
        <v>96</v>
      </c>
      <c r="D350" s="295">
        <f t="shared" si="46"/>
        <v>0.7</v>
      </c>
      <c r="E350" s="295">
        <f t="shared" si="47"/>
        <v>0.9</v>
      </c>
      <c r="F350" s="295">
        <f t="shared" si="48"/>
        <v>1</v>
      </c>
      <c r="G350" s="295">
        <f t="shared" si="49"/>
        <v>1</v>
      </c>
      <c r="H350" s="295">
        <f t="shared" si="50"/>
        <v>0.9</v>
      </c>
    </row>
    <row r="351" spans="3:8">
      <c r="C351" s="284" t="s">
        <v>97</v>
      </c>
      <c r="D351" s="295">
        <f t="shared" si="46"/>
        <v>0.2</v>
      </c>
      <c r="E351" s="295">
        <f t="shared" si="47"/>
        <v>0.3</v>
      </c>
      <c r="F351" s="295">
        <f t="shared" si="48"/>
        <v>0.3</v>
      </c>
      <c r="G351" s="295">
        <f t="shared" si="49"/>
        <v>0.3</v>
      </c>
      <c r="H351" s="295">
        <f t="shared" si="50"/>
        <v>0.3</v>
      </c>
    </row>
    <row r="352" spans="3:8">
      <c r="C352" s="285" t="s">
        <v>187</v>
      </c>
      <c r="D352" s="296">
        <f t="shared" ref="D352:H352" si="52">SUM(D339,D345:D348,D351)</f>
        <v>42.300000000000004</v>
      </c>
      <c r="E352" s="296">
        <f t="shared" si="52"/>
        <v>36.699999999999996</v>
      </c>
      <c r="F352" s="296">
        <f t="shared" si="52"/>
        <v>40.5</v>
      </c>
      <c r="G352" s="296">
        <f t="shared" si="52"/>
        <v>33.699999999999996</v>
      </c>
      <c r="H352" s="296">
        <f t="shared" si="52"/>
        <v>40.099999999999994</v>
      </c>
    </row>
    <row r="353" spans="3:8">
      <c r="C353" s="285" t="s">
        <v>188</v>
      </c>
      <c r="D353" s="296">
        <f t="shared" ref="D353:H353" si="53">SUM(D340:D344,D349:D350)</f>
        <v>57.7</v>
      </c>
      <c r="E353" s="296">
        <f t="shared" si="53"/>
        <v>63.300000000000004</v>
      </c>
      <c r="F353" s="296">
        <f t="shared" si="53"/>
        <v>59.5</v>
      </c>
      <c r="G353" s="296">
        <f t="shared" si="53"/>
        <v>66.3</v>
      </c>
      <c r="H353" s="296">
        <f t="shared" si="53"/>
        <v>59.9</v>
      </c>
    </row>
    <row r="354" spans="3:8">
      <c r="C354" s="285" t="s">
        <v>189</v>
      </c>
      <c r="D354" s="296">
        <f t="shared" ref="D354:H354" si="54">SUM(D352:D353)</f>
        <v>100</v>
      </c>
      <c r="E354" s="296">
        <f t="shared" si="54"/>
        <v>100</v>
      </c>
      <c r="F354" s="296">
        <f t="shared" si="54"/>
        <v>100</v>
      </c>
      <c r="G354" s="296">
        <f t="shared" si="54"/>
        <v>100</v>
      </c>
      <c r="H354" s="296">
        <f t="shared" si="54"/>
        <v>100</v>
      </c>
    </row>
    <row r="355" spans="3:8">
      <c r="C355" s="283" t="s">
        <v>184</v>
      </c>
      <c r="D355" s="279"/>
      <c r="E355" s="280"/>
      <c r="F355" s="280"/>
      <c r="G355" s="280"/>
      <c r="H355" s="280"/>
    </row>
    <row r="356" spans="3:8">
      <c r="C356" s="283" t="s">
        <v>185</v>
      </c>
      <c r="D356" s="279"/>
      <c r="E356" s="280"/>
      <c r="F356" s="280"/>
      <c r="G356" s="280"/>
      <c r="H356" s="280"/>
    </row>
    <row r="358" spans="3:8">
      <c r="C358" s="217" t="s">
        <v>315</v>
      </c>
    </row>
    <row r="359" spans="3:8">
      <c r="C359" s="289"/>
      <c r="D359" s="385" t="s">
        <v>291</v>
      </c>
      <c r="E359" s="385" t="s">
        <v>292</v>
      </c>
      <c r="F359" s="385" t="s">
        <v>293</v>
      </c>
    </row>
    <row r="360" spans="3:8">
      <c r="C360" s="369" t="s">
        <v>287</v>
      </c>
      <c r="D360" s="370">
        <f>SUM(D361)</f>
        <v>7.8899999999999994E-3</v>
      </c>
      <c r="E360" s="370">
        <f>SUM(E361)</f>
        <v>210.44004000000001</v>
      </c>
      <c r="F360" s="370">
        <f t="shared" ref="F360:F385" si="55">D360-E360</f>
        <v>-210.43215000000001</v>
      </c>
      <c r="G360" s="423"/>
    </row>
    <row r="361" spans="3:8">
      <c r="C361" s="372" t="s">
        <v>294</v>
      </c>
      <c r="D361" s="373">
        <v>7.8899999999999994E-3</v>
      </c>
      <c r="E361" s="373">
        <v>210.44004000000001</v>
      </c>
      <c r="F361" s="373">
        <f t="shared" si="55"/>
        <v>-210.43215000000001</v>
      </c>
    </row>
    <row r="362" spans="3:8">
      <c r="C362" s="369" t="s">
        <v>285</v>
      </c>
      <c r="D362" s="370">
        <f>SUM(D363:D369)</f>
        <v>15513.896063</v>
      </c>
      <c r="E362" s="370">
        <f>SUM(E363:E369)</f>
        <v>3467.2583049999994</v>
      </c>
      <c r="F362" s="370">
        <f t="shared" si="55"/>
        <v>12046.637758000001</v>
      </c>
      <c r="G362" s="423"/>
    </row>
    <row r="363" spans="3:8">
      <c r="C363" s="375" t="s">
        <v>295</v>
      </c>
      <c r="D363" s="376">
        <v>0</v>
      </c>
      <c r="E363" s="376">
        <v>1.3255329999999999</v>
      </c>
      <c r="F363" s="376">
        <f t="shared" si="55"/>
        <v>-1.3255329999999999</v>
      </c>
    </row>
    <row r="364" spans="3:8">
      <c r="C364" s="375" t="s">
        <v>296</v>
      </c>
      <c r="D364" s="376">
        <v>489.54979400000002</v>
      </c>
      <c r="E364" s="376">
        <v>446.25052199999999</v>
      </c>
      <c r="F364" s="376">
        <f t="shared" si="55"/>
        <v>43.29927200000003</v>
      </c>
    </row>
    <row r="365" spans="3:8">
      <c r="C365" s="375" t="s">
        <v>297</v>
      </c>
      <c r="D365" s="376">
        <v>5419.0708370000002</v>
      </c>
      <c r="E365" s="376">
        <v>1284.1100549999999</v>
      </c>
      <c r="F365" s="376">
        <f t="shared" si="55"/>
        <v>4134.9607820000001</v>
      </c>
    </row>
    <row r="366" spans="3:8">
      <c r="C366" s="375" t="s">
        <v>298</v>
      </c>
      <c r="D366" s="376">
        <v>709.90215999999998</v>
      </c>
      <c r="E366" s="376">
        <v>347.45272499999999</v>
      </c>
      <c r="F366" s="376">
        <f t="shared" si="55"/>
        <v>362.44943499999999</v>
      </c>
    </row>
    <row r="367" spans="3:8">
      <c r="C367" s="375" t="s">
        <v>299</v>
      </c>
      <c r="D367" s="376">
        <v>2.0701489999999998</v>
      </c>
      <c r="E367" s="376">
        <v>4.1777000000000002E-2</v>
      </c>
      <c r="F367" s="376">
        <f t="shared" si="55"/>
        <v>2.0283719999999996</v>
      </c>
    </row>
    <row r="368" spans="3:8">
      <c r="C368" s="375" t="s">
        <v>300</v>
      </c>
      <c r="D368" s="376">
        <f>3045.61354+3061.322632</f>
        <v>6106.9361719999997</v>
      </c>
      <c r="E368" s="376">
        <f>561.924003+516.331981</f>
        <v>1078.2559839999999</v>
      </c>
      <c r="F368" s="376">
        <f t="shared" si="55"/>
        <v>5028.6801880000003</v>
      </c>
    </row>
    <row r="369" spans="3:7">
      <c r="C369" s="372" t="s">
        <v>301</v>
      </c>
      <c r="D369" s="373">
        <v>2786.366951</v>
      </c>
      <c r="E369" s="373">
        <v>309.821709</v>
      </c>
      <c r="F369" s="373">
        <f t="shared" si="55"/>
        <v>2476.5452420000001</v>
      </c>
    </row>
    <row r="370" spans="3:7">
      <c r="C370" s="369" t="s">
        <v>286</v>
      </c>
      <c r="D370" s="370">
        <f>SUM(D371:D382)</f>
        <v>8324.1034359999994</v>
      </c>
      <c r="E370" s="370">
        <f>SUM(E371:E382)</f>
        <v>5668.9747179999995</v>
      </c>
      <c r="F370" s="370">
        <f t="shared" si="55"/>
        <v>2655.1287179999999</v>
      </c>
      <c r="G370" s="423"/>
    </row>
    <row r="371" spans="3:7">
      <c r="C371" s="375" t="s">
        <v>302</v>
      </c>
      <c r="D371" s="376">
        <f>183.36+184.5889</f>
        <v>367.94889999999998</v>
      </c>
      <c r="E371" s="376">
        <f>1929.2986+1932.6314</f>
        <v>3861.9300000000003</v>
      </c>
      <c r="F371" s="376">
        <f t="shared" si="55"/>
        <v>-3493.9811000000004</v>
      </c>
    </row>
    <row r="372" spans="3:7">
      <c r="C372" s="375" t="s">
        <v>303</v>
      </c>
      <c r="D372" s="376">
        <v>0</v>
      </c>
      <c r="E372" s="376">
        <v>0</v>
      </c>
      <c r="F372" s="376">
        <f t="shared" si="55"/>
        <v>0</v>
      </c>
    </row>
    <row r="373" spans="3:7">
      <c r="C373" s="375" t="s">
        <v>304</v>
      </c>
      <c r="D373" s="376">
        <v>2510.5401360000001</v>
      </c>
      <c r="E373" s="376">
        <v>407.21162400000003</v>
      </c>
      <c r="F373" s="376">
        <f t="shared" si="55"/>
        <v>2103.328512</v>
      </c>
    </row>
    <row r="374" spans="3:7">
      <c r="C374" s="375" t="s">
        <v>305</v>
      </c>
      <c r="D374" s="376">
        <v>198.85549</v>
      </c>
      <c r="E374" s="376">
        <v>222.57400000000001</v>
      </c>
      <c r="F374" s="376">
        <f t="shared" si="55"/>
        <v>-23.718510000000009</v>
      </c>
    </row>
    <row r="375" spans="3:7">
      <c r="C375" s="375" t="s">
        <v>306</v>
      </c>
      <c r="D375" s="376">
        <v>226.1866</v>
      </c>
      <c r="E375" s="376">
        <v>223.74379999999999</v>
      </c>
      <c r="F375" s="376">
        <f t="shared" si="55"/>
        <v>2.4428000000000054</v>
      </c>
    </row>
    <row r="376" spans="3:7">
      <c r="C376" s="375" t="s">
        <v>307</v>
      </c>
      <c r="D376" s="376">
        <v>159.405</v>
      </c>
      <c r="E376" s="376">
        <v>319.48090000000002</v>
      </c>
      <c r="F376" s="376">
        <f t="shared" si="55"/>
        <v>-160.07590000000002</v>
      </c>
    </row>
    <row r="377" spans="3:7">
      <c r="C377" s="375" t="s">
        <v>308</v>
      </c>
      <c r="D377" s="376">
        <v>1749.0037</v>
      </c>
      <c r="E377" s="376">
        <v>290.55369999999999</v>
      </c>
      <c r="F377" s="376">
        <f t="shared" si="55"/>
        <v>1458.45</v>
      </c>
    </row>
    <row r="378" spans="3:7">
      <c r="C378" s="375" t="s">
        <v>309</v>
      </c>
      <c r="D378" s="376">
        <v>1.003E-3</v>
      </c>
      <c r="E378" s="376">
        <v>7.195E-3</v>
      </c>
      <c r="F378" s="376">
        <f t="shared" si="55"/>
        <v>-6.1919999999999996E-3</v>
      </c>
    </row>
    <row r="379" spans="3:7">
      <c r="C379" s="375" t="s">
        <v>310</v>
      </c>
      <c r="D379" s="376">
        <v>1703.554447</v>
      </c>
      <c r="E379" s="376">
        <v>280.90962199999996</v>
      </c>
      <c r="F379" s="376">
        <f t="shared" si="55"/>
        <v>1422.6448250000001</v>
      </c>
    </row>
    <row r="380" spans="3:7">
      <c r="C380" s="375" t="s">
        <v>311</v>
      </c>
      <c r="D380" s="376">
        <v>0</v>
      </c>
      <c r="E380" s="376">
        <v>0</v>
      </c>
      <c r="F380" s="376">
        <f t="shared" si="55"/>
        <v>0</v>
      </c>
    </row>
    <row r="381" spans="3:7">
      <c r="C381" s="375" t="s">
        <v>312</v>
      </c>
      <c r="D381" s="376">
        <v>1408.60816</v>
      </c>
      <c r="E381" s="376">
        <v>62.563876999999998</v>
      </c>
      <c r="F381" s="376">
        <f t="shared" si="55"/>
        <v>1346.044283</v>
      </c>
    </row>
    <row r="382" spans="3:7">
      <c r="C382" s="372" t="s">
        <v>348</v>
      </c>
      <c r="D382" s="373">
        <v>0</v>
      </c>
      <c r="E382" s="373">
        <v>0</v>
      </c>
      <c r="F382" s="373">
        <f t="shared" si="55"/>
        <v>0</v>
      </c>
    </row>
    <row r="383" spans="3:7">
      <c r="C383" s="369" t="s">
        <v>288</v>
      </c>
      <c r="D383" s="370">
        <f>SUM(D384)</f>
        <v>180.10077000000001</v>
      </c>
      <c r="E383" s="370">
        <f>SUM(E384)</f>
        <v>3569.1239500000001</v>
      </c>
      <c r="F383" s="370">
        <f t="shared" si="55"/>
        <v>-3389.0231800000001</v>
      </c>
      <c r="G383" s="423"/>
    </row>
    <row r="384" spans="3:7">
      <c r="C384" s="372" t="s">
        <v>313</v>
      </c>
      <c r="D384" s="373">
        <f>88.82007+91.2807</f>
        <v>180.10077000000001</v>
      </c>
      <c r="E384" s="373">
        <f>1846.02805+1723.0959</f>
        <v>3569.1239500000001</v>
      </c>
      <c r="F384" s="373">
        <f t="shared" si="55"/>
        <v>-3389.0231800000001</v>
      </c>
    </row>
    <row r="385" spans="3:7">
      <c r="C385" s="381" t="s">
        <v>29</v>
      </c>
      <c r="D385" s="382">
        <f>D360+D362+D370+D383</f>
        <v>24018.108158999999</v>
      </c>
      <c r="E385" s="382">
        <f>E360+E362+E370+E383</f>
        <v>12915.797012999999</v>
      </c>
      <c r="F385" s="382">
        <f t="shared" si="55"/>
        <v>11102.311146</v>
      </c>
      <c r="G385" s="423"/>
    </row>
  </sheetData>
  <sortState ref="K107:L125">
    <sortCondition descending="1" ref="L107:L125"/>
  </sortState>
  <mergeCells count="9">
    <mergeCell ref="C83:F83"/>
    <mergeCell ref="C105:F105"/>
    <mergeCell ref="D231:E231"/>
    <mergeCell ref="F231:G231"/>
    <mergeCell ref="C127:F127"/>
    <mergeCell ref="D128:E128"/>
    <mergeCell ref="F128:I128"/>
    <mergeCell ref="D223:E223"/>
    <mergeCell ref="F223:G223"/>
  </mergeCells>
  <printOptions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F244 F277 W21 W42 D349:H349" formula="1"/>
    <ignoredError sqref="D331:H331 D313:H313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69" customWidth="1"/>
  </cols>
  <sheetData>
    <row r="1" spans="1:10" s="69" customFormat="1" ht="21.75" customHeight="1">
      <c r="E1" s="70"/>
      <c r="J1" s="71" t="s">
        <v>87</v>
      </c>
    </row>
    <row r="2" spans="1:10" s="69" customFormat="1" ht="15" customHeight="1">
      <c r="E2" s="70"/>
      <c r="J2" s="437" t="s">
        <v>119</v>
      </c>
    </row>
    <row r="3" spans="1:10" s="69" customFormat="1" ht="19.899999999999999" customHeight="1">
      <c r="C3" s="72"/>
    </row>
    <row r="4" spans="1:10" s="69" customFormat="1" ht="12" customHeight="1">
      <c r="C4" s="72"/>
    </row>
    <row r="5" spans="1:10" s="73" customFormat="1" ht="11.25" customHeight="1">
      <c r="A5" s="69"/>
      <c r="C5" s="245" t="s">
        <v>161</v>
      </c>
    </row>
    <row r="6" spans="1:10" s="73" customFormat="1" ht="11.25" customHeight="1">
      <c r="A6" s="69"/>
      <c r="C6" s="215"/>
      <c r="D6" s="216" t="s">
        <v>158</v>
      </c>
      <c r="E6" s="216" t="s">
        <v>159</v>
      </c>
      <c r="F6" s="216" t="s">
        <v>162</v>
      </c>
    </row>
    <row r="7" spans="1:10" s="73" customFormat="1" ht="11.25" customHeight="1">
      <c r="A7" s="69"/>
      <c r="B7" s="89">
        <v>2014</v>
      </c>
      <c r="C7" s="210" t="s">
        <v>17</v>
      </c>
      <c r="D7" s="218">
        <v>-0.4</v>
      </c>
      <c r="E7" s="218">
        <v>1.8</v>
      </c>
      <c r="F7" s="218">
        <v>-4.5</v>
      </c>
    </row>
    <row r="8" spans="1:10" s="73" customFormat="1" ht="11.25" customHeight="1">
      <c r="A8" s="69"/>
      <c r="B8" s="89"/>
      <c r="C8" s="210" t="s">
        <v>18</v>
      </c>
      <c r="D8" s="218">
        <v>0.1</v>
      </c>
      <c r="E8" s="218">
        <v>2.2999999999999998</v>
      </c>
      <c r="F8" s="218">
        <v>-4</v>
      </c>
    </row>
    <row r="9" spans="1:10" s="73" customFormat="1" ht="11.25" customHeight="1">
      <c r="A9" s="69"/>
      <c r="B9" s="89"/>
      <c r="C9" s="210" t="s">
        <v>19</v>
      </c>
      <c r="D9" s="218">
        <v>0.9</v>
      </c>
      <c r="E9" s="218">
        <v>3.1</v>
      </c>
      <c r="F9" s="218">
        <v>-3.5</v>
      </c>
    </row>
    <row r="10" spans="1:10" s="73" customFormat="1" ht="11.25" customHeight="1">
      <c r="A10" s="69"/>
      <c r="B10" s="89"/>
      <c r="C10" s="210" t="s">
        <v>20</v>
      </c>
      <c r="D10" s="218">
        <v>1</v>
      </c>
      <c r="E10" s="218">
        <v>3</v>
      </c>
      <c r="F10" s="218">
        <v>-3.3</v>
      </c>
    </row>
    <row r="11" spans="1:10" s="73" customFormat="1" ht="11.25" customHeight="1">
      <c r="A11" s="69"/>
      <c r="B11" s="89"/>
      <c r="C11" s="210" t="s">
        <v>19</v>
      </c>
      <c r="D11" s="218">
        <v>1.4</v>
      </c>
      <c r="E11" s="218">
        <v>3.3</v>
      </c>
      <c r="F11" s="218">
        <v>-3.3</v>
      </c>
    </row>
    <row r="12" spans="1:10" s="73" customFormat="1" ht="11.25" customHeight="1">
      <c r="A12" s="69"/>
      <c r="B12" s="89"/>
      <c r="C12" s="210" t="s">
        <v>21</v>
      </c>
      <c r="D12" s="218">
        <v>1.7</v>
      </c>
      <c r="E12" s="218">
        <v>3.5</v>
      </c>
      <c r="F12" s="218">
        <v>-2.9</v>
      </c>
    </row>
    <row r="13" spans="1:10" s="73" customFormat="1" ht="11.25" customHeight="1">
      <c r="A13" s="69"/>
      <c r="B13" s="89"/>
      <c r="C13" s="210" t="s">
        <v>21</v>
      </c>
      <c r="D13" s="218">
        <v>2.1</v>
      </c>
      <c r="E13" s="218">
        <v>4</v>
      </c>
      <c r="F13" s="218">
        <v>-2.7</v>
      </c>
    </row>
    <row r="14" spans="1:10" s="73" customFormat="1" ht="11.25" customHeight="1">
      <c r="A14" s="69"/>
      <c r="B14" s="89"/>
      <c r="C14" s="210" t="s">
        <v>20</v>
      </c>
      <c r="D14" s="218">
        <v>2.2000000000000002</v>
      </c>
      <c r="E14" s="218">
        <v>3.9</v>
      </c>
      <c r="F14" s="218">
        <v>-2.4</v>
      </c>
    </row>
    <row r="15" spans="1:10" s="73" customFormat="1" ht="11.25" customHeight="1">
      <c r="A15" s="69"/>
      <c r="B15" s="480"/>
      <c r="C15" s="210" t="s">
        <v>22</v>
      </c>
      <c r="D15" s="218">
        <v>2.2999999999999998</v>
      </c>
      <c r="E15" s="218">
        <v>3.9</v>
      </c>
      <c r="F15" s="218">
        <v>-2.1</v>
      </c>
    </row>
    <row r="16" spans="1:10" s="73" customFormat="1" ht="11.25" customHeight="1">
      <c r="A16" s="69"/>
      <c r="B16" s="89"/>
      <c r="C16" s="210" t="s">
        <v>23</v>
      </c>
      <c r="D16" s="218">
        <v>2.2999999999999998</v>
      </c>
      <c r="E16" s="218">
        <v>4.0999999999999996</v>
      </c>
      <c r="F16" s="218">
        <v>-2.1</v>
      </c>
    </row>
    <row r="17" spans="1:6" s="73" customFormat="1" ht="11.25" customHeight="1">
      <c r="A17" s="69"/>
      <c r="B17" s="89"/>
      <c r="C17" s="210" t="s">
        <v>24</v>
      </c>
      <c r="D17" s="218">
        <v>2.5</v>
      </c>
      <c r="E17" s="218">
        <v>4.2</v>
      </c>
      <c r="F17" s="218">
        <v>-1.5</v>
      </c>
    </row>
    <row r="18" spans="1:6" s="73" customFormat="1" ht="11.25" customHeight="1">
      <c r="A18" s="69"/>
      <c r="B18" s="89"/>
      <c r="C18" s="210" t="s">
        <v>25</v>
      </c>
      <c r="D18" s="218">
        <v>2.7</v>
      </c>
      <c r="E18" s="218">
        <v>4.3</v>
      </c>
      <c r="F18" s="218">
        <v>-1.4</v>
      </c>
    </row>
    <row r="19" spans="1:6" s="73" customFormat="1" ht="11.25" customHeight="1">
      <c r="A19" s="69"/>
      <c r="B19" s="89">
        <v>2015</v>
      </c>
      <c r="C19" s="210" t="s">
        <v>17</v>
      </c>
      <c r="D19" s="218">
        <v>2.9</v>
      </c>
      <c r="E19" s="218">
        <v>4.5</v>
      </c>
      <c r="F19" s="218">
        <v>-1</v>
      </c>
    </row>
    <row r="20" spans="1:6" s="73" customFormat="1" ht="11.25" customHeight="1">
      <c r="A20" s="69"/>
      <c r="B20" s="89"/>
      <c r="C20" s="210" t="s">
        <v>18</v>
      </c>
      <c r="D20" s="218">
        <v>2.8</v>
      </c>
      <c r="E20" s="218">
        <v>4.2</v>
      </c>
      <c r="F20" s="218">
        <v>-0.8</v>
      </c>
    </row>
    <row r="21" spans="1:6" s="73" customFormat="1" ht="11.25" customHeight="1">
      <c r="A21" s="69"/>
      <c r="B21" s="89"/>
      <c r="C21" s="210" t="s">
        <v>19</v>
      </c>
      <c r="D21" s="218">
        <v>2.6</v>
      </c>
      <c r="E21" s="218">
        <v>3.9</v>
      </c>
      <c r="F21" s="218">
        <v>-0.7</v>
      </c>
    </row>
    <row r="22" spans="1:6" s="73" customFormat="1" ht="11.25" customHeight="1">
      <c r="A22" s="69"/>
      <c r="B22" s="89"/>
      <c r="C22" s="210" t="s">
        <v>20</v>
      </c>
      <c r="D22" s="218">
        <v>2.7</v>
      </c>
      <c r="E22" s="218">
        <v>3.9</v>
      </c>
      <c r="F22" s="218">
        <v>-0.3</v>
      </c>
    </row>
    <row r="23" spans="1:6" s="73" customFormat="1" ht="11.25" customHeight="1">
      <c r="A23" s="69"/>
      <c r="B23" s="89"/>
      <c r="C23" s="210" t="s">
        <v>19</v>
      </c>
      <c r="D23" s="218">
        <v>2.5</v>
      </c>
      <c r="E23" s="218">
        <v>3.8</v>
      </c>
      <c r="F23" s="218">
        <v>-0.6</v>
      </c>
    </row>
    <row r="24" spans="1:6" s="73" customFormat="1" ht="11.25" customHeight="1">
      <c r="A24" s="69"/>
      <c r="B24" s="89"/>
      <c r="C24" s="210" t="s">
        <v>21</v>
      </c>
      <c r="D24" s="218">
        <v>2.4</v>
      </c>
      <c r="E24" s="218">
        <v>3.7</v>
      </c>
      <c r="F24" s="218">
        <v>-0.6</v>
      </c>
    </row>
    <row r="25" spans="1:6" s="73" customFormat="1" ht="11.25" customHeight="1">
      <c r="A25" s="69"/>
      <c r="B25" s="89"/>
      <c r="C25" s="210" t="s">
        <v>21</v>
      </c>
      <c r="D25" s="218">
        <v>2.2000000000000002</v>
      </c>
      <c r="E25" s="218">
        <v>3.3</v>
      </c>
      <c r="F25" s="218">
        <v>-0.1</v>
      </c>
    </row>
    <row r="26" spans="1:6" s="73" customFormat="1" ht="11.25" customHeight="1">
      <c r="A26" s="69"/>
      <c r="B26" s="89"/>
      <c r="C26" s="210" t="s">
        <v>20</v>
      </c>
      <c r="D26" s="218">
        <v>2.4</v>
      </c>
      <c r="E26" s="218">
        <v>3.4</v>
      </c>
      <c r="F26" s="218">
        <v>0</v>
      </c>
    </row>
    <row r="27" spans="1:6" s="73" customFormat="1" ht="11.25" customHeight="1">
      <c r="A27" s="69"/>
      <c r="B27" s="89"/>
      <c r="C27" s="210" t="s">
        <v>22</v>
      </c>
      <c r="D27" s="218">
        <v>2.2999999999999998</v>
      </c>
      <c r="E27" s="218">
        <v>3.3</v>
      </c>
      <c r="F27" s="218">
        <v>-0.2</v>
      </c>
    </row>
    <row r="28" spans="1:6" s="73" customFormat="1" ht="11.25" customHeight="1">
      <c r="A28" s="69"/>
      <c r="B28" s="89"/>
      <c r="C28" s="210" t="s">
        <v>23</v>
      </c>
      <c r="D28" s="218">
        <v>2.5</v>
      </c>
      <c r="E28" s="218">
        <v>3.1</v>
      </c>
      <c r="F28" s="218">
        <v>0.5</v>
      </c>
    </row>
    <row r="29" spans="1:6" s="73" customFormat="1" ht="11.25" customHeight="1">
      <c r="A29" s="69"/>
      <c r="B29" s="89"/>
      <c r="C29" s="210" t="s">
        <v>24</v>
      </c>
      <c r="D29" s="218">
        <v>2.2999999999999998</v>
      </c>
      <c r="E29" s="218">
        <v>2.9</v>
      </c>
      <c r="F29" s="218">
        <v>0.3</v>
      </c>
    </row>
    <row r="30" spans="1:6" s="73" customFormat="1" ht="11.25" customHeight="1">
      <c r="A30" s="69"/>
      <c r="B30" s="89"/>
      <c r="C30" s="210" t="s">
        <v>25</v>
      </c>
      <c r="D30" s="218">
        <v>2.4</v>
      </c>
      <c r="E30" s="218">
        <v>2.8</v>
      </c>
      <c r="F30" s="218">
        <v>0.4</v>
      </c>
    </row>
    <row r="31" spans="1:6" s="73" customFormat="1" ht="11.25" customHeight="1">
      <c r="A31" s="69"/>
      <c r="B31" s="89">
        <v>2016</v>
      </c>
      <c r="C31" s="210" t="s">
        <v>17</v>
      </c>
      <c r="D31" s="218">
        <v>2.1</v>
      </c>
      <c r="E31" s="218">
        <v>2.5</v>
      </c>
      <c r="F31" s="218">
        <v>0.2</v>
      </c>
    </row>
    <row r="32" spans="1:6" s="73" customFormat="1" ht="11.25" customHeight="1">
      <c r="A32" s="69"/>
      <c r="B32" s="89"/>
      <c r="C32" s="210" t="s">
        <v>18</v>
      </c>
      <c r="D32" s="218">
        <v>2</v>
      </c>
      <c r="E32" s="218">
        <v>2.2999999999999998</v>
      </c>
      <c r="F32" s="218">
        <v>0</v>
      </c>
    </row>
    <row r="33" spans="1:6" s="73" customFormat="1" ht="11.25" customHeight="1">
      <c r="A33" s="69"/>
      <c r="B33" s="89"/>
      <c r="C33" s="210" t="s">
        <v>19</v>
      </c>
      <c r="D33" s="218">
        <v>1.7</v>
      </c>
      <c r="E33" s="218">
        <v>1.8</v>
      </c>
      <c r="F33" s="218">
        <v>0</v>
      </c>
    </row>
    <row r="34" spans="1:6" s="73" customFormat="1" ht="11.25" customHeight="1">
      <c r="A34" s="69"/>
      <c r="B34" s="89"/>
      <c r="C34" s="210" t="s">
        <v>20</v>
      </c>
      <c r="D34" s="218">
        <v>1.6</v>
      </c>
      <c r="E34" s="218">
        <v>1.7</v>
      </c>
      <c r="F34" s="218">
        <v>0</v>
      </c>
    </row>
    <row r="35" spans="1:6" s="73" customFormat="1" ht="11.25" customHeight="1">
      <c r="A35" s="69"/>
      <c r="B35" s="89"/>
      <c r="C35" s="210" t="s">
        <v>19</v>
      </c>
      <c r="D35" s="218">
        <v>1.5</v>
      </c>
      <c r="E35" s="218">
        <v>1.3</v>
      </c>
      <c r="F35" s="218">
        <v>0.7</v>
      </c>
    </row>
    <row r="36" spans="1:6" s="73" customFormat="1" ht="11.25" customHeight="1">
      <c r="A36" s="69"/>
      <c r="B36" s="89"/>
      <c r="C36" s="210" t="s">
        <v>21</v>
      </c>
      <c r="D36" s="218">
        <v>1.4</v>
      </c>
      <c r="E36" s="218">
        <v>1.1000000000000001</v>
      </c>
      <c r="F36" s="218">
        <v>0.7</v>
      </c>
    </row>
    <row r="37" spans="1:6" s="73" customFormat="1" ht="11.25" customHeight="1">
      <c r="A37" s="69"/>
      <c r="B37" s="89"/>
      <c r="C37" s="210" t="s">
        <v>21</v>
      </c>
      <c r="D37" s="218">
        <v>1.2</v>
      </c>
      <c r="E37" s="218">
        <v>0.9</v>
      </c>
      <c r="F37" s="218">
        <v>0.2</v>
      </c>
    </row>
    <row r="38" spans="1:6" s="73" customFormat="1" ht="11.25" customHeight="1">
      <c r="A38" s="69"/>
      <c r="B38" s="89"/>
      <c r="C38" s="210" t="s">
        <v>20</v>
      </c>
      <c r="D38" s="218">
        <v>0.9</v>
      </c>
      <c r="E38" s="218">
        <v>0.7</v>
      </c>
      <c r="F38" s="218">
        <v>-0.1</v>
      </c>
    </row>
    <row r="39" spans="1:6" s="73" customFormat="1" ht="11.25" customHeight="1">
      <c r="A39" s="69"/>
      <c r="B39" s="89"/>
      <c r="C39" s="210" t="s">
        <v>22</v>
      </c>
      <c r="D39" s="218">
        <v>0.8</v>
      </c>
      <c r="E39" s="218">
        <v>0.5</v>
      </c>
      <c r="F39" s="218">
        <v>0</v>
      </c>
    </row>
    <row r="40" spans="1:6" s="73" customFormat="1" ht="11.25" customHeight="1">
      <c r="A40" s="69"/>
      <c r="B40" s="89"/>
      <c r="C40" s="210" t="s">
        <v>23</v>
      </c>
      <c r="D40" s="218">
        <v>0.5</v>
      </c>
      <c r="E40" s="218">
        <v>0.3</v>
      </c>
      <c r="F40" s="218">
        <v>-0.5</v>
      </c>
    </row>
    <row r="41" spans="1:6" s="73" customFormat="1" ht="11.25" customHeight="1">
      <c r="A41" s="69"/>
      <c r="B41" s="89"/>
      <c r="C41" s="210" t="s">
        <v>24</v>
      </c>
      <c r="D41" s="218">
        <v>0.4</v>
      </c>
      <c r="E41" s="218">
        <v>0</v>
      </c>
      <c r="F41" s="218">
        <v>-0.3</v>
      </c>
    </row>
    <row r="42" spans="1:6" s="73" customFormat="1" ht="11.25" customHeight="1">
      <c r="A42" s="69"/>
      <c r="B42" s="89"/>
      <c r="C42" s="210" t="s">
        <v>25</v>
      </c>
      <c r="D42" s="218">
        <v>0.2</v>
      </c>
      <c r="E42" s="218">
        <v>-0.1</v>
      </c>
      <c r="F42" s="218">
        <v>-0.4</v>
      </c>
    </row>
    <row r="43" spans="1:6" s="73" customFormat="1" ht="11.25" customHeight="1">
      <c r="A43" s="69"/>
      <c r="B43" s="89">
        <v>2017</v>
      </c>
      <c r="C43" s="210" t="s">
        <v>17</v>
      </c>
      <c r="D43" s="218">
        <v>0.3</v>
      </c>
      <c r="E43" s="218">
        <v>0.1</v>
      </c>
      <c r="F43" s="218">
        <v>-0.2</v>
      </c>
    </row>
    <row r="44" spans="1:6" s="73" customFormat="1" ht="11.25" customHeight="1">
      <c r="A44" s="69"/>
      <c r="B44" s="89"/>
      <c r="C44" s="210" t="s">
        <v>18</v>
      </c>
      <c r="D44" s="218">
        <v>0.3</v>
      </c>
      <c r="E44" s="218">
        <v>0.3</v>
      </c>
      <c r="F44" s="218">
        <v>-0.2</v>
      </c>
    </row>
    <row r="45" spans="1:6" s="73" customFormat="1" ht="11.25" customHeight="1">
      <c r="A45" s="69"/>
      <c r="B45" s="89"/>
      <c r="C45" s="210" t="s">
        <v>19</v>
      </c>
      <c r="D45" s="218">
        <v>0.7</v>
      </c>
      <c r="E45" s="218">
        <v>0.9</v>
      </c>
      <c r="F45" s="218">
        <v>-0.2</v>
      </c>
    </row>
    <row r="46" spans="1:6" s="73" customFormat="1" ht="11.25" customHeight="1">
      <c r="A46" s="69"/>
      <c r="B46" s="89"/>
      <c r="C46" s="210" t="s">
        <v>20</v>
      </c>
      <c r="D46" s="218">
        <v>0.5</v>
      </c>
      <c r="E46" s="218">
        <v>0.7</v>
      </c>
      <c r="F46" s="218">
        <v>-0.9</v>
      </c>
    </row>
    <row r="47" spans="1:6" s="73" customFormat="1" ht="11.25" customHeight="1">
      <c r="A47" s="69"/>
      <c r="B47" s="89"/>
      <c r="C47" s="210" t="s">
        <v>19</v>
      </c>
      <c r="D47" s="218">
        <v>0.6</v>
      </c>
      <c r="E47" s="218">
        <v>0.9</v>
      </c>
      <c r="F47" s="218">
        <v>-1.4</v>
      </c>
    </row>
    <row r="48" spans="1:6" s="73" customFormat="1" ht="11.25" customHeight="1">
      <c r="A48" s="69"/>
      <c r="B48" s="89"/>
      <c r="C48" s="210" t="s">
        <v>21</v>
      </c>
      <c r="D48" s="218">
        <v>0.7</v>
      </c>
      <c r="E48" s="218">
        <v>1.1000000000000001</v>
      </c>
      <c r="F48" s="218">
        <v>-1.2</v>
      </c>
    </row>
    <row r="49" spans="1:6" s="73" customFormat="1" ht="11.25" customHeight="1">
      <c r="A49" s="69"/>
      <c r="B49" s="89"/>
      <c r="C49" s="210" t="s">
        <v>21</v>
      </c>
      <c r="D49" s="218">
        <v>1</v>
      </c>
      <c r="E49" s="218">
        <v>1.3</v>
      </c>
      <c r="F49" s="218">
        <v>-1</v>
      </c>
    </row>
    <row r="50" spans="1:6" s="73" customFormat="1" ht="11.25" customHeight="1">
      <c r="A50" s="69"/>
      <c r="B50" s="89"/>
      <c r="C50" s="210" t="s">
        <v>20</v>
      </c>
      <c r="D50" s="218">
        <v>1.1000000000000001</v>
      </c>
      <c r="E50" s="218">
        <v>1.5</v>
      </c>
      <c r="F50" s="218">
        <v>-0.7</v>
      </c>
    </row>
    <row r="51" spans="1:6" s="73" customFormat="1" ht="11.25" customHeight="1">
      <c r="A51" s="69"/>
      <c r="B51" s="89"/>
      <c r="C51" s="210" t="s">
        <v>22</v>
      </c>
      <c r="D51" s="218">
        <v>1.3</v>
      </c>
      <c r="E51" s="218">
        <v>1.7</v>
      </c>
      <c r="F51" s="218">
        <v>-0.6</v>
      </c>
    </row>
    <row r="52" spans="1:6" s="73" customFormat="1" ht="11.25" customHeight="1">
      <c r="A52" s="69"/>
      <c r="B52" s="89"/>
      <c r="C52" s="210" t="s">
        <v>23</v>
      </c>
      <c r="D52" s="218">
        <v>1.3</v>
      </c>
      <c r="E52" s="218">
        <v>1.8</v>
      </c>
      <c r="F52" s="218">
        <v>-0.8</v>
      </c>
    </row>
    <row r="53" spans="1:6" s="73" customFormat="1" ht="11.25" customHeight="1">
      <c r="A53" s="69"/>
      <c r="B53" s="89"/>
      <c r="C53" s="210" t="s">
        <v>24</v>
      </c>
      <c r="D53" s="218">
        <v>1.6</v>
      </c>
      <c r="E53" s="218">
        <v>2.2999999999999998</v>
      </c>
      <c r="F53" s="218">
        <v>-0.8</v>
      </c>
    </row>
    <row r="54" spans="1:6" s="73" customFormat="1" ht="11.25" customHeight="1">
      <c r="A54" s="69"/>
      <c r="B54" s="89"/>
      <c r="C54" s="210" t="s">
        <v>25</v>
      </c>
      <c r="D54" s="218">
        <v>1.7</v>
      </c>
      <c r="E54" s="218">
        <v>2.2000000000000002</v>
      </c>
      <c r="F54" s="218">
        <v>-0.7</v>
      </c>
    </row>
    <row r="55" spans="1:6" s="73" customFormat="1" ht="11.25" customHeight="1">
      <c r="A55" s="69"/>
      <c r="B55" s="89">
        <v>2018</v>
      </c>
      <c r="C55" s="210" t="s">
        <v>17</v>
      </c>
      <c r="D55" s="218">
        <v>1.7</v>
      </c>
      <c r="E55" s="218">
        <v>2</v>
      </c>
      <c r="F55" s="218">
        <v>-0.8</v>
      </c>
    </row>
    <row r="56" spans="1:6" s="73" customFormat="1" ht="11.25" customHeight="1">
      <c r="A56" s="69"/>
      <c r="B56" s="480"/>
      <c r="C56" s="210" t="s">
        <v>18</v>
      </c>
      <c r="D56" s="218">
        <v>1.7</v>
      </c>
      <c r="E56" s="218">
        <v>1.9</v>
      </c>
      <c r="F56" s="218">
        <v>-0.7</v>
      </c>
    </row>
    <row r="57" spans="1:6" s="73" customFormat="1" ht="11.25" customHeight="1">
      <c r="A57" s="69"/>
      <c r="B57" s="480"/>
      <c r="C57" s="210" t="s">
        <v>19</v>
      </c>
      <c r="D57" s="218">
        <v>1.3</v>
      </c>
      <c r="E57" s="218">
        <v>1.2</v>
      </c>
      <c r="F57" s="218">
        <v>-0.5</v>
      </c>
    </row>
    <row r="58" spans="1:6" s="73" customFormat="1" ht="11.25" customHeight="1">
      <c r="A58" s="69"/>
      <c r="B58" s="480"/>
      <c r="C58" s="210" t="s">
        <v>20</v>
      </c>
      <c r="D58" s="218">
        <v>1.5</v>
      </c>
      <c r="E58" s="218">
        <v>1.3</v>
      </c>
      <c r="F58" s="218">
        <v>0.3</v>
      </c>
    </row>
    <row r="59" spans="1:6" s="73" customFormat="1" ht="11.25" customHeight="1">
      <c r="A59" s="69"/>
      <c r="B59" s="480"/>
      <c r="C59" s="210" t="s">
        <v>19</v>
      </c>
      <c r="D59" s="218">
        <v>1.4</v>
      </c>
      <c r="E59" s="218">
        <v>1.1000000000000001</v>
      </c>
      <c r="F59" s="218">
        <v>0.9</v>
      </c>
    </row>
    <row r="60" spans="1:6" s="73" customFormat="1" ht="11.25" customHeight="1">
      <c r="A60" s="69"/>
      <c r="B60" s="480"/>
      <c r="C60" s="210" t="s">
        <v>21</v>
      </c>
      <c r="D60" s="218">
        <v>1.2</v>
      </c>
      <c r="E60" s="218">
        <v>0.7</v>
      </c>
      <c r="F60" s="218">
        <v>0.8</v>
      </c>
    </row>
    <row r="61" spans="1:6" s="73" customFormat="1" ht="11.25" customHeight="1">
      <c r="A61" s="69"/>
      <c r="B61" s="89"/>
      <c r="C61" s="210" t="s">
        <v>21</v>
      </c>
      <c r="D61" s="218">
        <v>0.7</v>
      </c>
      <c r="E61" s="218">
        <v>0.2</v>
      </c>
      <c r="F61" s="218">
        <v>0.8</v>
      </c>
    </row>
    <row r="62" spans="1:6" s="73" customFormat="1" ht="11.25" customHeight="1">
      <c r="A62" s="69"/>
      <c r="B62" s="89"/>
      <c r="C62" s="210" t="s">
        <v>20</v>
      </c>
      <c r="D62" s="218">
        <v>0.3</v>
      </c>
      <c r="E62" s="218">
        <v>-0.4</v>
      </c>
      <c r="F62" s="218">
        <v>0.5</v>
      </c>
    </row>
    <row r="63" spans="1:6" s="73" customFormat="1" ht="11.25" customHeight="1">
      <c r="A63" s="69"/>
      <c r="B63" s="89"/>
      <c r="C63" s="210" t="s">
        <v>22</v>
      </c>
      <c r="D63" s="218">
        <v>-0.1</v>
      </c>
      <c r="E63" s="218">
        <v>-0.9</v>
      </c>
      <c r="F63" s="218">
        <v>0.5</v>
      </c>
    </row>
    <row r="64" spans="1:6" s="73" customFormat="1" ht="11.25" customHeight="1">
      <c r="A64" s="69"/>
      <c r="B64" s="89"/>
      <c r="C64" s="210" t="s">
        <v>23</v>
      </c>
      <c r="D64" s="218">
        <v>-0.3</v>
      </c>
      <c r="E64" s="218">
        <v>-1.4</v>
      </c>
      <c r="F64" s="218">
        <v>1.1000000000000001</v>
      </c>
    </row>
    <row r="65" spans="1:16" s="73" customFormat="1" ht="11.25" customHeight="1">
      <c r="A65" s="69"/>
      <c r="B65" s="89"/>
      <c r="C65" s="210" t="s">
        <v>24</v>
      </c>
      <c r="D65" s="218">
        <v>-1</v>
      </c>
      <c r="E65" s="218">
        <v>-2.2000000000000002</v>
      </c>
      <c r="F65" s="218">
        <v>0.9</v>
      </c>
    </row>
    <row r="66" spans="1:16" s="73" customFormat="1" ht="11.25" customHeight="1">
      <c r="A66" s="69"/>
      <c r="B66" s="89"/>
      <c r="C66" s="212" t="s">
        <v>25</v>
      </c>
      <c r="D66" s="219">
        <v>-1.3</v>
      </c>
      <c r="E66" s="219">
        <v>-2.5</v>
      </c>
      <c r="F66" s="219">
        <v>0.6</v>
      </c>
    </row>
    <row r="67" spans="1:16" s="73" customFormat="1" ht="11.25" customHeight="1">
      <c r="A67" s="69"/>
      <c r="C67" s="69"/>
      <c r="D67" s="244"/>
      <c r="E67" s="244"/>
      <c r="F67" s="244"/>
    </row>
    <row r="68" spans="1:16" ht="11.25" customHeight="1">
      <c r="C68" s="245" t="s">
        <v>362</v>
      </c>
    </row>
    <row r="69" spans="1:16" ht="11.25" customHeight="1">
      <c r="B69" s="77"/>
      <c r="C69" s="444"/>
      <c r="D69" s="444"/>
      <c r="E69" s="648" t="s">
        <v>358</v>
      </c>
      <c r="F69" s="648"/>
      <c r="G69" s="648"/>
      <c r="H69" s="648"/>
      <c r="I69" s="648" t="s">
        <v>359</v>
      </c>
      <c r="J69" s="648"/>
      <c r="K69" s="648"/>
      <c r="L69" s="648"/>
      <c r="M69" s="648" t="s">
        <v>360</v>
      </c>
      <c r="N69" s="648"/>
      <c r="O69" s="648"/>
      <c r="P69" s="648"/>
    </row>
    <row r="70" spans="1:16" ht="11.25" customHeight="1">
      <c r="B70" s="77"/>
      <c r="C70" s="445"/>
      <c r="D70" s="445"/>
      <c r="E70" s="446" t="s">
        <v>32</v>
      </c>
      <c r="F70" s="446" t="s">
        <v>159</v>
      </c>
      <c r="G70" s="446" t="s">
        <v>162</v>
      </c>
      <c r="H70" s="446" t="s">
        <v>361</v>
      </c>
      <c r="I70" s="446" t="s">
        <v>32</v>
      </c>
      <c r="J70" s="446" t="s">
        <v>159</v>
      </c>
      <c r="K70" s="446" t="s">
        <v>162</v>
      </c>
      <c r="L70" s="446" t="s">
        <v>361</v>
      </c>
      <c r="M70" s="446" t="s">
        <v>32</v>
      </c>
      <c r="N70" s="446" t="s">
        <v>159</v>
      </c>
      <c r="O70" s="446" t="s">
        <v>162</v>
      </c>
      <c r="P70" s="446" t="s">
        <v>361</v>
      </c>
    </row>
    <row r="71" spans="1:16" ht="11.25" customHeight="1">
      <c r="B71" s="77"/>
      <c r="C71" s="443">
        <v>2015</v>
      </c>
      <c r="D71" s="442"/>
      <c r="E71" s="218">
        <v>2.7233365423222855</v>
      </c>
      <c r="F71" s="218">
        <v>2.8759287662030841</v>
      </c>
      <c r="G71" s="218">
        <v>1.3264623206611592</v>
      </c>
      <c r="H71" s="218">
        <v>5.4728332282576675</v>
      </c>
      <c r="I71" s="218">
        <v>2.7097671045885008</v>
      </c>
      <c r="J71" s="218">
        <v>2.8793879074243023</v>
      </c>
      <c r="K71" s="218">
        <v>1.2907038617460564</v>
      </c>
      <c r="L71" s="218">
        <v>5.3926507412188629</v>
      </c>
      <c r="M71" s="218">
        <v>2.4061399245818293</v>
      </c>
      <c r="N71" s="218">
        <v>2.844013555599556</v>
      </c>
      <c r="O71" s="218">
        <v>0.43550755843912992</v>
      </c>
      <c r="P71" s="218">
        <v>4.2443371162309784</v>
      </c>
    </row>
    <row r="72" spans="1:16" ht="11.25" customHeight="1">
      <c r="B72" s="77"/>
      <c r="C72" s="443">
        <v>2016</v>
      </c>
      <c r="D72" s="442"/>
      <c r="E72" s="218">
        <v>0.20321109541483473</v>
      </c>
      <c r="F72" s="218">
        <v>6.8206213451404984E-2</v>
      </c>
      <c r="G72" s="218">
        <v>-0.51790962643563088</v>
      </c>
      <c r="H72" s="218">
        <v>3.1336151508468246</v>
      </c>
      <c r="I72" s="218">
        <v>2.1143739324003263E-2</v>
      </c>
      <c r="J72" s="218">
        <v>-0.11893928623580852</v>
      </c>
      <c r="K72" s="218">
        <v>-0.70501350982067335</v>
      </c>
      <c r="L72" s="218">
        <v>3.0042366860308922</v>
      </c>
      <c r="M72" s="218">
        <v>0.21461391615933412</v>
      </c>
      <c r="N72" s="218">
        <v>-5.9172424021913805E-2</v>
      </c>
      <c r="O72" s="218">
        <v>-0.37031158900053818</v>
      </c>
      <c r="P72" s="218">
        <v>3.9984278751952873</v>
      </c>
    </row>
    <row r="73" spans="1:16" ht="11.25" customHeight="1">
      <c r="B73" s="77"/>
      <c r="C73" s="443">
        <v>2017</v>
      </c>
      <c r="D73" s="442"/>
      <c r="E73" s="218">
        <v>1.8164804278335778</v>
      </c>
      <c r="F73" s="218">
        <v>2.0144293547106118</v>
      </c>
      <c r="G73" s="218">
        <v>0.26838791785928073</v>
      </c>
      <c r="H73" s="218">
        <v>4.408779754821901</v>
      </c>
      <c r="I73" s="218">
        <v>2.1471269799109072</v>
      </c>
      <c r="J73" s="218">
        <v>2.3346342857645697</v>
      </c>
      <c r="K73" s="218">
        <v>0.66953714962687538</v>
      </c>
      <c r="L73" s="218">
        <v>4.6305494804667502</v>
      </c>
      <c r="M73" s="218">
        <v>1.6924262488054342</v>
      </c>
      <c r="N73" s="218">
        <v>2.2025175640778327</v>
      </c>
      <c r="O73" s="218">
        <v>-0.6632681934768514</v>
      </c>
      <c r="P73" s="218">
        <v>3.7166265504403828</v>
      </c>
    </row>
    <row r="74" spans="1:16" ht="11.25" customHeight="1">
      <c r="B74" s="77"/>
      <c r="C74" s="447">
        <v>2018</v>
      </c>
      <c r="D74" s="448"/>
      <c r="E74" s="449">
        <v>-1.8309536622232891</v>
      </c>
      <c r="F74" s="449">
        <v>-2.5847159911657536</v>
      </c>
      <c r="G74" s="449">
        <v>-0.8087523433368049</v>
      </c>
      <c r="H74" s="449">
        <v>0.89413997965859249</v>
      </c>
      <c r="I74" s="449">
        <v>-1.8621454098875834</v>
      </c>
      <c r="J74" s="449">
        <v>-2.6178257374359304</v>
      </c>
      <c r="K74" s="449">
        <v>-0.84445661988731269</v>
      </c>
      <c r="L74" s="449">
        <v>0.88989432650024014</v>
      </c>
      <c r="M74" s="449">
        <v>-1.3410290310573281</v>
      </c>
      <c r="N74" s="449">
        <v>-2.521186186165647</v>
      </c>
      <c r="O74" s="449">
        <v>0.56640060022656868</v>
      </c>
      <c r="P74" s="449">
        <v>3.0849018521952321</v>
      </c>
    </row>
    <row r="75" spans="1:16">
      <c r="B75" s="7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B76" s="77"/>
    </row>
    <row r="77" spans="1:16">
      <c r="B77" s="77"/>
    </row>
    <row r="78" spans="1:16">
      <c r="B78" s="77"/>
    </row>
    <row r="79" spans="1:16">
      <c r="B79" s="77"/>
    </row>
    <row r="80" spans="1:16">
      <c r="B80" s="77"/>
    </row>
    <row r="81" spans="2:2">
      <c r="B81" s="77"/>
    </row>
    <row r="82" spans="2:2" ht="12.75" customHeight="1">
      <c r="B82" s="77"/>
    </row>
    <row r="83" spans="2:2">
      <c r="B83" s="77"/>
    </row>
    <row r="84" spans="2:2">
      <c r="B84" s="77"/>
    </row>
    <row r="85" spans="2:2">
      <c r="B85" s="77"/>
    </row>
    <row r="86" spans="2:2">
      <c r="B86" s="77"/>
    </row>
    <row r="144" spans="2:2">
      <c r="B144" s="73"/>
    </row>
    <row r="145" spans="2:2">
      <c r="B145" s="73"/>
    </row>
    <row r="147" spans="2:2">
      <c r="B147" s="73"/>
    </row>
    <row r="148" spans="2:2">
      <c r="B148" s="73"/>
    </row>
    <row r="149" spans="2:2">
      <c r="B149" s="73"/>
    </row>
    <row r="150" spans="2:2">
      <c r="B150" s="73"/>
    </row>
    <row r="151" spans="2:2">
      <c r="B151" s="73"/>
    </row>
    <row r="152" spans="2:2">
      <c r="B152" s="73"/>
    </row>
    <row r="153" spans="2:2">
      <c r="B153" s="73"/>
    </row>
    <row r="154" spans="2:2">
      <c r="B154" s="73"/>
    </row>
    <row r="155" spans="2:2">
      <c r="B155" s="73"/>
    </row>
    <row r="156" spans="2:2">
      <c r="B156" s="73"/>
    </row>
    <row r="157" spans="2:2">
      <c r="B157" s="73"/>
    </row>
    <row r="158" spans="2:2">
      <c r="B158" s="73"/>
    </row>
    <row r="159" spans="2:2">
      <c r="B159" s="73"/>
    </row>
    <row r="160" spans="2:2">
      <c r="B160" s="73"/>
    </row>
    <row r="161" spans="2:2">
      <c r="B161" s="73"/>
    </row>
    <row r="162" spans="2:2">
      <c r="B162" s="73"/>
    </row>
    <row r="163" spans="2:2">
      <c r="B163" s="73"/>
    </row>
    <row r="164" spans="2:2">
      <c r="B164" s="73"/>
    </row>
    <row r="165" spans="2:2">
      <c r="B165" s="73"/>
    </row>
    <row r="166" spans="2:2">
      <c r="B166" s="73"/>
    </row>
    <row r="167" spans="2:2">
      <c r="B167" s="73"/>
    </row>
    <row r="168" spans="2:2">
      <c r="B168" s="73"/>
    </row>
    <row r="169" spans="2:2">
      <c r="B169" s="73"/>
    </row>
    <row r="170" spans="2:2">
      <c r="B170" s="73"/>
    </row>
    <row r="172" spans="2:2">
      <c r="B172" s="73"/>
    </row>
    <row r="173" spans="2:2">
      <c r="B173" s="73"/>
    </row>
    <row r="174" spans="2:2">
      <c r="B174" s="73"/>
    </row>
    <row r="175" spans="2:2">
      <c r="B175" s="73"/>
    </row>
    <row r="176" spans="2:2">
      <c r="B176" s="73"/>
    </row>
    <row r="177" spans="2:2">
      <c r="B177" s="73"/>
    </row>
    <row r="178" spans="2:2">
      <c r="B178" s="73"/>
    </row>
    <row r="179" spans="2:2">
      <c r="B179" s="73"/>
    </row>
    <row r="180" spans="2:2">
      <c r="B180" s="73"/>
    </row>
    <row r="181" spans="2:2">
      <c r="B181" s="73"/>
    </row>
    <row r="182" spans="2:2">
      <c r="B182" s="73"/>
    </row>
    <row r="183" spans="2:2">
      <c r="B183" s="73"/>
    </row>
    <row r="184" spans="2:2">
      <c r="B184" s="73"/>
    </row>
    <row r="185" spans="2:2">
      <c r="B185" s="73"/>
    </row>
    <row r="186" spans="2:2">
      <c r="B186" s="73"/>
    </row>
    <row r="187" spans="2:2">
      <c r="B187" s="73"/>
    </row>
    <row r="188" spans="2:2">
      <c r="B188" s="73"/>
    </row>
    <row r="189" spans="2:2">
      <c r="B189" s="73"/>
    </row>
    <row r="190" spans="2:2">
      <c r="B190" s="73"/>
    </row>
    <row r="191" spans="2:2">
      <c r="B191" s="73"/>
    </row>
    <row r="192" spans="2:2">
      <c r="B192" s="73"/>
    </row>
    <row r="193" spans="2:2">
      <c r="B193" s="73"/>
    </row>
    <row r="194" spans="2:2">
      <c r="B194" s="73"/>
    </row>
    <row r="195" spans="2:2">
      <c r="B195" s="73"/>
    </row>
    <row r="196" spans="2:2">
      <c r="B196" s="73"/>
    </row>
    <row r="197" spans="2:2">
      <c r="B197" s="73"/>
    </row>
    <row r="198" spans="2:2">
      <c r="B198" s="73"/>
    </row>
    <row r="199" spans="2:2">
      <c r="B199" s="73"/>
    </row>
    <row r="200" spans="2:2">
      <c r="B200" s="73"/>
    </row>
    <row r="201" spans="2:2">
      <c r="B201" s="73"/>
    </row>
    <row r="202" spans="2:2">
      <c r="B202" s="73"/>
    </row>
    <row r="203" spans="2:2">
      <c r="B203" s="73"/>
    </row>
    <row r="204" spans="2:2">
      <c r="B204" s="73"/>
    </row>
    <row r="205" spans="2:2">
      <c r="B205" s="73"/>
    </row>
    <row r="206" spans="2:2">
      <c r="B206" s="73"/>
    </row>
    <row r="207" spans="2:2">
      <c r="B207" s="73"/>
    </row>
    <row r="208" spans="2:2">
      <c r="B208" s="73"/>
    </row>
    <row r="209" spans="2:2">
      <c r="B209" s="73"/>
    </row>
    <row r="210" spans="2:2">
      <c r="B210" s="73"/>
    </row>
    <row r="211" spans="2:2">
      <c r="B211" s="73"/>
    </row>
    <row r="217" spans="2:2">
      <c r="B217" s="73"/>
    </row>
    <row r="218" spans="2:2">
      <c r="B218" s="73"/>
    </row>
    <row r="219" spans="2:2">
      <c r="B219" s="73"/>
    </row>
    <row r="220" spans="2:2">
      <c r="B220" s="73"/>
    </row>
    <row r="221" spans="2:2">
      <c r="B221" s="73"/>
    </row>
    <row r="222" spans="2:2">
      <c r="B222" s="73"/>
    </row>
    <row r="239" spans="2:2">
      <c r="B239" s="73"/>
    </row>
    <row r="240" spans="2:2">
      <c r="B240" s="73"/>
    </row>
    <row r="241" spans="2:2">
      <c r="B241" s="73"/>
    </row>
    <row r="242" spans="2:2">
      <c r="B242" s="73"/>
    </row>
    <row r="243" spans="2:2">
      <c r="B243" s="73"/>
    </row>
    <row r="244" spans="2:2">
      <c r="B244" s="73"/>
    </row>
    <row r="245" spans="2:2">
      <c r="B245" s="73"/>
    </row>
    <row r="246" spans="2:2">
      <c r="B246" s="73"/>
    </row>
    <row r="247" spans="2:2">
      <c r="B247" s="73"/>
    </row>
    <row r="248" spans="2:2">
      <c r="B248" s="73"/>
    </row>
    <row r="250" spans="2:2">
      <c r="B250" s="73"/>
    </row>
    <row r="251" spans="2:2">
      <c r="B251" s="73"/>
    </row>
    <row r="252" spans="2:2">
      <c r="B252" s="73"/>
    </row>
    <row r="253" spans="2:2">
      <c r="B253" s="73"/>
    </row>
    <row r="254" spans="2:2">
      <c r="B254" s="73"/>
    </row>
    <row r="255" spans="2:2">
      <c r="B255" s="73"/>
    </row>
    <row r="256" spans="2:2">
      <c r="B256" s="73"/>
    </row>
    <row r="257" spans="2:2">
      <c r="B257" s="73"/>
    </row>
    <row r="258" spans="2:2">
      <c r="B258" s="73"/>
    </row>
    <row r="259" spans="2:2">
      <c r="B259" s="73"/>
    </row>
    <row r="260" spans="2:2">
      <c r="B260" s="73"/>
    </row>
    <row r="261" spans="2:2">
      <c r="B261" s="73"/>
    </row>
    <row r="262" spans="2:2">
      <c r="B262" s="73"/>
    </row>
    <row r="263" spans="2:2">
      <c r="B263" s="73"/>
    </row>
    <row r="264" spans="2:2">
      <c r="B264" s="73"/>
    </row>
    <row r="265" spans="2:2">
      <c r="B265" s="73"/>
    </row>
    <row r="266" spans="2:2">
      <c r="B266" s="73"/>
    </row>
    <row r="267" spans="2:2">
      <c r="B267" s="73"/>
    </row>
    <row r="268" spans="2:2">
      <c r="B268" s="73"/>
    </row>
    <row r="269" spans="2:2">
      <c r="B269" s="73"/>
    </row>
    <row r="270" spans="2:2">
      <c r="B270" s="73"/>
    </row>
    <row r="271" spans="2:2">
      <c r="B271" s="73"/>
    </row>
    <row r="272" spans="2:2">
      <c r="B272" s="73"/>
    </row>
    <row r="273" spans="2:2">
      <c r="B273" s="73"/>
    </row>
    <row r="274" spans="2:2">
      <c r="B274" s="73"/>
    </row>
    <row r="275" spans="2:2">
      <c r="B275" s="73"/>
    </row>
    <row r="276" spans="2:2">
      <c r="B276" s="73"/>
    </row>
    <row r="277" spans="2:2">
      <c r="B277" s="73"/>
    </row>
    <row r="278" spans="2:2">
      <c r="B278" s="73"/>
    </row>
    <row r="279" spans="2:2">
      <c r="B279" s="73"/>
    </row>
    <row r="280" spans="2:2">
      <c r="B280" s="73"/>
    </row>
    <row r="281" spans="2:2">
      <c r="B281" s="73"/>
    </row>
    <row r="282" spans="2:2">
      <c r="B282" s="73"/>
    </row>
    <row r="283" spans="2:2">
      <c r="B283" s="73"/>
    </row>
    <row r="284" spans="2:2">
      <c r="B284" s="73"/>
    </row>
    <row r="285" spans="2:2">
      <c r="B285" s="73"/>
    </row>
    <row r="286" spans="2:2">
      <c r="B286" s="73"/>
    </row>
    <row r="287" spans="2:2">
      <c r="B287" s="73"/>
    </row>
    <row r="288" spans="2:2">
      <c r="B288" s="73"/>
    </row>
    <row r="289" spans="2:2">
      <c r="B289" s="73"/>
    </row>
    <row r="295" spans="2:2">
      <c r="B295" s="73"/>
    </row>
    <row r="296" spans="2:2">
      <c r="B296" s="73"/>
    </row>
    <row r="297" spans="2:2">
      <c r="B297" s="73"/>
    </row>
    <row r="298" spans="2:2">
      <c r="B298" s="73"/>
    </row>
    <row r="299" spans="2:2">
      <c r="B299" s="73"/>
    </row>
    <row r="300" spans="2:2">
      <c r="B300" s="73"/>
    </row>
    <row r="301" spans="2:2">
      <c r="B301" s="73"/>
    </row>
  </sheetData>
  <mergeCells count="3">
    <mergeCell ref="E69:H69"/>
    <mergeCell ref="I69:L69"/>
    <mergeCell ref="M69:P69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9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69" customWidth="1"/>
    <col min="3" max="3" width="22.7109375" customWidth="1"/>
  </cols>
  <sheetData>
    <row r="1" spans="2:11" s="69" customFormat="1" ht="21.75" customHeight="1">
      <c r="F1" s="70"/>
      <c r="J1" s="71" t="s">
        <v>87</v>
      </c>
    </row>
    <row r="2" spans="2:11" s="69" customFormat="1" ht="15" customHeight="1">
      <c r="F2" s="70"/>
      <c r="J2" s="225" t="s">
        <v>119</v>
      </c>
    </row>
    <row r="3" spans="2:11" s="69" customFormat="1" ht="19.899999999999999" customHeight="1">
      <c r="D3" s="72"/>
    </row>
    <row r="4" spans="2:11" s="73" customFormat="1" ht="12" customHeight="1">
      <c r="B4" s="77"/>
      <c r="C4" s="69"/>
    </row>
    <row r="5" spans="2:11">
      <c r="B5" s="77"/>
      <c r="C5" s="645" t="s">
        <v>144</v>
      </c>
      <c r="D5" s="645"/>
      <c r="E5" s="645"/>
      <c r="F5" s="645"/>
      <c r="G5" s="206"/>
      <c r="H5" s="206"/>
      <c r="I5" s="206"/>
      <c r="J5" s="207"/>
    </row>
    <row r="6" spans="2:11">
      <c r="B6" s="77"/>
      <c r="C6" s="194"/>
      <c r="D6" s="194"/>
      <c r="E6" s="194"/>
      <c r="F6" s="208">
        <v>2014</v>
      </c>
      <c r="G6" s="208">
        <v>2015</v>
      </c>
      <c r="H6" s="208">
        <v>2016</v>
      </c>
      <c r="I6" s="208">
        <v>2017</v>
      </c>
      <c r="J6" s="208" t="s">
        <v>148</v>
      </c>
    </row>
    <row r="7" spans="2:11">
      <c r="B7" s="77"/>
      <c r="C7" s="649" t="s">
        <v>33</v>
      </c>
      <c r="D7" s="196" t="s">
        <v>57</v>
      </c>
      <c r="E7" s="196" t="s">
        <v>43</v>
      </c>
      <c r="F7" s="197">
        <v>21093.512000000002</v>
      </c>
      <c r="G7" s="197">
        <v>21183.826000000001</v>
      </c>
      <c r="H7" s="197">
        <v>21618.968000000001</v>
      </c>
      <c r="I7" s="197">
        <v>21727.929</v>
      </c>
      <c r="J7" s="197">
        <v>21729.688999999998</v>
      </c>
    </row>
    <row r="8" spans="2:11">
      <c r="B8" s="77"/>
      <c r="C8" s="650"/>
      <c r="D8" s="196"/>
      <c r="E8" s="196" t="s">
        <v>34</v>
      </c>
      <c r="F8" s="197">
        <v>0</v>
      </c>
      <c r="G8" s="197">
        <v>0</v>
      </c>
      <c r="H8" s="197">
        <v>0</v>
      </c>
      <c r="I8" s="197">
        <v>0</v>
      </c>
      <c r="J8" s="197">
        <v>0</v>
      </c>
    </row>
    <row r="9" spans="2:11">
      <c r="B9" s="77"/>
      <c r="C9" s="650"/>
      <c r="D9" s="196"/>
      <c r="E9" s="198" t="s">
        <v>32</v>
      </c>
      <c r="F9" s="199">
        <f>SUM(F7:F8)</f>
        <v>21093.512000000002</v>
      </c>
      <c r="G9" s="199">
        <f>SUM(G7:G8)</f>
        <v>21183.826000000001</v>
      </c>
      <c r="H9" s="199">
        <f>SUM(H7:H8)</f>
        <v>21618.968000000001</v>
      </c>
      <c r="I9" s="199">
        <f>SUM(I7:I8)</f>
        <v>21727.929</v>
      </c>
      <c r="J9" s="199">
        <f>SUM(J7:J8)</f>
        <v>21729.688999999998</v>
      </c>
      <c r="K9" s="410"/>
    </row>
    <row r="10" spans="2:11">
      <c r="B10" s="77"/>
      <c r="C10" s="650"/>
      <c r="D10" s="196"/>
      <c r="E10" s="196"/>
      <c r="F10" s="197"/>
      <c r="G10" s="199"/>
      <c r="H10" s="199"/>
      <c r="I10" s="199"/>
      <c r="J10" s="199"/>
    </row>
    <row r="11" spans="2:11">
      <c r="B11" s="77"/>
      <c r="C11" s="650" t="s">
        <v>55</v>
      </c>
      <c r="D11" s="196" t="s">
        <v>57</v>
      </c>
      <c r="E11" s="196" t="s">
        <v>43</v>
      </c>
      <c r="F11" s="197">
        <v>18675.612560000005</v>
      </c>
      <c r="G11" s="197">
        <v>18815.915560000005</v>
      </c>
      <c r="H11" s="197">
        <v>18903.892560000008</v>
      </c>
      <c r="I11" s="197">
        <v>18929.255270000005</v>
      </c>
      <c r="J11" s="197">
        <v>19023.547270000006</v>
      </c>
    </row>
    <row r="12" spans="2:11">
      <c r="B12" s="77"/>
      <c r="C12" s="650"/>
      <c r="D12" s="196"/>
      <c r="E12" s="196" t="s">
        <v>34</v>
      </c>
      <c r="F12" s="197">
        <v>109.346</v>
      </c>
      <c r="G12" s="197">
        <v>109.346</v>
      </c>
      <c r="H12" s="197">
        <v>109.346</v>
      </c>
      <c r="I12" s="197">
        <v>109.346</v>
      </c>
      <c r="J12" s="197">
        <v>109.346</v>
      </c>
    </row>
    <row r="13" spans="2:11">
      <c r="B13" s="77"/>
      <c r="C13" s="650"/>
      <c r="D13" s="196"/>
      <c r="E13" s="198" t="s">
        <v>32</v>
      </c>
      <c r="F13" s="199">
        <f>SUM(F11:F12)</f>
        <v>18784.958560000006</v>
      </c>
      <c r="G13" s="199">
        <f>SUM(G11:G12)</f>
        <v>18925.261560000006</v>
      </c>
      <c r="H13" s="199">
        <f>SUM(H11:H12)</f>
        <v>19013.238560000009</v>
      </c>
      <c r="I13" s="199">
        <f>SUM(I11:I12)</f>
        <v>19038.601270000006</v>
      </c>
      <c r="J13" s="199">
        <f>SUM(J11:J12)</f>
        <v>19132.893270000008</v>
      </c>
      <c r="K13" s="410"/>
    </row>
    <row r="14" spans="2:11">
      <c r="B14" s="77"/>
      <c r="C14" s="650"/>
      <c r="D14" s="196"/>
      <c r="E14" s="196"/>
      <c r="F14" s="197"/>
      <c r="G14" s="197"/>
      <c r="H14" s="197"/>
      <c r="I14" s="197"/>
      <c r="J14" s="197"/>
    </row>
    <row r="15" spans="2:11">
      <c r="B15" s="77"/>
      <c r="C15" s="650"/>
      <c r="D15" s="195" t="s">
        <v>37</v>
      </c>
      <c r="E15" s="196" t="s">
        <v>43</v>
      </c>
      <c r="F15" s="197">
        <v>1516.857</v>
      </c>
      <c r="G15" s="197">
        <v>1645.567</v>
      </c>
      <c r="H15" s="197">
        <v>1771.9209999999998</v>
      </c>
      <c r="I15" s="197">
        <v>1780.204</v>
      </c>
      <c r="J15" s="197">
        <v>1825.5069999999998</v>
      </c>
    </row>
    <row r="16" spans="2:11">
      <c r="B16" s="77"/>
      <c r="C16" s="650"/>
      <c r="D16" s="195"/>
      <c r="E16" s="195" t="s">
        <v>34</v>
      </c>
      <c r="F16" s="197">
        <v>28.114999999999998</v>
      </c>
      <c r="G16" s="197">
        <v>28.114999999999998</v>
      </c>
      <c r="H16" s="197">
        <v>28.114999999999998</v>
      </c>
      <c r="I16" s="197">
        <v>28.114999999999998</v>
      </c>
      <c r="J16" s="197">
        <v>28.114999999999998</v>
      </c>
    </row>
    <row r="17" spans="2:11">
      <c r="B17" s="77"/>
      <c r="C17" s="650"/>
      <c r="D17" s="195"/>
      <c r="E17" s="198" t="s">
        <v>32</v>
      </c>
      <c r="F17" s="199">
        <f>SUM(F15:F16)</f>
        <v>1544.972</v>
      </c>
      <c r="G17" s="199">
        <f>SUM(G15:G16)</f>
        <v>1673.682</v>
      </c>
      <c r="H17" s="199">
        <f>SUM(H15:H16)</f>
        <v>1800.0359999999998</v>
      </c>
      <c r="I17" s="199">
        <f>SUM(I15:I16)</f>
        <v>1808.319</v>
      </c>
      <c r="J17" s="199">
        <f>SUM(J15:J16)</f>
        <v>1853.6219999999998</v>
      </c>
      <c r="K17" s="410"/>
    </row>
    <row r="18" spans="2:11">
      <c r="B18" s="77"/>
      <c r="C18" s="650"/>
      <c r="D18" s="195"/>
      <c r="E18" s="195"/>
      <c r="F18" s="197"/>
      <c r="G18" s="197"/>
      <c r="H18" s="197"/>
      <c r="I18" s="197"/>
      <c r="J18" s="197"/>
    </row>
    <row r="19" spans="2:11">
      <c r="B19" s="77"/>
      <c r="C19" s="650"/>
      <c r="D19" s="195" t="s">
        <v>38</v>
      </c>
      <c r="E19" s="195" t="s">
        <v>43</v>
      </c>
      <c r="F19" s="224">
        <v>1289.135</v>
      </c>
      <c r="G19" s="224">
        <v>1346.9589999999998</v>
      </c>
      <c r="H19" s="224">
        <v>1354.1649999999997</v>
      </c>
      <c r="I19" s="224">
        <v>1355.0969999999998</v>
      </c>
      <c r="J19" s="224">
        <v>1490.559</v>
      </c>
    </row>
    <row r="20" spans="2:11">
      <c r="B20" s="77"/>
      <c r="C20" s="650"/>
      <c r="D20" s="195"/>
      <c r="E20" s="195" t="s">
        <v>34</v>
      </c>
      <c r="F20" s="224" t="s">
        <v>0</v>
      </c>
      <c r="G20" s="224" t="s">
        <v>0</v>
      </c>
      <c r="H20" s="224" t="s">
        <v>0</v>
      </c>
      <c r="I20" s="224" t="s">
        <v>0</v>
      </c>
      <c r="J20" s="224" t="s">
        <v>0</v>
      </c>
    </row>
    <row r="21" spans="2:11">
      <c r="B21" s="77"/>
      <c r="C21" s="650"/>
      <c r="D21" s="195"/>
      <c r="E21" s="198" t="s">
        <v>32</v>
      </c>
      <c r="F21" s="199">
        <f>SUM(F19:F20)</f>
        <v>1289.135</v>
      </c>
      <c r="G21" s="199">
        <f>SUM(G19:G20)</f>
        <v>1346.9589999999998</v>
      </c>
      <c r="H21" s="199">
        <f>SUM(H19:H20)</f>
        <v>1354.1649999999997</v>
      </c>
      <c r="I21" s="199">
        <f>SUM(I19:I20)</f>
        <v>1355.0969999999998</v>
      </c>
      <c r="J21" s="199">
        <f>SUM(J19:J20)</f>
        <v>1490.559</v>
      </c>
      <c r="K21" s="410"/>
    </row>
    <row r="22" spans="2:11" ht="12.75" customHeight="1">
      <c r="B22" s="77"/>
      <c r="C22" s="200"/>
      <c r="D22" s="195"/>
      <c r="E22" s="198"/>
      <c r="F22" s="197"/>
      <c r="G22" s="197"/>
      <c r="H22" s="197"/>
      <c r="I22" s="197"/>
      <c r="J22" s="197"/>
    </row>
    <row r="23" spans="2:11" ht="12.75" customHeight="1">
      <c r="B23" s="77"/>
      <c r="C23" s="201" t="s">
        <v>143</v>
      </c>
      <c r="D23" s="202"/>
      <c r="E23" s="203"/>
      <c r="F23" s="204">
        <f>F9+F13+F17+F21</f>
        <v>42712.577560000012</v>
      </c>
      <c r="G23" s="204">
        <f>G9+G13+G17+G21</f>
        <v>43129.72856000001</v>
      </c>
      <c r="H23" s="204">
        <f>H9+H13+H17+H21</f>
        <v>43786.407560000007</v>
      </c>
      <c r="I23" s="204">
        <f>I9+I13+I17+I21</f>
        <v>43929.946270000008</v>
      </c>
      <c r="J23" s="204">
        <f>J9+J13+J17+J21</f>
        <v>44206.76327000001</v>
      </c>
      <c r="K23" s="410"/>
    </row>
    <row r="24" spans="2:11">
      <c r="B24" s="77"/>
      <c r="F24" s="410"/>
      <c r="G24" s="410"/>
      <c r="H24" s="410"/>
      <c r="I24" s="410"/>
      <c r="J24" s="410"/>
    </row>
    <row r="25" spans="2:11">
      <c r="C25" s="645" t="s">
        <v>331</v>
      </c>
      <c r="D25" s="645"/>
      <c r="E25" s="645"/>
      <c r="F25" s="645"/>
    </row>
    <row r="26" spans="2:11">
      <c r="C26" s="194"/>
      <c r="D26" s="194"/>
      <c r="E26" s="194"/>
      <c r="F26" s="208">
        <v>2014</v>
      </c>
      <c r="G26" s="208">
        <v>2015</v>
      </c>
      <c r="H26" s="208">
        <v>2016</v>
      </c>
      <c r="I26" s="208">
        <v>2017</v>
      </c>
      <c r="J26" s="208" t="s">
        <v>148</v>
      </c>
    </row>
    <row r="27" spans="2:11">
      <c r="C27" s="649" t="s">
        <v>33</v>
      </c>
      <c r="D27" s="196" t="s">
        <v>57</v>
      </c>
      <c r="E27" s="196" t="s">
        <v>43</v>
      </c>
      <c r="F27" s="197">
        <f>F7</f>
        <v>21093.512000000002</v>
      </c>
      <c r="G27" s="197">
        <f t="shared" ref="G27:J27" si="0">G7</f>
        <v>21183.826000000001</v>
      </c>
      <c r="H27" s="197">
        <f t="shared" si="0"/>
        <v>21618.968000000001</v>
      </c>
      <c r="I27" s="197">
        <f t="shared" si="0"/>
        <v>21727.929</v>
      </c>
      <c r="J27" s="197">
        <f t="shared" si="0"/>
        <v>21729.688999999998</v>
      </c>
    </row>
    <row r="28" spans="2:11">
      <c r="C28" s="650"/>
      <c r="D28" s="196"/>
      <c r="E28" s="196" t="s">
        <v>34</v>
      </c>
      <c r="F28" s="197">
        <f>F8</f>
        <v>0</v>
      </c>
      <c r="G28" s="197">
        <f t="shared" ref="G28:J28" si="1">G8</f>
        <v>0</v>
      </c>
      <c r="H28" s="197">
        <f t="shared" si="1"/>
        <v>0</v>
      </c>
      <c r="I28" s="197">
        <f t="shared" si="1"/>
        <v>0</v>
      </c>
      <c r="J28" s="197">
        <f t="shared" si="1"/>
        <v>0</v>
      </c>
    </row>
    <row r="29" spans="2:11">
      <c r="C29" s="650"/>
      <c r="D29" s="196"/>
      <c r="E29" s="198" t="s">
        <v>32</v>
      </c>
      <c r="F29" s="199">
        <f>SUM(F27:F28)</f>
        <v>21093.512000000002</v>
      </c>
      <c r="G29" s="199">
        <f>SUM(G27:G28)</f>
        <v>21183.826000000001</v>
      </c>
      <c r="H29" s="199">
        <f>SUM(H27:H28)</f>
        <v>21618.968000000001</v>
      </c>
      <c r="I29" s="199">
        <f>SUM(I27:I28)</f>
        <v>21727.929</v>
      </c>
      <c r="J29" s="199">
        <f>SUM(J27:J28)</f>
        <v>21729.688999999998</v>
      </c>
    </row>
    <row r="30" spans="2:11">
      <c r="C30" s="650" t="s">
        <v>55</v>
      </c>
      <c r="D30" s="196" t="s">
        <v>57</v>
      </c>
      <c r="E30" s="196" t="s">
        <v>43</v>
      </c>
      <c r="F30" s="197">
        <f>F11</f>
        <v>18675.612560000005</v>
      </c>
      <c r="G30" s="197">
        <f t="shared" ref="G30:J30" si="2">G11</f>
        <v>18815.915560000005</v>
      </c>
      <c r="H30" s="197">
        <f t="shared" si="2"/>
        <v>18903.892560000008</v>
      </c>
      <c r="I30" s="197">
        <f t="shared" si="2"/>
        <v>18929.255270000005</v>
      </c>
      <c r="J30" s="197">
        <f t="shared" si="2"/>
        <v>19023.547270000006</v>
      </c>
    </row>
    <row r="31" spans="2:11">
      <c r="C31" s="650"/>
      <c r="D31" s="196"/>
      <c r="E31" s="196" t="s">
        <v>34</v>
      </c>
      <c r="F31" s="197">
        <f>F12</f>
        <v>109.346</v>
      </c>
      <c r="G31" s="197">
        <f t="shared" ref="G31:J31" si="3">G12</f>
        <v>109.346</v>
      </c>
      <c r="H31" s="197">
        <f t="shared" si="3"/>
        <v>109.346</v>
      </c>
      <c r="I31" s="197">
        <f t="shared" si="3"/>
        <v>109.346</v>
      </c>
      <c r="J31" s="197">
        <f t="shared" si="3"/>
        <v>109.346</v>
      </c>
    </row>
    <row r="32" spans="2:11" ht="12.75" customHeight="1">
      <c r="C32" s="650"/>
      <c r="D32" s="196"/>
      <c r="E32" s="198" t="s">
        <v>32</v>
      </c>
      <c r="F32" s="199">
        <f>SUM(F30:F31)</f>
        <v>18784.958560000006</v>
      </c>
      <c r="G32" s="199">
        <f>SUM(G30:G31)</f>
        <v>18925.261560000006</v>
      </c>
      <c r="H32" s="199">
        <f>SUM(H30:H31)</f>
        <v>19013.238560000009</v>
      </c>
      <c r="I32" s="199">
        <f>SUM(I30:I31)</f>
        <v>19038.601270000006</v>
      </c>
      <c r="J32" s="199">
        <f>SUM(J30:J31)</f>
        <v>19132.893270000008</v>
      </c>
    </row>
    <row r="33" spans="3:10" ht="12.75" customHeight="1">
      <c r="C33" s="353" t="s">
        <v>143</v>
      </c>
      <c r="D33" s="354"/>
      <c r="E33" s="195"/>
      <c r="F33" s="355">
        <f>SUM(F29,F32)</f>
        <v>39878.470560000009</v>
      </c>
      <c r="G33" s="355">
        <f t="shared" ref="G33:J33" si="4">SUM(G29,G32)</f>
        <v>40109.087560000007</v>
      </c>
      <c r="H33" s="355">
        <f t="shared" si="4"/>
        <v>40632.206560000006</v>
      </c>
      <c r="I33" s="355">
        <f t="shared" si="4"/>
        <v>40766.530270000003</v>
      </c>
      <c r="J33" s="355">
        <f t="shared" si="4"/>
        <v>40862.582270000006</v>
      </c>
    </row>
    <row r="34" spans="3:10" ht="22.5">
      <c r="C34" s="201" t="s">
        <v>282</v>
      </c>
      <c r="D34" s="202"/>
      <c r="E34" s="203"/>
      <c r="F34" s="204">
        <v>79271.48</v>
      </c>
      <c r="G34" s="204">
        <v>79271.48</v>
      </c>
      <c r="H34" s="204">
        <v>79871.48</v>
      </c>
      <c r="I34" s="204">
        <v>80421.48</v>
      </c>
      <c r="J34" s="204">
        <v>82103.48</v>
      </c>
    </row>
    <row r="35" spans="3:10">
      <c r="F35" s="409"/>
      <c r="G35" s="409"/>
      <c r="H35" s="409"/>
      <c r="I35" s="409"/>
      <c r="J35" s="409"/>
    </row>
    <row r="36" spans="3:10">
      <c r="C36" s="645" t="s">
        <v>330</v>
      </c>
      <c r="D36" s="645"/>
      <c r="E36" s="645"/>
      <c r="F36" s="645"/>
    </row>
    <row r="37" spans="3:10">
      <c r="C37" s="194"/>
      <c r="D37" s="194"/>
      <c r="E37" s="194"/>
      <c r="F37" s="208">
        <v>2014</v>
      </c>
      <c r="G37" s="208">
        <v>2015</v>
      </c>
      <c r="H37" s="208">
        <v>2016</v>
      </c>
      <c r="I37" s="208">
        <v>2017</v>
      </c>
      <c r="J37" s="208" t="s">
        <v>148</v>
      </c>
    </row>
    <row r="38" spans="3:10">
      <c r="C38" s="649" t="s">
        <v>329</v>
      </c>
      <c r="D38" s="196" t="s">
        <v>37</v>
      </c>
      <c r="E38" s="196"/>
      <c r="F38" s="197">
        <v>431.08800000000002</v>
      </c>
      <c r="G38" s="197">
        <v>431.36</v>
      </c>
      <c r="H38" s="197">
        <v>432.214</v>
      </c>
      <c r="I38" s="197">
        <v>432.214</v>
      </c>
      <c r="J38" s="197">
        <v>432.214</v>
      </c>
    </row>
    <row r="39" spans="3:10">
      <c r="C39" s="650"/>
      <c r="D39" s="196" t="s">
        <v>38</v>
      </c>
      <c r="E39" s="196"/>
      <c r="F39" s="197">
        <v>163.35300000000001</v>
      </c>
      <c r="G39" s="197">
        <v>215.86700000000002</v>
      </c>
      <c r="H39" s="197">
        <v>220.24300000000002</v>
      </c>
      <c r="I39" s="197">
        <v>220.24300000000002</v>
      </c>
      <c r="J39" s="197">
        <v>238.03400000000002</v>
      </c>
    </row>
    <row r="40" spans="3:10">
      <c r="C40" s="650"/>
      <c r="D40" s="198" t="s">
        <v>32</v>
      </c>
      <c r="E40" s="198"/>
      <c r="F40" s="199">
        <f>SUM(F38:F39)</f>
        <v>594.44100000000003</v>
      </c>
      <c r="G40" s="199">
        <f t="shared" ref="G40:J40" si="5">SUM(G38:G39)</f>
        <v>647.22700000000009</v>
      </c>
      <c r="H40" s="199">
        <f t="shared" si="5"/>
        <v>652.45699999999999</v>
      </c>
      <c r="I40" s="199">
        <f t="shared" si="5"/>
        <v>652.45699999999999</v>
      </c>
      <c r="J40" s="199">
        <f t="shared" si="5"/>
        <v>670.24800000000005</v>
      </c>
    </row>
    <row r="41" spans="3:10">
      <c r="C41" s="650" t="s">
        <v>462</v>
      </c>
      <c r="D41" s="196" t="s">
        <v>37</v>
      </c>
      <c r="E41" s="196"/>
      <c r="F41" s="197">
        <v>220.21600000000001</v>
      </c>
      <c r="G41" s="197">
        <v>346.05899999999997</v>
      </c>
      <c r="H41" s="197">
        <v>471.55900000000003</v>
      </c>
      <c r="I41" s="197">
        <v>471.55900000000003</v>
      </c>
      <c r="J41" s="197">
        <v>516.86199999999997</v>
      </c>
    </row>
    <row r="42" spans="3:10">
      <c r="C42" s="650"/>
      <c r="D42" s="196" t="s">
        <v>38</v>
      </c>
      <c r="E42" s="196"/>
      <c r="F42" s="224" t="s">
        <v>0</v>
      </c>
      <c r="G42" s="224" t="s">
        <v>0</v>
      </c>
      <c r="H42" s="224" t="s">
        <v>0</v>
      </c>
      <c r="I42" s="224" t="s">
        <v>0</v>
      </c>
      <c r="J42" s="224">
        <v>68.748000000000005</v>
      </c>
    </row>
    <row r="43" spans="3:10">
      <c r="C43" s="650"/>
      <c r="D43" s="198" t="s">
        <v>32</v>
      </c>
      <c r="E43" s="196"/>
      <c r="F43" s="199">
        <f>SUM(F41:F42)</f>
        <v>220.21600000000001</v>
      </c>
      <c r="G43" s="199">
        <f t="shared" ref="G43" si="6">SUM(G41:G42)</f>
        <v>346.05899999999997</v>
      </c>
      <c r="H43" s="199">
        <f t="shared" ref="H43" si="7">SUM(H41:H42)</f>
        <v>471.55900000000003</v>
      </c>
      <c r="I43" s="199">
        <f t="shared" ref="I43" si="8">SUM(I41:I42)</f>
        <v>471.55900000000003</v>
      </c>
      <c r="J43" s="199">
        <f t="shared" ref="J43" si="9">SUM(J41:J42)</f>
        <v>585.61</v>
      </c>
    </row>
    <row r="44" spans="3:10">
      <c r="C44" s="650" t="s">
        <v>463</v>
      </c>
      <c r="D44" s="196" t="s">
        <v>37</v>
      </c>
      <c r="E44" s="196"/>
      <c r="F44" s="197">
        <v>893.66800000000001</v>
      </c>
      <c r="G44" s="197">
        <v>896.26300000000003</v>
      </c>
      <c r="H44" s="197">
        <v>896.26300000000003</v>
      </c>
      <c r="I44" s="197">
        <v>904.54600000000005</v>
      </c>
      <c r="J44" s="197">
        <v>904.54600000000005</v>
      </c>
    </row>
    <row r="45" spans="3:10">
      <c r="C45" s="650"/>
      <c r="D45" s="196" t="s">
        <v>38</v>
      </c>
      <c r="E45" s="196"/>
      <c r="F45" s="197">
        <v>1125.7819999999999</v>
      </c>
      <c r="G45" s="197">
        <v>1131.0919999999999</v>
      </c>
      <c r="H45" s="197">
        <v>1133.9219999999998</v>
      </c>
      <c r="I45" s="197">
        <v>1134.8539999999998</v>
      </c>
      <c r="J45" s="197">
        <v>1183.7769999999998</v>
      </c>
    </row>
    <row r="46" spans="3:10">
      <c r="C46" s="650"/>
      <c r="D46" s="198" t="s">
        <v>32</v>
      </c>
      <c r="E46" s="198"/>
      <c r="F46" s="199">
        <f>SUM(F44:F45)</f>
        <v>2019.4499999999998</v>
      </c>
      <c r="G46" s="199">
        <f t="shared" ref="G46" si="10">SUM(G44:G45)</f>
        <v>2027.355</v>
      </c>
      <c r="H46" s="199">
        <f t="shared" ref="H46" si="11">SUM(H44:H45)</f>
        <v>2030.1849999999999</v>
      </c>
      <c r="I46" s="199">
        <f t="shared" ref="I46" si="12">SUM(I44:I45)</f>
        <v>2039.3999999999999</v>
      </c>
      <c r="J46" s="199">
        <f t="shared" ref="J46" si="13">SUM(J44:J45)</f>
        <v>2088.3229999999999</v>
      </c>
    </row>
    <row r="47" spans="3:10">
      <c r="C47" s="651" t="s">
        <v>282</v>
      </c>
      <c r="D47" s="196" t="s">
        <v>37</v>
      </c>
      <c r="E47" s="196"/>
      <c r="F47" s="197">
        <v>2793</v>
      </c>
      <c r="G47" s="197">
        <v>3273</v>
      </c>
      <c r="H47" s="197">
        <v>3273</v>
      </c>
      <c r="I47" s="197">
        <v>3273</v>
      </c>
      <c r="J47" s="197">
        <v>3433</v>
      </c>
    </row>
    <row r="48" spans="3:10">
      <c r="C48" s="651"/>
      <c r="D48" s="196" t="s">
        <v>38</v>
      </c>
      <c r="E48" s="196"/>
      <c r="F48" s="197">
        <v>1875</v>
      </c>
      <c r="G48" s="197">
        <v>2000</v>
      </c>
      <c r="H48" s="197">
        <v>2000</v>
      </c>
      <c r="I48" s="197">
        <v>2560</v>
      </c>
      <c r="J48" s="197">
        <v>3310</v>
      </c>
    </row>
    <row r="49" spans="3:11">
      <c r="C49" s="652"/>
      <c r="D49" s="406" t="s">
        <v>32</v>
      </c>
      <c r="E49" s="406"/>
      <c r="F49" s="407">
        <f>SUM(F47:F48)</f>
        <v>4668</v>
      </c>
      <c r="G49" s="407">
        <f t="shared" ref="G49" si="14">SUM(G47:G48)</f>
        <v>5273</v>
      </c>
      <c r="H49" s="407">
        <f t="shared" ref="H49" si="15">SUM(H47:H48)</f>
        <v>5273</v>
      </c>
      <c r="I49" s="407">
        <f t="shared" ref="I49" si="16">SUM(I47:I48)</f>
        <v>5833</v>
      </c>
      <c r="J49" s="407">
        <f t="shared" ref="J49" si="17">SUM(J47:J48)</f>
        <v>6743</v>
      </c>
      <c r="K49" s="410"/>
    </row>
    <row r="50" spans="3:11">
      <c r="F50" s="477">
        <f>F23-SUM(F33,F40,F43,F46)</f>
        <v>0</v>
      </c>
      <c r="G50" s="477">
        <f>G23-SUM(G33,G40,G43,G46)</f>
        <v>0</v>
      </c>
      <c r="H50" s="477">
        <f>H23-SUM(H33,H40,H43,H46)</f>
        <v>0</v>
      </c>
      <c r="I50" s="477">
        <f>I23-SUM(I33,I40,I43,I46)</f>
        <v>0</v>
      </c>
      <c r="J50" s="477">
        <f>J23-SUM(J33,J40,J43,J46)</f>
        <v>0</v>
      </c>
    </row>
    <row r="51" spans="3:11">
      <c r="F51" s="410"/>
      <c r="G51" s="410"/>
      <c r="H51" s="410"/>
      <c r="I51" s="410"/>
      <c r="J51" s="410"/>
    </row>
    <row r="52" spans="3:11">
      <c r="F52" s="408"/>
      <c r="G52" s="408"/>
      <c r="H52" s="408"/>
      <c r="I52" s="408"/>
      <c r="J52" s="408"/>
    </row>
    <row r="82" spans="2:2">
      <c r="B82" s="205"/>
    </row>
    <row r="83" spans="2:2">
      <c r="B83" s="205"/>
    </row>
    <row r="84" spans="2:2">
      <c r="B84" s="205"/>
    </row>
    <row r="85" spans="2:2">
      <c r="B85" s="205"/>
    </row>
    <row r="86" spans="2:2">
      <c r="B86" s="205"/>
    </row>
    <row r="87" spans="2:2">
      <c r="B87" s="205"/>
    </row>
    <row r="88" spans="2:2">
      <c r="B88" s="205"/>
    </row>
    <row r="89" spans="2:2">
      <c r="B89" s="205"/>
    </row>
    <row r="90" spans="2:2">
      <c r="B90" s="205"/>
    </row>
    <row r="91" spans="2:2">
      <c r="B91" s="205"/>
    </row>
    <row r="92" spans="2:2">
      <c r="B92" s="205"/>
    </row>
    <row r="93" spans="2:2">
      <c r="B93" s="205"/>
    </row>
    <row r="94" spans="2:2">
      <c r="B94" s="205"/>
    </row>
    <row r="95" spans="2:2">
      <c r="B95" s="205"/>
    </row>
    <row r="96" spans="2:2">
      <c r="B96" s="205"/>
    </row>
    <row r="97" spans="2:2">
      <c r="B97" s="205"/>
    </row>
    <row r="98" spans="2:2">
      <c r="B98" s="205"/>
    </row>
    <row r="99" spans="2:2">
      <c r="B99" s="205"/>
    </row>
    <row r="100" spans="2:2">
      <c r="B100" s="205"/>
    </row>
    <row r="101" spans="2:2">
      <c r="B101" s="73"/>
    </row>
    <row r="102" spans="2:2">
      <c r="B102" s="73"/>
    </row>
    <row r="103" spans="2:2">
      <c r="B103" s="73"/>
    </row>
    <row r="105" spans="2:2">
      <c r="B105" s="73"/>
    </row>
    <row r="106" spans="2:2">
      <c r="B106" s="73"/>
    </row>
    <row r="107" spans="2:2">
      <c r="B107" s="73"/>
    </row>
    <row r="108" spans="2:2">
      <c r="B108" s="73"/>
    </row>
    <row r="109" spans="2:2">
      <c r="B109" s="73"/>
    </row>
    <row r="110" spans="2:2">
      <c r="B110" s="73"/>
    </row>
    <row r="111" spans="2:2">
      <c r="B111" s="73"/>
    </row>
    <row r="112" spans="2:2">
      <c r="B112" s="73"/>
    </row>
    <row r="113" spans="2:2">
      <c r="B113" s="73"/>
    </row>
    <row r="114" spans="2:2">
      <c r="B114" s="73"/>
    </row>
    <row r="115" spans="2:2">
      <c r="B115" s="73"/>
    </row>
    <row r="116" spans="2:2">
      <c r="B116" s="73"/>
    </row>
    <row r="117" spans="2:2">
      <c r="B117" s="73"/>
    </row>
    <row r="118" spans="2:2">
      <c r="B118" s="73"/>
    </row>
    <row r="119" spans="2:2">
      <c r="B119" s="73"/>
    </row>
    <row r="120" spans="2:2">
      <c r="B120" s="73"/>
    </row>
    <row r="121" spans="2:2">
      <c r="B121" s="73"/>
    </row>
    <row r="122" spans="2:2">
      <c r="B122" s="73"/>
    </row>
    <row r="123" spans="2:2">
      <c r="B123" s="73"/>
    </row>
    <row r="124" spans="2:2">
      <c r="B124" s="73"/>
    </row>
    <row r="125" spans="2:2">
      <c r="B125" s="73"/>
    </row>
    <row r="126" spans="2:2">
      <c r="B126" s="73"/>
    </row>
    <row r="127" spans="2:2">
      <c r="B127" s="73"/>
    </row>
    <row r="128" spans="2:2">
      <c r="B128" s="73"/>
    </row>
    <row r="130" spans="2:2">
      <c r="B130" s="73"/>
    </row>
    <row r="131" spans="2:2">
      <c r="B131" s="73"/>
    </row>
    <row r="132" spans="2:2">
      <c r="B132" s="73"/>
    </row>
    <row r="133" spans="2:2">
      <c r="B133" s="73"/>
    </row>
    <row r="134" spans="2:2">
      <c r="B134" s="73"/>
    </row>
    <row r="135" spans="2:2">
      <c r="B135" s="73"/>
    </row>
    <row r="136" spans="2:2">
      <c r="B136" s="73"/>
    </row>
    <row r="137" spans="2:2">
      <c r="B137" s="73"/>
    </row>
    <row r="138" spans="2:2">
      <c r="B138" s="73"/>
    </row>
    <row r="139" spans="2:2">
      <c r="B139" s="73"/>
    </row>
    <row r="140" spans="2:2">
      <c r="B140" s="73"/>
    </row>
    <row r="141" spans="2:2">
      <c r="B141" s="73"/>
    </row>
    <row r="142" spans="2:2">
      <c r="B142" s="73"/>
    </row>
    <row r="143" spans="2:2">
      <c r="B143" s="73"/>
    </row>
    <row r="144" spans="2:2">
      <c r="B144" s="73"/>
    </row>
    <row r="145" spans="2:2">
      <c r="B145" s="73"/>
    </row>
    <row r="146" spans="2:2">
      <c r="B146" s="73"/>
    </row>
    <row r="147" spans="2:2">
      <c r="B147" s="73"/>
    </row>
    <row r="148" spans="2:2">
      <c r="B148" s="73"/>
    </row>
    <row r="149" spans="2:2">
      <c r="B149" s="73"/>
    </row>
    <row r="150" spans="2:2">
      <c r="B150" s="73"/>
    </row>
    <row r="151" spans="2:2">
      <c r="B151" s="73"/>
    </row>
    <row r="152" spans="2:2">
      <c r="B152" s="73"/>
    </row>
    <row r="153" spans="2:2">
      <c r="B153" s="73"/>
    </row>
    <row r="154" spans="2:2">
      <c r="B154" s="73"/>
    </row>
    <row r="155" spans="2:2">
      <c r="B155" s="73"/>
    </row>
    <row r="156" spans="2:2">
      <c r="B156" s="73"/>
    </row>
    <row r="157" spans="2:2">
      <c r="B157" s="73"/>
    </row>
    <row r="158" spans="2:2">
      <c r="B158" s="73"/>
    </row>
    <row r="159" spans="2:2">
      <c r="B159" s="73"/>
    </row>
    <row r="160" spans="2:2">
      <c r="B160" s="73"/>
    </row>
    <row r="161" spans="2:2">
      <c r="B161" s="73"/>
    </row>
    <row r="162" spans="2:2">
      <c r="B162" s="73"/>
    </row>
    <row r="163" spans="2:2">
      <c r="B163" s="73"/>
    </row>
    <row r="164" spans="2:2">
      <c r="B164" s="73"/>
    </row>
    <row r="165" spans="2:2">
      <c r="B165" s="73"/>
    </row>
    <row r="166" spans="2:2">
      <c r="B166" s="73"/>
    </row>
    <row r="167" spans="2:2">
      <c r="B167" s="73"/>
    </row>
    <row r="168" spans="2:2">
      <c r="B168" s="73"/>
    </row>
    <row r="169" spans="2:2">
      <c r="B169" s="73"/>
    </row>
    <row r="175" spans="2:2">
      <c r="B175" s="73"/>
    </row>
    <row r="176" spans="2:2">
      <c r="B176" s="73"/>
    </row>
    <row r="177" spans="2:2">
      <c r="B177" s="73"/>
    </row>
    <row r="178" spans="2:2">
      <c r="B178" s="73"/>
    </row>
    <row r="179" spans="2:2">
      <c r="B179" s="73"/>
    </row>
    <row r="180" spans="2:2">
      <c r="B180" s="73"/>
    </row>
    <row r="197" spans="2:2">
      <c r="B197" s="73"/>
    </row>
    <row r="198" spans="2:2">
      <c r="B198" s="73"/>
    </row>
    <row r="199" spans="2:2">
      <c r="B199" s="73"/>
    </row>
    <row r="200" spans="2:2">
      <c r="B200" s="73"/>
    </row>
    <row r="201" spans="2:2">
      <c r="B201" s="73"/>
    </row>
    <row r="202" spans="2:2">
      <c r="B202" s="73"/>
    </row>
    <row r="203" spans="2:2">
      <c r="B203" s="73"/>
    </row>
    <row r="204" spans="2:2">
      <c r="B204" s="73"/>
    </row>
    <row r="205" spans="2:2">
      <c r="B205" s="73"/>
    </row>
    <row r="206" spans="2:2">
      <c r="B206" s="73"/>
    </row>
    <row r="208" spans="2:2">
      <c r="B208" s="73"/>
    </row>
    <row r="209" spans="2:2">
      <c r="B209" s="73"/>
    </row>
    <row r="210" spans="2:2">
      <c r="B210" s="73"/>
    </row>
    <row r="211" spans="2:2">
      <c r="B211" s="73"/>
    </row>
    <row r="212" spans="2:2">
      <c r="B212" s="73"/>
    </row>
    <row r="213" spans="2:2">
      <c r="B213" s="73"/>
    </row>
    <row r="214" spans="2:2">
      <c r="B214" s="73"/>
    </row>
    <row r="215" spans="2:2">
      <c r="B215" s="73"/>
    </row>
    <row r="216" spans="2:2">
      <c r="B216" s="73"/>
    </row>
    <row r="217" spans="2:2">
      <c r="B217" s="73"/>
    </row>
    <row r="218" spans="2:2">
      <c r="B218" s="73"/>
    </row>
    <row r="219" spans="2:2">
      <c r="B219" s="73"/>
    </row>
    <row r="220" spans="2:2">
      <c r="B220" s="73"/>
    </row>
    <row r="221" spans="2:2">
      <c r="B221" s="73"/>
    </row>
    <row r="222" spans="2:2">
      <c r="B222" s="73"/>
    </row>
    <row r="223" spans="2:2">
      <c r="B223" s="73"/>
    </row>
    <row r="224" spans="2:2">
      <c r="B224" s="73"/>
    </row>
    <row r="225" spans="2:2">
      <c r="B225" s="73"/>
    </row>
    <row r="226" spans="2:2">
      <c r="B226" s="73"/>
    </row>
    <row r="227" spans="2:2">
      <c r="B227" s="73"/>
    </row>
    <row r="228" spans="2:2">
      <c r="B228" s="73"/>
    </row>
    <row r="229" spans="2:2">
      <c r="B229" s="73"/>
    </row>
    <row r="230" spans="2:2">
      <c r="B230" s="73"/>
    </row>
    <row r="231" spans="2:2">
      <c r="B231" s="73"/>
    </row>
    <row r="232" spans="2:2">
      <c r="B232" s="73"/>
    </row>
    <row r="233" spans="2:2">
      <c r="B233" s="73"/>
    </row>
    <row r="234" spans="2:2">
      <c r="B234" s="73"/>
    </row>
    <row r="235" spans="2:2">
      <c r="B235" s="73"/>
    </row>
    <row r="236" spans="2:2">
      <c r="B236" s="73"/>
    </row>
    <row r="237" spans="2:2">
      <c r="B237" s="73"/>
    </row>
    <row r="238" spans="2:2">
      <c r="B238" s="73"/>
    </row>
    <row r="239" spans="2:2">
      <c r="B239" s="73"/>
    </row>
    <row r="240" spans="2:2">
      <c r="B240" s="73"/>
    </row>
    <row r="241" spans="2:2">
      <c r="B241" s="73"/>
    </row>
    <row r="242" spans="2:2">
      <c r="B242" s="73"/>
    </row>
    <row r="243" spans="2:2">
      <c r="B243" s="73"/>
    </row>
    <row r="244" spans="2:2">
      <c r="B244" s="73"/>
    </row>
    <row r="245" spans="2:2">
      <c r="B245" s="73"/>
    </row>
    <row r="246" spans="2:2">
      <c r="B246" s="73"/>
    </row>
    <row r="247" spans="2:2">
      <c r="B247" s="73"/>
    </row>
    <row r="253" spans="2:2">
      <c r="B253" s="73"/>
    </row>
    <row r="254" spans="2:2">
      <c r="B254" s="73"/>
    </row>
    <row r="255" spans="2:2">
      <c r="B255" s="73"/>
    </row>
    <row r="256" spans="2:2">
      <c r="B256" s="73"/>
    </row>
    <row r="257" spans="2:2">
      <c r="B257" s="73"/>
    </row>
    <row r="258" spans="2:2">
      <c r="B258" s="73"/>
    </row>
    <row r="259" spans="2:2">
      <c r="B259" s="73"/>
    </row>
  </sheetData>
  <mergeCells count="11">
    <mergeCell ref="C38:C40"/>
    <mergeCell ref="C41:C43"/>
    <mergeCell ref="C44:C46"/>
    <mergeCell ref="C47:C49"/>
    <mergeCell ref="C5:F5"/>
    <mergeCell ref="C25:F25"/>
    <mergeCell ref="C36:F36"/>
    <mergeCell ref="C7:C10"/>
    <mergeCell ref="C11:C21"/>
    <mergeCell ref="C27:C29"/>
    <mergeCell ref="C30:C32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9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69" customWidth="1"/>
    <col min="3" max="3" width="22.7109375" customWidth="1"/>
  </cols>
  <sheetData>
    <row r="1" spans="2:8" s="69" customFormat="1" ht="21.75" customHeight="1">
      <c r="F1" s="70"/>
      <c r="H1" s="71" t="s">
        <v>87</v>
      </c>
    </row>
    <row r="2" spans="2:8" s="69" customFormat="1" ht="15" customHeight="1">
      <c r="F2" s="70"/>
      <c r="H2" s="225" t="s">
        <v>119</v>
      </c>
    </row>
    <row r="3" spans="2:8" s="69" customFormat="1" ht="19.899999999999999" customHeight="1">
      <c r="D3" s="72"/>
    </row>
    <row r="4" spans="2:8" ht="11.25" customHeight="1">
      <c r="B4" s="77"/>
      <c r="C4" s="305" t="s">
        <v>200</v>
      </c>
      <c r="D4" s="306"/>
      <c r="E4" s="306"/>
      <c r="F4" s="307"/>
    </row>
    <row r="5" spans="2:8" ht="11.25" customHeight="1">
      <c r="B5" s="77"/>
      <c r="C5" s="308"/>
      <c r="D5" s="308"/>
      <c r="E5" s="309" t="s">
        <v>197</v>
      </c>
      <c r="F5" s="309"/>
    </row>
    <row r="6" spans="2:8" ht="11.25" customHeight="1">
      <c r="B6" s="77"/>
      <c r="C6" s="310"/>
      <c r="D6" s="311" t="s">
        <v>197</v>
      </c>
      <c r="E6" s="311" t="s">
        <v>198</v>
      </c>
      <c r="F6" s="311"/>
    </row>
    <row r="7" spans="2:8" ht="11.25" customHeight="1">
      <c r="B7" s="77"/>
      <c r="C7" s="312"/>
      <c r="D7" s="313">
        <v>2018</v>
      </c>
      <c r="E7" s="314" t="s">
        <v>199</v>
      </c>
      <c r="F7" s="314"/>
    </row>
    <row r="8" spans="2:8" ht="11.25" customHeight="1">
      <c r="B8" s="77"/>
      <c r="C8" s="315">
        <v>43101</v>
      </c>
      <c r="D8" s="316">
        <v>107.88135805200038</v>
      </c>
      <c r="E8" s="316">
        <v>124.98280708097418</v>
      </c>
      <c r="F8" s="316">
        <f>IF($D8&gt;E8,E8,$D8)</f>
        <v>107.88135805200038</v>
      </c>
      <c r="G8" s="479"/>
      <c r="H8" s="435"/>
    </row>
    <row r="9" spans="2:8" ht="11.25" customHeight="1">
      <c r="B9" s="77"/>
      <c r="C9" s="315">
        <v>43102</v>
      </c>
      <c r="D9" s="316">
        <v>106.79630875999985</v>
      </c>
      <c r="E9" s="316">
        <v>124.98280708097418</v>
      </c>
      <c r="F9" s="316">
        <f t="shared" ref="F9:F72" si="0">IF($D9&gt;E9,E9,$D9)</f>
        <v>106.79630875999985</v>
      </c>
      <c r="G9" s="479"/>
    </row>
    <row r="10" spans="2:8" ht="11.25" customHeight="1">
      <c r="B10" s="77"/>
      <c r="C10" s="315">
        <v>43103</v>
      </c>
      <c r="D10" s="316">
        <v>124.77749660000056</v>
      </c>
      <c r="E10" s="316">
        <v>124.98280708097418</v>
      </c>
      <c r="F10" s="316">
        <f t="shared" si="0"/>
        <v>124.77749660000056</v>
      </c>
      <c r="G10" s="479"/>
    </row>
    <row r="11" spans="2:8" ht="11.25" customHeight="1">
      <c r="B11" s="77"/>
      <c r="C11" s="315">
        <v>43104</v>
      </c>
      <c r="D11" s="316">
        <v>119.58731484599919</v>
      </c>
      <c r="E11" s="316">
        <v>124.98280708097418</v>
      </c>
      <c r="F11" s="316">
        <f t="shared" si="0"/>
        <v>119.58731484599919</v>
      </c>
      <c r="G11" s="479"/>
    </row>
    <row r="12" spans="2:8" ht="11.25" customHeight="1">
      <c r="B12" s="77"/>
      <c r="C12" s="315">
        <v>43105</v>
      </c>
      <c r="D12" s="316">
        <v>120.35012729400026</v>
      </c>
      <c r="E12" s="316">
        <v>124.98280708097418</v>
      </c>
      <c r="F12" s="316">
        <f t="shared" si="0"/>
        <v>120.35012729400026</v>
      </c>
      <c r="G12" s="479"/>
    </row>
    <row r="13" spans="2:8" ht="11.25" customHeight="1">
      <c r="B13" s="77"/>
      <c r="C13" s="315">
        <v>43106</v>
      </c>
      <c r="D13" s="316">
        <v>105.77221650599999</v>
      </c>
      <c r="E13" s="316">
        <v>124.98280708097418</v>
      </c>
      <c r="F13" s="316">
        <f t="shared" si="0"/>
        <v>105.77221650599999</v>
      </c>
      <c r="G13" s="479"/>
    </row>
    <row r="14" spans="2:8" ht="11.25" customHeight="1">
      <c r="B14" s="77"/>
      <c r="C14" s="315">
        <v>43107</v>
      </c>
      <c r="D14" s="316">
        <v>98.458093232000152</v>
      </c>
      <c r="E14" s="316">
        <v>124.98280708097418</v>
      </c>
      <c r="F14" s="316">
        <f t="shared" si="0"/>
        <v>98.458093232000152</v>
      </c>
      <c r="G14" s="479"/>
    </row>
    <row r="15" spans="2:8" ht="11.25" customHeight="1">
      <c r="B15" s="77"/>
      <c r="C15" s="315">
        <v>43108</v>
      </c>
      <c r="D15" s="316">
        <v>99.757455161999815</v>
      </c>
      <c r="E15" s="316">
        <v>124.98280708097418</v>
      </c>
      <c r="F15" s="316">
        <f t="shared" si="0"/>
        <v>99.757455161999815</v>
      </c>
      <c r="G15" s="479"/>
    </row>
    <row r="16" spans="2:8" ht="11.25" customHeight="1">
      <c r="B16" s="77"/>
      <c r="C16" s="315">
        <v>43109</v>
      </c>
      <c r="D16" s="316">
        <v>88.95906277600065</v>
      </c>
      <c r="E16" s="316">
        <v>124.98280708097418</v>
      </c>
      <c r="F16" s="316">
        <f t="shared" si="0"/>
        <v>88.95906277600065</v>
      </c>
      <c r="G16" s="479"/>
    </row>
    <row r="17" spans="2:7" ht="11.25" customHeight="1">
      <c r="B17" s="77"/>
      <c r="C17" s="315">
        <v>43110</v>
      </c>
      <c r="D17" s="316">
        <v>97.591731657999432</v>
      </c>
      <c r="E17" s="316">
        <v>124.98280708097418</v>
      </c>
      <c r="F17" s="316">
        <f t="shared" si="0"/>
        <v>97.591731657999432</v>
      </c>
      <c r="G17" s="479"/>
    </row>
    <row r="18" spans="2:7" ht="11.25" customHeight="1">
      <c r="B18" s="77"/>
      <c r="C18" s="315">
        <v>43111</v>
      </c>
      <c r="D18" s="316">
        <v>91.420214731999963</v>
      </c>
      <c r="E18" s="316">
        <v>124.98280708097418</v>
      </c>
      <c r="F18" s="316">
        <f t="shared" si="0"/>
        <v>91.420214731999963</v>
      </c>
      <c r="G18" s="479"/>
    </row>
    <row r="19" spans="2:7" ht="11.25" customHeight="1">
      <c r="B19" s="77"/>
      <c r="C19" s="315">
        <v>43112</v>
      </c>
      <c r="D19" s="316">
        <v>99.253143072000128</v>
      </c>
      <c r="E19" s="316">
        <v>124.98280708097418</v>
      </c>
      <c r="F19" s="316">
        <f t="shared" si="0"/>
        <v>99.253143072000128</v>
      </c>
      <c r="G19" s="479"/>
    </row>
    <row r="20" spans="2:7" ht="11.25" customHeight="1">
      <c r="B20" s="77"/>
      <c r="C20" s="315">
        <v>43113</v>
      </c>
      <c r="D20" s="316">
        <v>81.108525740000388</v>
      </c>
      <c r="E20" s="316">
        <v>124.98280708097418</v>
      </c>
      <c r="F20" s="316">
        <f t="shared" si="0"/>
        <v>81.108525740000388</v>
      </c>
      <c r="G20" s="479"/>
    </row>
    <row r="21" spans="2:7" ht="11.25" customHeight="1">
      <c r="B21" s="77"/>
      <c r="C21" s="315">
        <v>43114</v>
      </c>
      <c r="D21" s="316">
        <v>77.843521599999278</v>
      </c>
      <c r="E21" s="316">
        <v>124.98280708097418</v>
      </c>
      <c r="F21" s="316">
        <f t="shared" si="0"/>
        <v>77.843521599999278</v>
      </c>
      <c r="G21" s="479"/>
    </row>
    <row r="22" spans="2:7" ht="11.25" customHeight="1">
      <c r="B22" s="77"/>
      <c r="C22" s="315">
        <v>43115</v>
      </c>
      <c r="D22" s="316">
        <v>81.147773526000762</v>
      </c>
      <c r="E22" s="316">
        <v>124.98280708097418</v>
      </c>
      <c r="F22" s="316">
        <f t="shared" si="0"/>
        <v>81.147773526000762</v>
      </c>
      <c r="G22" s="481">
        <f>E22</f>
        <v>124.98280708097418</v>
      </c>
    </row>
    <row r="23" spans="2:7" ht="11.25" customHeight="1">
      <c r="B23" s="77"/>
      <c r="C23" s="315">
        <v>43116</v>
      </c>
      <c r="D23" s="316">
        <v>80.801034311999544</v>
      </c>
      <c r="E23" s="316">
        <v>124.98280708097418</v>
      </c>
      <c r="F23" s="316">
        <f t="shared" si="0"/>
        <v>80.801034311999544</v>
      </c>
      <c r="G23" s="479"/>
    </row>
    <row r="24" spans="2:7" ht="11.25" customHeight="1">
      <c r="B24" s="77"/>
      <c r="C24" s="315">
        <v>43117</v>
      </c>
      <c r="D24" s="316">
        <v>92.883437954000257</v>
      </c>
      <c r="E24" s="316">
        <v>124.98280708097418</v>
      </c>
      <c r="F24" s="316">
        <f t="shared" si="0"/>
        <v>92.883437954000257</v>
      </c>
      <c r="G24" s="479"/>
    </row>
    <row r="25" spans="2:7" ht="11.25" customHeight="1">
      <c r="C25" s="315">
        <v>43118</v>
      </c>
      <c r="D25" s="316">
        <v>73.970259667999912</v>
      </c>
      <c r="E25" s="316">
        <v>124.98280708097418</v>
      </c>
      <c r="F25" s="316">
        <f t="shared" si="0"/>
        <v>73.970259667999912</v>
      </c>
      <c r="G25" s="479"/>
    </row>
    <row r="26" spans="2:7" ht="11.25" customHeight="1">
      <c r="C26" s="315">
        <v>43119</v>
      </c>
      <c r="D26" s="316">
        <v>59.893059246000249</v>
      </c>
      <c r="E26" s="316">
        <v>124.98280708097418</v>
      </c>
      <c r="F26" s="316">
        <f t="shared" si="0"/>
        <v>59.893059246000249</v>
      </c>
      <c r="G26" s="479"/>
    </row>
    <row r="27" spans="2:7" ht="11.25" customHeight="1">
      <c r="C27" s="315">
        <v>43120</v>
      </c>
      <c r="D27" s="316">
        <v>56.403515999999868</v>
      </c>
      <c r="E27" s="316">
        <v>124.98280708097418</v>
      </c>
      <c r="F27" s="316">
        <f t="shared" si="0"/>
        <v>56.403515999999868</v>
      </c>
      <c r="G27" s="479"/>
    </row>
    <row r="28" spans="2:7" ht="11.25" customHeight="1">
      <c r="C28" s="315">
        <v>43121</v>
      </c>
      <c r="D28" s="316">
        <v>87.476849279999485</v>
      </c>
      <c r="E28" s="316">
        <v>124.98280708097418</v>
      </c>
      <c r="F28" s="316">
        <f t="shared" si="0"/>
        <v>87.476849279999485</v>
      </c>
      <c r="G28" s="479"/>
    </row>
    <row r="29" spans="2:7" ht="11.25" customHeight="1">
      <c r="C29" s="315">
        <v>43122</v>
      </c>
      <c r="D29" s="316">
        <v>94.27746432200037</v>
      </c>
      <c r="E29" s="316">
        <v>124.98280708097418</v>
      </c>
      <c r="F29" s="316">
        <f t="shared" si="0"/>
        <v>94.27746432200037</v>
      </c>
      <c r="G29" s="479"/>
    </row>
    <row r="30" spans="2:7" ht="11.25" customHeight="1">
      <c r="C30" s="315">
        <v>43123</v>
      </c>
      <c r="D30" s="316">
        <v>71.359911038000021</v>
      </c>
      <c r="E30" s="316">
        <v>124.98280708097418</v>
      </c>
      <c r="F30" s="316">
        <f t="shared" si="0"/>
        <v>71.359911038000021</v>
      </c>
      <c r="G30" s="479"/>
    </row>
    <row r="31" spans="2:7" ht="11.25" customHeight="1">
      <c r="C31" s="315">
        <v>43124</v>
      </c>
      <c r="D31" s="316">
        <v>75.372917997999579</v>
      </c>
      <c r="E31" s="316">
        <v>124.98280708097418</v>
      </c>
      <c r="F31" s="316">
        <f t="shared" si="0"/>
        <v>75.372917997999579</v>
      </c>
      <c r="G31" s="479"/>
    </row>
    <row r="32" spans="2:7" ht="11.25" customHeight="1">
      <c r="C32" s="315">
        <v>43125</v>
      </c>
      <c r="D32" s="316">
        <v>73.951607154000314</v>
      </c>
      <c r="E32" s="316">
        <v>124.98280708097418</v>
      </c>
      <c r="F32" s="316">
        <f t="shared" si="0"/>
        <v>73.951607154000314</v>
      </c>
      <c r="G32" s="479"/>
    </row>
    <row r="33" spans="3:7" ht="11.25" customHeight="1">
      <c r="C33" s="315">
        <v>43126</v>
      </c>
      <c r="D33" s="316">
        <v>88.363976406000475</v>
      </c>
      <c r="E33" s="316">
        <v>124.98280708097418</v>
      </c>
      <c r="F33" s="316">
        <f t="shared" si="0"/>
        <v>88.363976406000475</v>
      </c>
      <c r="G33" s="479"/>
    </row>
    <row r="34" spans="3:7" ht="11.25" customHeight="1">
      <c r="C34" s="315">
        <v>43127</v>
      </c>
      <c r="D34" s="316">
        <v>76.196114011999384</v>
      </c>
      <c r="E34" s="316">
        <v>124.98280708097418</v>
      </c>
      <c r="F34" s="316">
        <f t="shared" si="0"/>
        <v>76.196114011999384</v>
      </c>
      <c r="G34" s="479"/>
    </row>
    <row r="35" spans="3:7" ht="11.25" customHeight="1">
      <c r="C35" s="315">
        <v>43128</v>
      </c>
      <c r="D35" s="316">
        <v>74.181140028000016</v>
      </c>
      <c r="E35" s="316">
        <v>124.98280708097418</v>
      </c>
      <c r="F35" s="316">
        <f t="shared" si="0"/>
        <v>74.181140028000016</v>
      </c>
      <c r="G35" s="479"/>
    </row>
    <row r="36" spans="3:7" ht="11.25" customHeight="1">
      <c r="C36" s="315">
        <v>43129</v>
      </c>
      <c r="D36" s="316">
        <v>76.000416010000336</v>
      </c>
      <c r="E36" s="316">
        <v>124.98280708097418</v>
      </c>
      <c r="F36" s="316">
        <f t="shared" si="0"/>
        <v>76.000416010000336</v>
      </c>
      <c r="G36" s="479"/>
    </row>
    <row r="37" spans="3:7" ht="11.25" customHeight="1">
      <c r="C37" s="315">
        <v>43130</v>
      </c>
      <c r="D37" s="316">
        <v>62.410825923999774</v>
      </c>
      <c r="E37" s="316">
        <v>124.98280708097418</v>
      </c>
      <c r="F37" s="316">
        <f t="shared" si="0"/>
        <v>62.410825923999774</v>
      </c>
      <c r="G37" s="479"/>
    </row>
    <row r="38" spans="3:7" ht="11.25" customHeight="1">
      <c r="C38" s="315">
        <v>43131</v>
      </c>
      <c r="D38" s="316">
        <v>65.165746878000078</v>
      </c>
      <c r="E38" s="316">
        <v>124.98280708097418</v>
      </c>
      <c r="F38" s="316">
        <f t="shared" si="0"/>
        <v>65.165746878000078</v>
      </c>
      <c r="G38" s="479"/>
    </row>
    <row r="39" spans="3:7" ht="11.25" customHeight="1">
      <c r="C39" s="315">
        <v>43132</v>
      </c>
      <c r="D39" s="316">
        <v>61.746009000000413</v>
      </c>
      <c r="E39" s="316">
        <v>122.23474632144273</v>
      </c>
      <c r="F39" s="316">
        <f t="shared" si="0"/>
        <v>61.746009000000413</v>
      </c>
      <c r="G39" s="479"/>
    </row>
    <row r="40" spans="3:7" ht="11.25" customHeight="1">
      <c r="C40" s="315">
        <v>43133</v>
      </c>
      <c r="D40" s="316">
        <v>70.320572835999727</v>
      </c>
      <c r="E40" s="316">
        <v>122.23474632144273</v>
      </c>
      <c r="F40" s="316">
        <f t="shared" si="0"/>
        <v>70.320572835999727</v>
      </c>
      <c r="G40" s="479"/>
    </row>
    <row r="41" spans="3:7" ht="11.25" customHeight="1">
      <c r="C41" s="315">
        <v>43134</v>
      </c>
      <c r="D41" s="316">
        <v>60.116614275999673</v>
      </c>
      <c r="E41" s="316">
        <v>122.23474632144273</v>
      </c>
      <c r="F41" s="316">
        <f t="shared" si="0"/>
        <v>60.116614275999673</v>
      </c>
      <c r="G41" s="479"/>
    </row>
    <row r="42" spans="3:7" ht="11.25" customHeight="1">
      <c r="C42" s="315">
        <v>43135</v>
      </c>
      <c r="D42" s="316">
        <v>82.003756379999714</v>
      </c>
      <c r="E42" s="316">
        <v>122.23474632144273</v>
      </c>
      <c r="F42" s="316">
        <f t="shared" si="0"/>
        <v>82.003756379999714</v>
      </c>
      <c r="G42" s="479"/>
    </row>
    <row r="43" spans="3:7" ht="11.25" customHeight="1">
      <c r="C43" s="315">
        <v>43136</v>
      </c>
      <c r="D43" s="316">
        <v>79.076439846000653</v>
      </c>
      <c r="E43" s="316">
        <v>122.23474632144273</v>
      </c>
      <c r="F43" s="316">
        <f t="shared" si="0"/>
        <v>79.076439846000653</v>
      </c>
      <c r="G43" s="479"/>
    </row>
    <row r="44" spans="3:7" ht="11.25" customHeight="1">
      <c r="C44" s="315">
        <v>43137</v>
      </c>
      <c r="D44" s="316">
        <v>79.006717319999424</v>
      </c>
      <c r="E44" s="316">
        <v>122.23474632144273</v>
      </c>
      <c r="F44" s="316">
        <f t="shared" si="0"/>
        <v>79.006717319999424</v>
      </c>
      <c r="G44" s="479"/>
    </row>
    <row r="45" spans="3:7" ht="11.25" customHeight="1">
      <c r="C45" s="315">
        <v>43138</v>
      </c>
      <c r="D45" s="316">
        <v>64.202171916000665</v>
      </c>
      <c r="E45" s="316">
        <v>122.23474632144273</v>
      </c>
      <c r="F45" s="316">
        <f t="shared" si="0"/>
        <v>64.202171916000665</v>
      </c>
      <c r="G45" s="479"/>
    </row>
    <row r="46" spans="3:7" ht="11.25" customHeight="1">
      <c r="C46" s="315">
        <v>43139</v>
      </c>
      <c r="D46" s="316">
        <v>63.245197533999587</v>
      </c>
      <c r="E46" s="316">
        <v>122.23474632144273</v>
      </c>
      <c r="F46" s="316">
        <f t="shared" si="0"/>
        <v>63.245197533999587</v>
      </c>
      <c r="G46" s="479"/>
    </row>
    <row r="47" spans="3:7" ht="11.25" customHeight="1">
      <c r="C47" s="315">
        <v>43140</v>
      </c>
      <c r="D47" s="316">
        <v>68.850626578000103</v>
      </c>
      <c r="E47" s="316">
        <v>122.23474632144273</v>
      </c>
      <c r="F47" s="316">
        <f t="shared" si="0"/>
        <v>68.850626578000103</v>
      </c>
      <c r="G47" s="479"/>
    </row>
    <row r="48" spans="3:7" ht="11.25" customHeight="1">
      <c r="C48" s="315">
        <v>43141</v>
      </c>
      <c r="D48" s="316">
        <v>68.119414094000135</v>
      </c>
      <c r="E48" s="316">
        <v>122.23474632144273</v>
      </c>
      <c r="F48" s="316">
        <f t="shared" si="0"/>
        <v>68.119414094000135</v>
      </c>
      <c r="G48" s="479"/>
    </row>
    <row r="49" spans="3:7" ht="11.25" customHeight="1">
      <c r="C49" s="315">
        <v>43142</v>
      </c>
      <c r="D49" s="316">
        <v>96.709272532000242</v>
      </c>
      <c r="E49" s="316">
        <v>122.23474632144273</v>
      </c>
      <c r="F49" s="316">
        <f t="shared" si="0"/>
        <v>96.709272532000242</v>
      </c>
      <c r="G49" s="479"/>
    </row>
    <row r="50" spans="3:7" ht="11.25" customHeight="1">
      <c r="C50" s="315">
        <v>43143</v>
      </c>
      <c r="D50" s="316">
        <v>69.374099871999704</v>
      </c>
      <c r="E50" s="316">
        <v>122.23474632144273</v>
      </c>
      <c r="F50" s="316">
        <f t="shared" si="0"/>
        <v>69.374099871999704</v>
      </c>
      <c r="G50" s="479"/>
    </row>
    <row r="51" spans="3:7" ht="11.25" customHeight="1">
      <c r="C51" s="315">
        <v>43144</v>
      </c>
      <c r="D51" s="316">
        <v>94.226937927999998</v>
      </c>
      <c r="E51" s="316">
        <v>122.23474632144273</v>
      </c>
      <c r="F51" s="316">
        <f t="shared" si="0"/>
        <v>94.226937927999998</v>
      </c>
      <c r="G51" s="479"/>
    </row>
    <row r="52" spans="3:7" ht="11.25" customHeight="1">
      <c r="C52" s="315">
        <v>43145</v>
      </c>
      <c r="D52" s="316">
        <v>112.94239189800008</v>
      </c>
      <c r="E52" s="316">
        <v>122.23474632144273</v>
      </c>
      <c r="F52" s="316">
        <f t="shared" si="0"/>
        <v>112.94239189800008</v>
      </c>
      <c r="G52" s="479"/>
    </row>
    <row r="53" spans="3:7" ht="11.25" customHeight="1">
      <c r="C53" s="315">
        <v>43146</v>
      </c>
      <c r="D53" s="316">
        <v>133.20955556600001</v>
      </c>
      <c r="E53" s="316">
        <v>122.23474632144273</v>
      </c>
      <c r="F53" s="316">
        <f t="shared" si="0"/>
        <v>122.23474632144273</v>
      </c>
      <c r="G53" s="481">
        <f>E53</f>
        <v>122.23474632144273</v>
      </c>
    </row>
    <row r="54" spans="3:7" ht="11.25" customHeight="1">
      <c r="C54" s="315">
        <v>43147</v>
      </c>
      <c r="D54" s="316">
        <v>128.22247856600001</v>
      </c>
      <c r="E54" s="316">
        <v>122.23474632144273</v>
      </c>
      <c r="F54" s="316">
        <f t="shared" si="0"/>
        <v>122.23474632144273</v>
      </c>
      <c r="G54" s="479"/>
    </row>
    <row r="55" spans="3:7" ht="11.25" customHeight="1">
      <c r="C55" s="315">
        <v>43148</v>
      </c>
      <c r="D55" s="316">
        <v>138.29318329399976</v>
      </c>
      <c r="E55" s="316">
        <v>122.23474632144273</v>
      </c>
      <c r="F55" s="316">
        <f t="shared" si="0"/>
        <v>122.23474632144273</v>
      </c>
      <c r="G55" s="479"/>
    </row>
    <row r="56" spans="3:7" ht="11.25" customHeight="1">
      <c r="C56" s="315">
        <v>43149</v>
      </c>
      <c r="D56" s="316">
        <v>133.09562086599985</v>
      </c>
      <c r="E56" s="316">
        <v>122.23474632144273</v>
      </c>
      <c r="F56" s="316">
        <f t="shared" si="0"/>
        <v>122.23474632144273</v>
      </c>
      <c r="G56" s="479"/>
    </row>
    <row r="57" spans="3:7" ht="11.25" customHeight="1">
      <c r="C57" s="315">
        <v>43150</v>
      </c>
      <c r="D57" s="316">
        <v>134.08807781600044</v>
      </c>
      <c r="E57" s="316">
        <v>122.23474632144273</v>
      </c>
      <c r="F57" s="316">
        <f t="shared" si="0"/>
        <v>122.23474632144273</v>
      </c>
      <c r="G57" s="479"/>
    </row>
    <row r="58" spans="3:7" ht="11.25" customHeight="1">
      <c r="C58" s="315">
        <v>43151</v>
      </c>
      <c r="D58" s="316">
        <v>134.19744140599948</v>
      </c>
      <c r="E58" s="316">
        <v>122.23474632144273</v>
      </c>
      <c r="F58" s="316">
        <f t="shared" si="0"/>
        <v>122.23474632144273</v>
      </c>
      <c r="G58" s="479"/>
    </row>
    <row r="59" spans="3:7" ht="11.25" customHeight="1">
      <c r="C59" s="315">
        <v>43152</v>
      </c>
      <c r="D59" s="316">
        <v>118.39809074400038</v>
      </c>
      <c r="E59" s="316">
        <v>122.23474632144273</v>
      </c>
      <c r="F59" s="316">
        <f t="shared" si="0"/>
        <v>118.39809074400038</v>
      </c>
      <c r="G59" s="479"/>
    </row>
    <row r="60" spans="3:7" ht="11.25" customHeight="1">
      <c r="C60" s="315">
        <v>43153</v>
      </c>
      <c r="D60" s="316">
        <v>100.02392709400036</v>
      </c>
      <c r="E60" s="316">
        <v>122.23474632144273</v>
      </c>
      <c r="F60" s="316">
        <f t="shared" si="0"/>
        <v>100.02392709400036</v>
      </c>
      <c r="G60" s="479"/>
    </row>
    <row r="61" spans="3:7" ht="11.25" customHeight="1">
      <c r="C61" s="315">
        <v>43154</v>
      </c>
      <c r="D61" s="316">
        <v>62.946316363999244</v>
      </c>
      <c r="E61" s="316">
        <v>122.23474632144273</v>
      </c>
      <c r="F61" s="316">
        <f t="shared" si="0"/>
        <v>62.946316363999244</v>
      </c>
      <c r="G61" s="479"/>
    </row>
    <row r="62" spans="3:7" ht="11.25" customHeight="1">
      <c r="C62" s="315">
        <v>43155</v>
      </c>
      <c r="D62" s="316">
        <v>95.437508968000529</v>
      </c>
      <c r="E62" s="316">
        <v>122.23474632144273</v>
      </c>
      <c r="F62" s="316">
        <f t="shared" si="0"/>
        <v>95.437508968000529</v>
      </c>
      <c r="G62" s="479"/>
    </row>
    <row r="63" spans="3:7" ht="11.25" customHeight="1">
      <c r="C63" s="315">
        <v>43156</v>
      </c>
      <c r="D63" s="316">
        <v>86.890734556000154</v>
      </c>
      <c r="E63" s="316">
        <v>122.23474632144273</v>
      </c>
      <c r="F63" s="316">
        <f t="shared" si="0"/>
        <v>86.890734556000154</v>
      </c>
      <c r="G63" s="479"/>
    </row>
    <row r="64" spans="3:7" ht="11.25" customHeight="1">
      <c r="C64" s="315">
        <v>43157</v>
      </c>
      <c r="D64" s="316">
        <v>94.1496125179996</v>
      </c>
      <c r="E64" s="316">
        <v>122.23474632144273</v>
      </c>
      <c r="F64" s="316">
        <f t="shared" si="0"/>
        <v>94.1496125179996</v>
      </c>
      <c r="G64" s="479"/>
    </row>
    <row r="65" spans="3:7" ht="11.25" customHeight="1">
      <c r="C65" s="315">
        <v>43158</v>
      </c>
      <c r="D65" s="316">
        <v>72.37554608999983</v>
      </c>
      <c r="E65" s="316">
        <v>122.23474632144273</v>
      </c>
      <c r="F65" s="316">
        <f t="shared" si="0"/>
        <v>72.37554608999983</v>
      </c>
      <c r="G65" s="479"/>
    </row>
    <row r="66" spans="3:7" ht="11.25" customHeight="1">
      <c r="C66" s="315">
        <v>43159</v>
      </c>
      <c r="D66" s="316">
        <v>105.78097549199975</v>
      </c>
      <c r="E66" s="316">
        <v>122.23474632144273</v>
      </c>
      <c r="F66" s="316">
        <f t="shared" si="0"/>
        <v>105.78097549199975</v>
      </c>
      <c r="G66" s="479"/>
    </row>
    <row r="67" spans="3:7" ht="11.25" customHeight="1">
      <c r="C67" s="315">
        <v>43160</v>
      </c>
      <c r="D67" s="316">
        <v>178.97618384800083</v>
      </c>
      <c r="E67" s="316">
        <v>123.04544911502903</v>
      </c>
      <c r="F67" s="316">
        <f t="shared" si="0"/>
        <v>123.04544911502903</v>
      </c>
      <c r="G67" s="479"/>
    </row>
    <row r="68" spans="3:7" ht="11.25" customHeight="1">
      <c r="C68" s="315">
        <v>43161</v>
      </c>
      <c r="D68" s="316">
        <v>201.87922154199967</v>
      </c>
      <c r="E68" s="316">
        <v>123.04544911502903</v>
      </c>
      <c r="F68" s="316">
        <f t="shared" si="0"/>
        <v>123.04544911502903</v>
      </c>
      <c r="G68" s="479"/>
    </row>
    <row r="69" spans="3:7" ht="11.25" customHeight="1">
      <c r="C69" s="315">
        <v>43162</v>
      </c>
      <c r="D69" s="316">
        <v>231.73287105800031</v>
      </c>
      <c r="E69" s="316">
        <v>123.04544911502903</v>
      </c>
      <c r="F69" s="316">
        <f t="shared" si="0"/>
        <v>123.04544911502903</v>
      </c>
      <c r="G69" s="479"/>
    </row>
    <row r="70" spans="3:7" ht="11.25" customHeight="1">
      <c r="C70" s="315">
        <v>43163</v>
      </c>
      <c r="D70" s="316">
        <v>266.12065454999953</v>
      </c>
      <c r="E70" s="316">
        <v>123.04544911502903</v>
      </c>
      <c r="F70" s="316">
        <f t="shared" si="0"/>
        <v>123.04544911502903</v>
      </c>
      <c r="G70" s="479"/>
    </row>
    <row r="71" spans="3:7" ht="11.25" customHeight="1">
      <c r="C71" s="315">
        <v>43164</v>
      </c>
      <c r="D71" s="316">
        <v>280.74580680800011</v>
      </c>
      <c r="E71" s="316">
        <v>123.04544911502903</v>
      </c>
      <c r="F71" s="316">
        <f t="shared" si="0"/>
        <v>123.04544911502903</v>
      </c>
      <c r="G71" s="479"/>
    </row>
    <row r="72" spans="3:7" ht="11.25" customHeight="1">
      <c r="C72" s="315">
        <v>43165</v>
      </c>
      <c r="D72" s="316">
        <v>238.09295641399979</v>
      </c>
      <c r="E72" s="316">
        <v>123.04544911502903</v>
      </c>
      <c r="F72" s="316">
        <f t="shared" si="0"/>
        <v>123.04544911502903</v>
      </c>
      <c r="G72" s="479"/>
    </row>
    <row r="73" spans="3:7" ht="11.25" customHeight="1">
      <c r="C73" s="315">
        <v>43166</v>
      </c>
      <c r="D73" s="316">
        <v>215.68241361599979</v>
      </c>
      <c r="E73" s="316">
        <v>123.04544911502903</v>
      </c>
      <c r="F73" s="316">
        <f t="shared" ref="F73:F136" si="1">IF($D73&gt;E73,E73,$D73)</f>
        <v>123.04544911502903</v>
      </c>
      <c r="G73" s="479"/>
    </row>
    <row r="74" spans="3:7" ht="11.25" customHeight="1">
      <c r="C74" s="315">
        <v>43167</v>
      </c>
      <c r="D74" s="316">
        <v>180.87940396600015</v>
      </c>
      <c r="E74" s="316">
        <v>123.04544911502903</v>
      </c>
      <c r="F74" s="316">
        <f t="shared" si="1"/>
        <v>123.04544911502903</v>
      </c>
      <c r="G74" s="479"/>
    </row>
    <row r="75" spans="3:7" ht="11.25" customHeight="1">
      <c r="C75" s="315">
        <v>43168</v>
      </c>
      <c r="D75" s="316">
        <v>258.95272941599984</v>
      </c>
      <c r="E75" s="316">
        <v>123.04544911502903</v>
      </c>
      <c r="F75" s="316">
        <f t="shared" si="1"/>
        <v>123.04544911502903</v>
      </c>
      <c r="G75" s="479"/>
    </row>
    <row r="76" spans="3:7" ht="11.25" customHeight="1">
      <c r="C76" s="315">
        <v>43169</v>
      </c>
      <c r="D76" s="316">
        <v>508.44548281800013</v>
      </c>
      <c r="E76" s="316">
        <v>123.04544911502903</v>
      </c>
      <c r="F76" s="316">
        <f t="shared" si="1"/>
        <v>123.04544911502903</v>
      </c>
      <c r="G76" s="479"/>
    </row>
    <row r="77" spans="3:7" ht="11.25" customHeight="1">
      <c r="C77" s="315">
        <v>43170</v>
      </c>
      <c r="D77" s="316">
        <v>448.65534165200074</v>
      </c>
      <c r="E77" s="316">
        <v>123.04544911502903</v>
      </c>
      <c r="F77" s="316">
        <f t="shared" si="1"/>
        <v>123.04544911502903</v>
      </c>
      <c r="G77" s="479"/>
    </row>
    <row r="78" spans="3:7" ht="11.25" customHeight="1">
      <c r="C78" s="315">
        <v>43171</v>
      </c>
      <c r="D78" s="316">
        <v>403.89899181799939</v>
      </c>
      <c r="E78" s="316">
        <v>123.04544911502903</v>
      </c>
      <c r="F78" s="316">
        <f t="shared" si="1"/>
        <v>123.04544911502903</v>
      </c>
      <c r="G78" s="479"/>
    </row>
    <row r="79" spans="3:7" ht="11.25" customHeight="1">
      <c r="C79" s="315">
        <v>43172</v>
      </c>
      <c r="D79" s="316">
        <v>296.73816719600023</v>
      </c>
      <c r="E79" s="316">
        <v>123.04544911502903</v>
      </c>
      <c r="F79" s="316">
        <f t="shared" si="1"/>
        <v>123.04544911502903</v>
      </c>
      <c r="G79" s="479"/>
    </row>
    <row r="80" spans="3:7" ht="11.25" customHeight="1">
      <c r="C80" s="315">
        <v>43173</v>
      </c>
      <c r="D80" s="316">
        <v>477.04428482599985</v>
      </c>
      <c r="E80" s="316">
        <v>123.04544911502903</v>
      </c>
      <c r="F80" s="316">
        <f t="shared" si="1"/>
        <v>123.04544911502903</v>
      </c>
      <c r="G80" s="479"/>
    </row>
    <row r="81" spans="2:7" ht="11.25" customHeight="1">
      <c r="C81" s="315">
        <v>43174</v>
      </c>
      <c r="D81" s="316">
        <v>391.77740065199976</v>
      </c>
      <c r="E81" s="316">
        <v>123.04544911502903</v>
      </c>
      <c r="F81" s="316">
        <f t="shared" si="1"/>
        <v>123.04544911502903</v>
      </c>
      <c r="G81" s="481">
        <f>E81</f>
        <v>123.04544911502903</v>
      </c>
    </row>
    <row r="82" spans="2:7" ht="11.25" customHeight="1">
      <c r="B82" s="205"/>
      <c r="C82" s="315">
        <v>43175</v>
      </c>
      <c r="D82" s="316">
        <v>372.82974446600082</v>
      </c>
      <c r="E82" s="316">
        <v>123.04544911502903</v>
      </c>
      <c r="F82" s="316">
        <f t="shared" si="1"/>
        <v>123.04544911502903</v>
      </c>
      <c r="G82" s="479"/>
    </row>
    <row r="83" spans="2:7" ht="11.25" customHeight="1">
      <c r="B83" s="205"/>
      <c r="C83" s="315">
        <v>43176</v>
      </c>
      <c r="D83" s="316">
        <v>367.35045325000027</v>
      </c>
      <c r="E83" s="316">
        <v>123.04544911502903</v>
      </c>
      <c r="F83" s="316">
        <f t="shared" si="1"/>
        <v>123.04544911502903</v>
      </c>
      <c r="G83" s="479"/>
    </row>
    <row r="84" spans="2:7" ht="11.25" customHeight="1">
      <c r="B84" s="205"/>
      <c r="C84" s="315">
        <v>43177</v>
      </c>
      <c r="D84" s="316">
        <v>322.26224502999889</v>
      </c>
      <c r="E84" s="316">
        <v>123.04544911502903</v>
      </c>
      <c r="F84" s="316">
        <f t="shared" si="1"/>
        <v>123.04544911502903</v>
      </c>
      <c r="G84" s="479"/>
    </row>
    <row r="85" spans="2:7" ht="11.25" customHeight="1">
      <c r="B85" s="205"/>
      <c r="C85" s="315">
        <v>43178</v>
      </c>
      <c r="D85" s="316">
        <v>319.38545180199981</v>
      </c>
      <c r="E85" s="316">
        <v>123.04544911502903</v>
      </c>
      <c r="F85" s="316">
        <f t="shared" si="1"/>
        <v>123.04544911502903</v>
      </c>
      <c r="G85" s="479"/>
    </row>
    <row r="86" spans="2:7" ht="11.25" customHeight="1">
      <c r="B86" s="205"/>
      <c r="C86" s="315">
        <v>43179</v>
      </c>
      <c r="D86" s="316">
        <v>243.13658571799974</v>
      </c>
      <c r="E86" s="316">
        <v>123.04544911502903</v>
      </c>
      <c r="F86" s="316">
        <f t="shared" si="1"/>
        <v>123.04544911502903</v>
      </c>
      <c r="G86" s="479"/>
    </row>
    <row r="87" spans="2:7" ht="11.25" customHeight="1">
      <c r="B87" s="205"/>
      <c r="C87" s="315">
        <v>43180</v>
      </c>
      <c r="D87" s="316">
        <v>212.59201234800111</v>
      </c>
      <c r="E87" s="316">
        <v>123.04544911502903</v>
      </c>
      <c r="F87" s="316">
        <f t="shared" si="1"/>
        <v>123.04544911502903</v>
      </c>
      <c r="G87" s="479"/>
    </row>
    <row r="88" spans="2:7" ht="11.25" customHeight="1">
      <c r="B88" s="205"/>
      <c r="C88" s="315">
        <v>43181</v>
      </c>
      <c r="D88" s="316">
        <v>259.68345436999954</v>
      </c>
      <c r="E88" s="316">
        <v>123.04544911502903</v>
      </c>
      <c r="F88" s="316">
        <f t="shared" si="1"/>
        <v>123.04544911502903</v>
      </c>
      <c r="G88" s="479"/>
    </row>
    <row r="89" spans="2:7" ht="11.25" customHeight="1">
      <c r="B89" s="205"/>
      <c r="C89" s="315">
        <v>43182</v>
      </c>
      <c r="D89" s="316">
        <v>224.13770267200005</v>
      </c>
      <c r="E89" s="316">
        <v>123.04544911502903</v>
      </c>
      <c r="F89" s="316">
        <f t="shared" si="1"/>
        <v>123.04544911502903</v>
      </c>
      <c r="G89" s="479"/>
    </row>
    <row r="90" spans="2:7" ht="11.25" customHeight="1">
      <c r="B90" s="205"/>
      <c r="C90" s="315">
        <v>43183</v>
      </c>
      <c r="D90" s="316">
        <v>227.59051367600011</v>
      </c>
      <c r="E90" s="316">
        <v>123.04544911502903</v>
      </c>
      <c r="F90" s="316">
        <f t="shared" si="1"/>
        <v>123.04544911502903</v>
      </c>
      <c r="G90" s="479"/>
    </row>
    <row r="91" spans="2:7" ht="11.25" customHeight="1">
      <c r="B91" s="205"/>
      <c r="C91" s="315">
        <v>43184</v>
      </c>
      <c r="D91" s="316">
        <v>197.52312554999975</v>
      </c>
      <c r="E91" s="316">
        <v>123.04544911502903</v>
      </c>
      <c r="F91" s="316">
        <f t="shared" si="1"/>
        <v>123.04544911502903</v>
      </c>
      <c r="G91" s="479"/>
    </row>
    <row r="92" spans="2:7" ht="11.25" customHeight="1">
      <c r="B92" s="205"/>
      <c r="C92" s="315">
        <v>43185</v>
      </c>
      <c r="D92" s="316">
        <v>174.8848153020009</v>
      </c>
      <c r="E92" s="316">
        <v>123.04544911502903</v>
      </c>
      <c r="F92" s="316">
        <f t="shared" si="1"/>
        <v>123.04544911502903</v>
      </c>
      <c r="G92" s="479"/>
    </row>
    <row r="93" spans="2:7" ht="11.25" customHeight="1">
      <c r="B93" s="205"/>
      <c r="C93" s="315">
        <v>43186</v>
      </c>
      <c r="D93" s="316">
        <v>197.23462537199973</v>
      </c>
      <c r="E93" s="316">
        <v>123.04544911502903</v>
      </c>
      <c r="F93" s="316">
        <f t="shared" si="1"/>
        <v>123.04544911502903</v>
      </c>
      <c r="G93" s="479"/>
    </row>
    <row r="94" spans="2:7" ht="11.25" customHeight="1">
      <c r="B94" s="205"/>
      <c r="C94" s="315">
        <v>43187</v>
      </c>
      <c r="D94" s="316">
        <v>183.20252793400036</v>
      </c>
      <c r="E94" s="316">
        <v>123.04544911502903</v>
      </c>
      <c r="F94" s="316">
        <f t="shared" si="1"/>
        <v>123.04544911502903</v>
      </c>
      <c r="G94" s="479"/>
    </row>
    <row r="95" spans="2:7" ht="11.25" customHeight="1">
      <c r="B95" s="205"/>
      <c r="C95" s="315">
        <v>43188</v>
      </c>
      <c r="D95" s="316">
        <v>191.34412434999959</v>
      </c>
      <c r="E95" s="316">
        <v>123.04544911502903</v>
      </c>
      <c r="F95" s="316">
        <f t="shared" si="1"/>
        <v>123.04544911502903</v>
      </c>
      <c r="G95" s="479"/>
    </row>
    <row r="96" spans="2:7" ht="11.25" customHeight="1">
      <c r="B96" s="205"/>
      <c r="C96" s="315">
        <v>43189</v>
      </c>
      <c r="D96" s="316">
        <v>203.25224934199892</v>
      </c>
      <c r="E96" s="316">
        <v>123.04544911502903</v>
      </c>
      <c r="F96" s="316">
        <f t="shared" si="1"/>
        <v>123.04544911502903</v>
      </c>
      <c r="G96" s="479"/>
    </row>
    <row r="97" spans="2:7" ht="11.25" customHeight="1">
      <c r="B97" s="205"/>
      <c r="C97" s="315">
        <v>43190</v>
      </c>
      <c r="D97" s="316">
        <v>208.34432219400006</v>
      </c>
      <c r="E97" s="316">
        <v>123.04544911502903</v>
      </c>
      <c r="F97" s="316">
        <f t="shared" si="1"/>
        <v>123.04544911502903</v>
      </c>
      <c r="G97" s="479"/>
    </row>
    <row r="98" spans="2:7" ht="11.25" customHeight="1">
      <c r="B98" s="205"/>
      <c r="C98" s="315">
        <v>43191</v>
      </c>
      <c r="D98" s="316">
        <v>180.64150813600008</v>
      </c>
      <c r="E98" s="316">
        <v>124.98173132994</v>
      </c>
      <c r="F98" s="316">
        <f t="shared" si="1"/>
        <v>124.98173132994</v>
      </c>
      <c r="G98" s="479"/>
    </row>
    <row r="99" spans="2:7" ht="11.25" customHeight="1">
      <c r="B99" s="205"/>
      <c r="C99" s="315">
        <v>43192</v>
      </c>
      <c r="D99" s="316">
        <v>206.37544046400032</v>
      </c>
      <c r="E99" s="316">
        <v>124.98173132994</v>
      </c>
      <c r="F99" s="316">
        <f t="shared" si="1"/>
        <v>124.98173132994</v>
      </c>
      <c r="G99" s="479"/>
    </row>
    <row r="100" spans="2:7" ht="11.25" customHeight="1">
      <c r="B100" s="205"/>
      <c r="C100" s="315">
        <v>43193</v>
      </c>
      <c r="D100" s="316">
        <v>216.29181377199993</v>
      </c>
      <c r="E100" s="316">
        <v>124.98173132994</v>
      </c>
      <c r="F100" s="316">
        <f t="shared" si="1"/>
        <v>124.98173132994</v>
      </c>
      <c r="G100" s="479"/>
    </row>
    <row r="101" spans="2:7" ht="11.25" customHeight="1">
      <c r="B101" s="73"/>
      <c r="C101" s="315">
        <v>43194</v>
      </c>
      <c r="D101" s="316">
        <v>250.4421531560001</v>
      </c>
      <c r="E101" s="316">
        <v>124.98173132994</v>
      </c>
      <c r="F101" s="316">
        <f t="shared" si="1"/>
        <v>124.98173132994</v>
      </c>
      <c r="G101" s="479"/>
    </row>
    <row r="102" spans="2:7" ht="11.25" customHeight="1">
      <c r="B102" s="73"/>
      <c r="C102" s="315">
        <v>43195</v>
      </c>
      <c r="D102" s="316">
        <v>196.75356750199958</v>
      </c>
      <c r="E102" s="316">
        <v>124.98173132994</v>
      </c>
      <c r="F102" s="316">
        <f t="shared" si="1"/>
        <v>124.98173132994</v>
      </c>
      <c r="G102" s="479"/>
    </row>
    <row r="103" spans="2:7" ht="11.25" customHeight="1">
      <c r="B103" s="73"/>
      <c r="C103" s="315">
        <v>43196</v>
      </c>
      <c r="D103" s="316">
        <v>213.14845145800007</v>
      </c>
      <c r="E103" s="316">
        <v>124.98173132994</v>
      </c>
      <c r="F103" s="316">
        <f t="shared" si="1"/>
        <v>124.98173132994</v>
      </c>
      <c r="G103" s="479"/>
    </row>
    <row r="104" spans="2:7" ht="11.25" customHeight="1">
      <c r="C104" s="315">
        <v>43197</v>
      </c>
      <c r="D104" s="316">
        <v>221.89963566800003</v>
      </c>
      <c r="E104" s="316">
        <v>124.98173132994</v>
      </c>
      <c r="F104" s="316">
        <f t="shared" si="1"/>
        <v>124.98173132994</v>
      </c>
      <c r="G104" s="479"/>
    </row>
    <row r="105" spans="2:7" ht="11.25" customHeight="1">
      <c r="B105" s="73"/>
      <c r="C105" s="315">
        <v>43198</v>
      </c>
      <c r="D105" s="316">
        <v>216.58029402600059</v>
      </c>
      <c r="E105" s="316">
        <v>124.98173132994</v>
      </c>
      <c r="F105" s="316">
        <f t="shared" si="1"/>
        <v>124.98173132994</v>
      </c>
      <c r="G105" s="479"/>
    </row>
    <row r="106" spans="2:7" ht="11.25" customHeight="1">
      <c r="B106" s="73"/>
      <c r="C106" s="315">
        <v>43199</v>
      </c>
      <c r="D106" s="316">
        <v>335.0971228579993</v>
      </c>
      <c r="E106" s="316">
        <v>124.98173132994</v>
      </c>
      <c r="F106" s="316">
        <f t="shared" si="1"/>
        <v>124.98173132994</v>
      </c>
      <c r="G106" s="479"/>
    </row>
    <row r="107" spans="2:7" ht="11.25" customHeight="1">
      <c r="B107" s="73"/>
      <c r="C107" s="315">
        <v>43200</v>
      </c>
      <c r="D107" s="316">
        <v>294.00715951600051</v>
      </c>
      <c r="E107" s="316">
        <v>124.98173132994</v>
      </c>
      <c r="F107" s="316">
        <f t="shared" si="1"/>
        <v>124.98173132994</v>
      </c>
      <c r="G107" s="479"/>
    </row>
    <row r="108" spans="2:7" ht="11.25" customHeight="1">
      <c r="B108" s="73"/>
      <c r="C108" s="315">
        <v>43201</v>
      </c>
      <c r="D108" s="316">
        <v>233.95205999800001</v>
      </c>
      <c r="E108" s="316">
        <v>124.98173132994</v>
      </c>
      <c r="F108" s="316">
        <f t="shared" si="1"/>
        <v>124.98173132994</v>
      </c>
      <c r="G108" s="479"/>
    </row>
    <row r="109" spans="2:7" ht="11.25" customHeight="1">
      <c r="B109" s="73"/>
      <c r="C109" s="315">
        <v>43202</v>
      </c>
      <c r="D109" s="316">
        <v>312.5590238920006</v>
      </c>
      <c r="E109" s="316">
        <v>124.98173132994</v>
      </c>
      <c r="F109" s="316">
        <f t="shared" si="1"/>
        <v>124.98173132994</v>
      </c>
      <c r="G109" s="479"/>
    </row>
    <row r="110" spans="2:7" ht="11.25" customHeight="1">
      <c r="B110" s="73"/>
      <c r="C110" s="315">
        <v>43203</v>
      </c>
      <c r="D110" s="316">
        <v>281.98019153599904</v>
      </c>
      <c r="E110" s="316">
        <v>124.98173132994</v>
      </c>
      <c r="F110" s="316">
        <f t="shared" si="1"/>
        <v>124.98173132994</v>
      </c>
      <c r="G110" s="479"/>
    </row>
    <row r="111" spans="2:7" ht="11.25" customHeight="1">
      <c r="B111" s="73"/>
      <c r="C111" s="315">
        <v>43204</v>
      </c>
      <c r="D111" s="316">
        <v>248.8532110080003</v>
      </c>
      <c r="E111" s="316">
        <v>124.98173132994</v>
      </c>
      <c r="F111" s="316">
        <f t="shared" si="1"/>
        <v>124.98173132994</v>
      </c>
      <c r="G111" s="479"/>
    </row>
    <row r="112" spans="2:7" ht="11.25" customHeight="1">
      <c r="B112" s="73"/>
      <c r="C112" s="315">
        <v>43205</v>
      </c>
      <c r="D112" s="316">
        <v>240.30816856599944</v>
      </c>
      <c r="E112" s="316">
        <v>124.98173132994</v>
      </c>
      <c r="F112" s="316">
        <f t="shared" si="1"/>
        <v>124.98173132994</v>
      </c>
      <c r="G112" s="481">
        <f>E112</f>
        <v>124.98173132994</v>
      </c>
    </row>
    <row r="113" spans="2:7" ht="11.25" customHeight="1">
      <c r="B113" s="73"/>
      <c r="C113" s="315">
        <v>43206</v>
      </c>
      <c r="D113" s="316">
        <v>294.59839659800144</v>
      </c>
      <c r="E113" s="316">
        <v>124.98173132994</v>
      </c>
      <c r="F113" s="316">
        <f t="shared" si="1"/>
        <v>124.98173132994</v>
      </c>
      <c r="G113" s="479"/>
    </row>
    <row r="114" spans="2:7" ht="11.25" customHeight="1">
      <c r="B114" s="73"/>
      <c r="C114" s="315">
        <v>43207</v>
      </c>
      <c r="D114" s="316">
        <v>272.20633826600016</v>
      </c>
      <c r="E114" s="316">
        <v>124.98173132994</v>
      </c>
      <c r="F114" s="316">
        <f t="shared" si="1"/>
        <v>124.98173132994</v>
      </c>
      <c r="G114" s="479"/>
    </row>
    <row r="115" spans="2:7" ht="11.25" customHeight="1">
      <c r="B115" s="73"/>
      <c r="C115" s="315">
        <v>43208</v>
      </c>
      <c r="D115" s="316">
        <v>249.06921030199931</v>
      </c>
      <c r="E115" s="316">
        <v>124.98173132994</v>
      </c>
      <c r="F115" s="316">
        <f t="shared" si="1"/>
        <v>124.98173132994</v>
      </c>
      <c r="G115" s="479"/>
    </row>
    <row r="116" spans="2:7" ht="11.25" customHeight="1">
      <c r="B116" s="73"/>
      <c r="C116" s="315">
        <v>43209</v>
      </c>
      <c r="D116" s="316">
        <v>264.19075051200065</v>
      </c>
      <c r="E116" s="316">
        <v>124.98173132994</v>
      </c>
      <c r="F116" s="316">
        <f t="shared" si="1"/>
        <v>124.98173132994</v>
      </c>
      <c r="G116" s="479"/>
    </row>
    <row r="117" spans="2:7" ht="11.25" customHeight="1">
      <c r="B117" s="73"/>
      <c r="C117" s="315">
        <v>43210</v>
      </c>
      <c r="D117" s="316">
        <v>249.09278344799864</v>
      </c>
      <c r="E117" s="316">
        <v>124.98173132994</v>
      </c>
      <c r="F117" s="316">
        <f t="shared" si="1"/>
        <v>124.98173132994</v>
      </c>
      <c r="G117" s="479"/>
    </row>
    <row r="118" spans="2:7" ht="11.25" customHeight="1">
      <c r="B118" s="73"/>
      <c r="C118" s="315">
        <v>43211</v>
      </c>
      <c r="D118" s="316">
        <v>222.01873109600058</v>
      </c>
      <c r="E118" s="316">
        <v>124.98173132994</v>
      </c>
      <c r="F118" s="316">
        <f t="shared" si="1"/>
        <v>124.98173132994</v>
      </c>
      <c r="G118" s="479"/>
    </row>
    <row r="119" spans="2:7" ht="11.25" customHeight="1">
      <c r="B119" s="73"/>
      <c r="C119" s="315">
        <v>43212</v>
      </c>
      <c r="D119" s="316">
        <v>211.81981888000064</v>
      </c>
      <c r="E119" s="316">
        <v>124.98173132994</v>
      </c>
      <c r="F119" s="316">
        <f t="shared" si="1"/>
        <v>124.98173132994</v>
      </c>
      <c r="G119" s="479"/>
    </row>
    <row r="120" spans="2:7" ht="11.25" customHeight="1">
      <c r="B120" s="73"/>
      <c r="C120" s="315">
        <v>43213</v>
      </c>
      <c r="D120" s="316">
        <v>195.711148388</v>
      </c>
      <c r="E120" s="316">
        <v>124.98173132994</v>
      </c>
      <c r="F120" s="316">
        <f t="shared" si="1"/>
        <v>124.98173132994</v>
      </c>
      <c r="G120" s="479"/>
    </row>
    <row r="121" spans="2:7" ht="11.25" customHeight="1">
      <c r="B121" s="73"/>
      <c r="C121" s="315">
        <v>43214</v>
      </c>
      <c r="D121" s="316">
        <v>189.28117098399866</v>
      </c>
      <c r="E121" s="316">
        <v>124.98173132994</v>
      </c>
      <c r="F121" s="316">
        <f t="shared" si="1"/>
        <v>124.98173132994</v>
      </c>
      <c r="G121" s="479"/>
    </row>
    <row r="122" spans="2:7" ht="11.25" customHeight="1">
      <c r="B122" s="73"/>
      <c r="C122" s="315">
        <v>43215</v>
      </c>
      <c r="D122" s="316">
        <v>188.01630592400014</v>
      </c>
      <c r="E122" s="316">
        <v>124.98173132994</v>
      </c>
      <c r="F122" s="316">
        <f t="shared" si="1"/>
        <v>124.98173132994</v>
      </c>
      <c r="G122" s="479"/>
    </row>
    <row r="123" spans="2:7" ht="11.25" customHeight="1">
      <c r="B123" s="73"/>
      <c r="C123" s="315">
        <v>43216</v>
      </c>
      <c r="D123" s="316">
        <v>206.57081500400136</v>
      </c>
      <c r="E123" s="316">
        <v>124.98173132994</v>
      </c>
      <c r="F123" s="316">
        <f t="shared" si="1"/>
        <v>124.98173132994</v>
      </c>
      <c r="G123" s="479"/>
    </row>
    <row r="124" spans="2:7" ht="11.25" customHeight="1">
      <c r="B124" s="73"/>
      <c r="C124" s="315">
        <v>43217</v>
      </c>
      <c r="D124" s="316">
        <v>188.28614137799855</v>
      </c>
      <c r="E124" s="316">
        <v>124.98173132994</v>
      </c>
      <c r="F124" s="316">
        <f t="shared" si="1"/>
        <v>124.98173132994</v>
      </c>
      <c r="G124" s="479"/>
    </row>
    <row r="125" spans="2:7" ht="11.25" customHeight="1">
      <c r="B125" s="73"/>
      <c r="C125" s="315">
        <v>43218</v>
      </c>
      <c r="D125" s="316">
        <v>172.85823433800155</v>
      </c>
      <c r="E125" s="316">
        <v>124.98173132994</v>
      </c>
      <c r="F125" s="316">
        <f t="shared" si="1"/>
        <v>124.98173132994</v>
      </c>
      <c r="G125" s="479"/>
    </row>
    <row r="126" spans="2:7" ht="11.25" customHeight="1">
      <c r="B126" s="73"/>
      <c r="C126" s="315">
        <v>43219</v>
      </c>
      <c r="D126" s="316">
        <v>178.46927254399873</v>
      </c>
      <c r="E126" s="316">
        <v>124.98173132994</v>
      </c>
      <c r="F126" s="316">
        <f t="shared" si="1"/>
        <v>124.98173132994</v>
      </c>
      <c r="G126" s="479"/>
    </row>
    <row r="127" spans="2:7" ht="11.25" customHeight="1">
      <c r="B127" s="73"/>
      <c r="C127" s="315">
        <v>43220</v>
      </c>
      <c r="D127" s="316">
        <v>183.99924002800128</v>
      </c>
      <c r="E127" s="316">
        <v>124.98173132994</v>
      </c>
      <c r="F127" s="316">
        <f t="shared" si="1"/>
        <v>124.98173132994</v>
      </c>
      <c r="G127" s="479"/>
    </row>
    <row r="128" spans="2:7" ht="11.25" customHeight="1">
      <c r="B128" s="73"/>
      <c r="C128" s="315">
        <v>43221</v>
      </c>
      <c r="D128" s="316">
        <v>161.65691020799983</v>
      </c>
      <c r="E128" s="316">
        <v>106.79032108965163</v>
      </c>
      <c r="F128" s="316">
        <f t="shared" si="1"/>
        <v>106.79032108965163</v>
      </c>
      <c r="G128" s="479"/>
    </row>
    <row r="129" spans="2:7" ht="11.25" customHeight="1">
      <c r="C129" s="315">
        <v>43222</v>
      </c>
      <c r="D129" s="316">
        <v>128.06781125199848</v>
      </c>
      <c r="E129" s="316">
        <v>106.79032108965163</v>
      </c>
      <c r="F129" s="316">
        <f t="shared" si="1"/>
        <v>106.79032108965163</v>
      </c>
      <c r="G129" s="479"/>
    </row>
    <row r="130" spans="2:7" ht="11.25" customHeight="1">
      <c r="B130" s="73"/>
      <c r="C130" s="315">
        <v>43223</v>
      </c>
      <c r="D130" s="316">
        <v>130.00942126000126</v>
      </c>
      <c r="E130" s="316">
        <v>106.79032108965163</v>
      </c>
      <c r="F130" s="316">
        <f t="shared" si="1"/>
        <v>106.79032108965163</v>
      </c>
      <c r="G130" s="479"/>
    </row>
    <row r="131" spans="2:7" ht="11.25" customHeight="1">
      <c r="B131" s="73"/>
      <c r="C131" s="315">
        <v>43224</v>
      </c>
      <c r="D131" s="316">
        <v>132.96972305199881</v>
      </c>
      <c r="E131" s="316">
        <v>106.79032108965163</v>
      </c>
      <c r="F131" s="316">
        <f t="shared" si="1"/>
        <v>106.79032108965163</v>
      </c>
      <c r="G131" s="479"/>
    </row>
    <row r="132" spans="2:7" ht="11.25" customHeight="1">
      <c r="B132" s="73"/>
      <c r="C132" s="315">
        <v>43225</v>
      </c>
      <c r="D132" s="316">
        <v>121.54813403200133</v>
      </c>
      <c r="E132" s="316">
        <v>106.79032108965163</v>
      </c>
      <c r="F132" s="316">
        <f t="shared" si="1"/>
        <v>106.79032108965163</v>
      </c>
      <c r="G132" s="479"/>
    </row>
    <row r="133" spans="2:7" ht="11.25" customHeight="1">
      <c r="B133" s="73"/>
      <c r="C133" s="315">
        <v>43226</v>
      </c>
      <c r="D133" s="316">
        <v>137.2518057020001</v>
      </c>
      <c r="E133" s="316">
        <v>106.79032108965163</v>
      </c>
      <c r="F133" s="316">
        <f t="shared" si="1"/>
        <v>106.79032108965163</v>
      </c>
      <c r="G133" s="479"/>
    </row>
    <row r="134" spans="2:7" ht="11.25" customHeight="1">
      <c r="B134" s="73"/>
      <c r="C134" s="315">
        <v>43227</v>
      </c>
      <c r="D134" s="316">
        <v>105.63689861999892</v>
      </c>
      <c r="E134" s="316">
        <v>106.79032108965163</v>
      </c>
      <c r="F134" s="316">
        <f t="shared" si="1"/>
        <v>105.63689861999892</v>
      </c>
      <c r="G134" s="479"/>
    </row>
    <row r="135" spans="2:7" ht="11.25" customHeight="1">
      <c r="B135" s="73"/>
      <c r="C135" s="315">
        <v>43228</v>
      </c>
      <c r="D135" s="316">
        <v>145.62727066000002</v>
      </c>
      <c r="E135" s="316">
        <v>106.79032108965163</v>
      </c>
      <c r="F135" s="316">
        <f t="shared" si="1"/>
        <v>106.79032108965163</v>
      </c>
      <c r="G135" s="479"/>
    </row>
    <row r="136" spans="2:7" ht="11.25" customHeight="1">
      <c r="B136" s="73"/>
      <c r="C136" s="315">
        <v>43229</v>
      </c>
      <c r="D136" s="316">
        <v>132.0360730939999</v>
      </c>
      <c r="E136" s="316">
        <v>106.79032108965163</v>
      </c>
      <c r="F136" s="316">
        <f t="shared" si="1"/>
        <v>106.79032108965163</v>
      </c>
      <c r="G136" s="479"/>
    </row>
    <row r="137" spans="2:7" ht="11.25" customHeight="1">
      <c r="B137" s="73"/>
      <c r="C137" s="315">
        <v>43230</v>
      </c>
      <c r="D137" s="316">
        <v>120.90950401200124</v>
      </c>
      <c r="E137" s="316">
        <v>106.79032108965163</v>
      </c>
      <c r="F137" s="316">
        <f t="shared" ref="F137:F200" si="2">IF($D137&gt;E137,E137,$D137)</f>
        <v>106.79032108965163</v>
      </c>
      <c r="G137" s="479"/>
    </row>
    <row r="138" spans="2:7" ht="11.25" customHeight="1">
      <c r="B138" s="73"/>
      <c r="C138" s="315">
        <v>43231</v>
      </c>
      <c r="D138" s="316">
        <v>102.17908499999903</v>
      </c>
      <c r="E138" s="316">
        <v>106.79032108965163</v>
      </c>
      <c r="F138" s="316">
        <f t="shared" si="2"/>
        <v>102.17908499999903</v>
      </c>
      <c r="G138" s="479"/>
    </row>
    <row r="139" spans="2:7" ht="11.25" customHeight="1">
      <c r="B139" s="73"/>
      <c r="C139" s="315">
        <v>43232</v>
      </c>
      <c r="D139" s="316">
        <v>136.54319795999945</v>
      </c>
      <c r="E139" s="316">
        <v>106.79032108965163</v>
      </c>
      <c r="F139" s="316">
        <f t="shared" si="2"/>
        <v>106.79032108965163</v>
      </c>
      <c r="G139" s="479"/>
    </row>
    <row r="140" spans="2:7" ht="11.25" customHeight="1">
      <c r="B140" s="73"/>
      <c r="C140" s="315">
        <v>43233</v>
      </c>
      <c r="D140" s="316">
        <v>128.6606574579998</v>
      </c>
      <c r="E140" s="316">
        <v>106.79032108965163</v>
      </c>
      <c r="F140" s="316">
        <f t="shared" si="2"/>
        <v>106.79032108965163</v>
      </c>
      <c r="G140" s="479"/>
    </row>
    <row r="141" spans="2:7" ht="11.25" customHeight="1">
      <c r="B141" s="73"/>
      <c r="C141" s="315">
        <v>43234</v>
      </c>
      <c r="D141" s="316">
        <v>130.08944532800001</v>
      </c>
      <c r="E141" s="316">
        <v>106.79032108965163</v>
      </c>
      <c r="F141" s="316">
        <f t="shared" si="2"/>
        <v>106.79032108965163</v>
      </c>
      <c r="G141" s="479"/>
    </row>
    <row r="142" spans="2:7" ht="11.25" customHeight="1">
      <c r="B142" s="73"/>
      <c r="C142" s="315">
        <v>43235</v>
      </c>
      <c r="D142" s="316">
        <v>99.221303692001769</v>
      </c>
      <c r="E142" s="316">
        <v>106.79032108965163</v>
      </c>
      <c r="F142" s="316">
        <f t="shared" si="2"/>
        <v>99.221303692001769</v>
      </c>
      <c r="G142" s="481">
        <f>E142</f>
        <v>106.79032108965163</v>
      </c>
    </row>
    <row r="143" spans="2:7" ht="11.25" customHeight="1">
      <c r="B143" s="73"/>
      <c r="C143" s="315">
        <v>43236</v>
      </c>
      <c r="D143" s="316">
        <v>88.95393867199833</v>
      </c>
      <c r="E143" s="316">
        <v>106.79032108965163</v>
      </c>
      <c r="F143" s="316">
        <f t="shared" si="2"/>
        <v>88.95393867199833</v>
      </c>
      <c r="G143" s="479"/>
    </row>
    <row r="144" spans="2:7" ht="11.25" customHeight="1">
      <c r="B144" s="73"/>
      <c r="C144" s="315">
        <v>43237</v>
      </c>
      <c r="D144" s="316">
        <v>87.020850502001025</v>
      </c>
      <c r="E144" s="316">
        <v>106.79032108965163</v>
      </c>
      <c r="F144" s="316">
        <f t="shared" si="2"/>
        <v>87.020850502001025</v>
      </c>
      <c r="G144" s="479"/>
    </row>
    <row r="145" spans="2:7" ht="11.25" customHeight="1">
      <c r="B145" s="73"/>
      <c r="C145" s="315">
        <v>43238</v>
      </c>
      <c r="D145" s="316">
        <v>84.824577687999167</v>
      </c>
      <c r="E145" s="316">
        <v>106.79032108965163</v>
      </c>
      <c r="F145" s="316">
        <f t="shared" si="2"/>
        <v>84.824577687999167</v>
      </c>
      <c r="G145" s="479"/>
    </row>
    <row r="146" spans="2:7" ht="11.25" customHeight="1">
      <c r="B146" s="73"/>
      <c r="C146" s="315">
        <v>43239</v>
      </c>
      <c r="D146" s="316">
        <v>106.60432858400048</v>
      </c>
      <c r="E146" s="316">
        <v>106.79032108965163</v>
      </c>
      <c r="F146" s="316">
        <f t="shared" si="2"/>
        <v>106.60432858400048</v>
      </c>
      <c r="G146" s="479"/>
    </row>
    <row r="147" spans="2:7" ht="11.25" customHeight="1">
      <c r="B147" s="73"/>
      <c r="C147" s="315">
        <v>43240</v>
      </c>
      <c r="D147" s="316">
        <v>94.506611524000135</v>
      </c>
      <c r="E147" s="316">
        <v>106.79032108965163</v>
      </c>
      <c r="F147" s="316">
        <f t="shared" si="2"/>
        <v>94.506611524000135</v>
      </c>
      <c r="G147" s="479"/>
    </row>
    <row r="148" spans="2:7" ht="11.25" customHeight="1">
      <c r="B148" s="73"/>
      <c r="C148" s="315">
        <v>43241</v>
      </c>
      <c r="D148" s="316">
        <v>111.65892237600006</v>
      </c>
      <c r="E148" s="316">
        <v>106.79032108965163</v>
      </c>
      <c r="F148" s="316">
        <f t="shared" si="2"/>
        <v>106.79032108965163</v>
      </c>
      <c r="G148" s="479"/>
    </row>
    <row r="149" spans="2:7" ht="11.25" customHeight="1">
      <c r="B149" s="73"/>
      <c r="C149" s="315">
        <v>43242</v>
      </c>
      <c r="D149" s="316">
        <v>106.11552120600081</v>
      </c>
      <c r="E149" s="316">
        <v>106.79032108965163</v>
      </c>
      <c r="F149" s="316">
        <f t="shared" si="2"/>
        <v>106.11552120600081</v>
      </c>
      <c r="G149" s="479"/>
    </row>
    <row r="150" spans="2:7" ht="11.25" customHeight="1">
      <c r="B150" s="73"/>
      <c r="C150" s="315">
        <v>43243</v>
      </c>
      <c r="D150" s="316">
        <v>88.032414835999262</v>
      </c>
      <c r="E150" s="316">
        <v>106.79032108965163</v>
      </c>
      <c r="F150" s="316">
        <f t="shared" si="2"/>
        <v>88.032414835999262</v>
      </c>
      <c r="G150" s="479"/>
    </row>
    <row r="151" spans="2:7" ht="11.25" customHeight="1">
      <c r="B151" s="73"/>
      <c r="C151" s="315">
        <v>43244</v>
      </c>
      <c r="D151" s="316">
        <v>114.12488026600067</v>
      </c>
      <c r="E151" s="316">
        <v>106.79032108965163</v>
      </c>
      <c r="F151" s="316">
        <f t="shared" si="2"/>
        <v>106.79032108965163</v>
      </c>
      <c r="G151" s="479"/>
    </row>
    <row r="152" spans="2:7" ht="11.25" customHeight="1">
      <c r="B152" s="73"/>
      <c r="C152" s="315">
        <v>43245</v>
      </c>
      <c r="D152" s="316">
        <v>107.27478100799881</v>
      </c>
      <c r="E152" s="316">
        <v>106.79032108965163</v>
      </c>
      <c r="F152" s="316">
        <f t="shared" si="2"/>
        <v>106.79032108965163</v>
      </c>
      <c r="G152" s="479"/>
    </row>
    <row r="153" spans="2:7" ht="11.25" customHeight="1">
      <c r="B153" s="73"/>
      <c r="C153" s="315">
        <v>43246</v>
      </c>
      <c r="D153" s="316">
        <v>136.31513850000027</v>
      </c>
      <c r="E153" s="316">
        <v>106.79032108965163</v>
      </c>
      <c r="F153" s="316">
        <f t="shared" si="2"/>
        <v>106.79032108965163</v>
      </c>
      <c r="G153" s="479"/>
    </row>
    <row r="154" spans="2:7" ht="11.25" customHeight="1">
      <c r="B154" s="73"/>
      <c r="C154" s="315">
        <v>43247</v>
      </c>
      <c r="D154" s="316">
        <v>113.51495125200046</v>
      </c>
      <c r="E154" s="316">
        <v>106.79032108965163</v>
      </c>
      <c r="F154" s="316">
        <f t="shared" si="2"/>
        <v>106.79032108965163</v>
      </c>
      <c r="G154" s="479"/>
    </row>
    <row r="155" spans="2:7" ht="11.25" customHeight="1">
      <c r="B155" s="73"/>
      <c r="C155" s="315">
        <v>43248</v>
      </c>
      <c r="D155" s="316">
        <v>133.85502454600058</v>
      </c>
      <c r="E155" s="316">
        <v>106.79032108965163</v>
      </c>
      <c r="F155" s="316">
        <f t="shared" si="2"/>
        <v>106.79032108965163</v>
      </c>
      <c r="G155" s="479"/>
    </row>
    <row r="156" spans="2:7" ht="11.25" customHeight="1">
      <c r="B156" s="73"/>
      <c r="C156" s="315">
        <v>43249</v>
      </c>
      <c r="D156" s="316">
        <v>196.81222730799868</v>
      </c>
      <c r="E156" s="316">
        <v>106.79032108965163</v>
      </c>
      <c r="F156" s="316">
        <f t="shared" si="2"/>
        <v>106.79032108965163</v>
      </c>
      <c r="G156" s="479"/>
    </row>
    <row r="157" spans="2:7" ht="11.25" customHeight="1">
      <c r="B157" s="73"/>
      <c r="C157" s="315">
        <v>43250</v>
      </c>
      <c r="D157" s="316">
        <v>102.38139329200044</v>
      </c>
      <c r="E157" s="316">
        <v>106.79032108965163</v>
      </c>
      <c r="F157" s="316">
        <f t="shared" si="2"/>
        <v>102.38139329200044</v>
      </c>
      <c r="G157" s="479"/>
    </row>
    <row r="158" spans="2:7" ht="11.25" customHeight="1">
      <c r="B158" s="73"/>
      <c r="C158" s="315">
        <v>43251</v>
      </c>
      <c r="D158" s="316">
        <v>135.12242443399947</v>
      </c>
      <c r="E158" s="316">
        <v>106.79032108965163</v>
      </c>
      <c r="F158" s="316">
        <f t="shared" si="2"/>
        <v>106.79032108965163</v>
      </c>
      <c r="G158" s="479"/>
    </row>
    <row r="159" spans="2:7" ht="11.25" customHeight="1">
      <c r="B159" s="73"/>
      <c r="C159" s="315">
        <v>43252</v>
      </c>
      <c r="D159" s="316">
        <v>133.39863303799979</v>
      </c>
      <c r="E159" s="316">
        <v>64.364342968573325</v>
      </c>
      <c r="F159" s="316">
        <f t="shared" si="2"/>
        <v>64.364342968573325</v>
      </c>
      <c r="G159" s="479"/>
    </row>
    <row r="160" spans="2:7" ht="11.25" customHeight="1">
      <c r="B160" s="73"/>
      <c r="C160" s="315">
        <v>43253</v>
      </c>
      <c r="D160" s="316">
        <v>110.16120857600038</v>
      </c>
      <c r="E160" s="316">
        <v>64.364342968573325</v>
      </c>
      <c r="F160" s="316">
        <f t="shared" si="2"/>
        <v>64.364342968573325</v>
      </c>
      <c r="G160" s="479"/>
    </row>
    <row r="161" spans="2:7" ht="11.25" customHeight="1">
      <c r="B161" s="73"/>
      <c r="C161" s="315">
        <v>43254</v>
      </c>
      <c r="D161" s="316">
        <v>133.13508642200037</v>
      </c>
      <c r="E161" s="316">
        <v>64.364342968573325</v>
      </c>
      <c r="F161" s="316">
        <f t="shared" si="2"/>
        <v>64.364342968573325</v>
      </c>
      <c r="G161" s="479"/>
    </row>
    <row r="162" spans="2:7" ht="11.25" customHeight="1">
      <c r="B162" s="73"/>
      <c r="C162" s="315">
        <v>43255</v>
      </c>
      <c r="D162" s="316">
        <v>125.16039812600037</v>
      </c>
      <c r="E162" s="316">
        <v>64.364342968573325</v>
      </c>
      <c r="F162" s="316">
        <f t="shared" si="2"/>
        <v>64.364342968573325</v>
      </c>
      <c r="G162" s="479"/>
    </row>
    <row r="163" spans="2:7" ht="11.25" customHeight="1">
      <c r="B163" s="73"/>
      <c r="C163" s="315">
        <v>43256</v>
      </c>
      <c r="D163" s="316">
        <v>108.21749664799873</v>
      </c>
      <c r="E163" s="316">
        <v>64.364342968573325</v>
      </c>
      <c r="F163" s="316">
        <f t="shared" si="2"/>
        <v>64.364342968573325</v>
      </c>
      <c r="G163" s="479"/>
    </row>
    <row r="164" spans="2:7" ht="11.25" customHeight="1">
      <c r="B164" s="73"/>
      <c r="C164" s="315">
        <v>43257</v>
      </c>
      <c r="D164" s="316">
        <v>152.0800622720013</v>
      </c>
      <c r="E164" s="316">
        <v>64.364342968573325</v>
      </c>
      <c r="F164" s="316">
        <f t="shared" si="2"/>
        <v>64.364342968573325</v>
      </c>
      <c r="G164" s="479"/>
    </row>
    <row r="165" spans="2:7" ht="11.25" customHeight="1">
      <c r="B165" s="73"/>
      <c r="C165" s="315">
        <v>43258</v>
      </c>
      <c r="D165" s="316">
        <v>122.23485515199907</v>
      </c>
      <c r="E165" s="316">
        <v>64.364342968573325</v>
      </c>
      <c r="F165" s="316">
        <f t="shared" si="2"/>
        <v>64.364342968573325</v>
      </c>
      <c r="G165" s="479"/>
    </row>
    <row r="166" spans="2:7" ht="11.25" customHeight="1">
      <c r="B166" s="73"/>
      <c r="C166" s="315">
        <v>43259</v>
      </c>
      <c r="D166" s="316">
        <v>155.66738297000077</v>
      </c>
      <c r="E166" s="316">
        <v>64.364342968573325</v>
      </c>
      <c r="F166" s="316">
        <f t="shared" si="2"/>
        <v>64.364342968573325</v>
      </c>
      <c r="G166" s="479"/>
    </row>
    <row r="167" spans="2:7" ht="11.25" customHeight="1">
      <c r="B167" s="73"/>
      <c r="C167" s="315">
        <v>43260</v>
      </c>
      <c r="D167" s="316">
        <v>156.41429758999922</v>
      </c>
      <c r="E167" s="316">
        <v>64.364342968573325</v>
      </c>
      <c r="F167" s="316">
        <f t="shared" si="2"/>
        <v>64.364342968573325</v>
      </c>
      <c r="G167" s="479"/>
    </row>
    <row r="168" spans="2:7" ht="11.25" customHeight="1">
      <c r="B168" s="73"/>
      <c r="C168" s="315">
        <v>43261</v>
      </c>
      <c r="D168" s="316">
        <v>160.31979624999963</v>
      </c>
      <c r="E168" s="316">
        <v>64.364342968573325</v>
      </c>
      <c r="F168" s="316">
        <f t="shared" si="2"/>
        <v>64.364342968573325</v>
      </c>
      <c r="G168" s="479"/>
    </row>
    <row r="169" spans="2:7" ht="11.25" customHeight="1">
      <c r="B169" s="73"/>
      <c r="C169" s="315">
        <v>43262</v>
      </c>
      <c r="D169" s="316">
        <v>172.05950685200102</v>
      </c>
      <c r="E169" s="316">
        <v>64.364342968573325</v>
      </c>
      <c r="F169" s="316">
        <f t="shared" si="2"/>
        <v>64.364342968573325</v>
      </c>
      <c r="G169" s="479"/>
    </row>
    <row r="170" spans="2:7" ht="11.25" customHeight="1">
      <c r="C170" s="315">
        <v>43263</v>
      </c>
      <c r="D170" s="316">
        <v>141.56010300799986</v>
      </c>
      <c r="E170" s="316">
        <v>64.364342968573325</v>
      </c>
      <c r="F170" s="316">
        <f t="shared" si="2"/>
        <v>64.364342968573325</v>
      </c>
      <c r="G170" s="479"/>
    </row>
    <row r="171" spans="2:7" ht="11.25" customHeight="1">
      <c r="C171" s="315">
        <v>43264</v>
      </c>
      <c r="D171" s="316">
        <v>134.04998326200044</v>
      </c>
      <c r="E171" s="316">
        <v>64.364342968573325</v>
      </c>
      <c r="F171" s="316">
        <f t="shared" si="2"/>
        <v>64.364342968573325</v>
      </c>
      <c r="G171" s="479"/>
    </row>
    <row r="172" spans="2:7" ht="11.25" customHeight="1">
      <c r="C172" s="315">
        <v>43265</v>
      </c>
      <c r="D172" s="316">
        <v>154.5719258279988</v>
      </c>
      <c r="E172" s="316">
        <v>64.364342968573325</v>
      </c>
      <c r="F172" s="316">
        <f t="shared" si="2"/>
        <v>64.364342968573325</v>
      </c>
      <c r="G172" s="479"/>
    </row>
    <row r="173" spans="2:7" ht="11.25" customHeight="1">
      <c r="C173" s="315">
        <v>43266</v>
      </c>
      <c r="D173" s="316">
        <v>125.88783140400163</v>
      </c>
      <c r="E173" s="316">
        <v>64.364342968573325</v>
      </c>
      <c r="F173" s="316">
        <f t="shared" si="2"/>
        <v>64.364342968573325</v>
      </c>
      <c r="G173" s="481">
        <f>E173</f>
        <v>64.364342968573325</v>
      </c>
    </row>
    <row r="174" spans="2:7" ht="11.25" customHeight="1">
      <c r="C174" s="315">
        <v>43267</v>
      </c>
      <c r="D174" s="316">
        <v>133.88790612799949</v>
      </c>
      <c r="E174" s="316">
        <v>64.364342968573325</v>
      </c>
      <c r="F174" s="316">
        <f t="shared" si="2"/>
        <v>64.364342968573325</v>
      </c>
      <c r="G174" s="479"/>
    </row>
    <row r="175" spans="2:7" ht="11.25" customHeight="1">
      <c r="B175" s="73"/>
      <c r="C175" s="315">
        <v>43268</v>
      </c>
      <c r="D175" s="316">
        <v>101.50121065599893</v>
      </c>
      <c r="E175" s="316">
        <v>64.364342968573325</v>
      </c>
      <c r="F175" s="316">
        <f t="shared" si="2"/>
        <v>64.364342968573325</v>
      </c>
      <c r="G175" s="479"/>
    </row>
    <row r="176" spans="2:7" ht="11.25" customHeight="1">
      <c r="B176" s="73"/>
      <c r="C176" s="315">
        <v>43269</v>
      </c>
      <c r="D176" s="316">
        <v>131.60801880799997</v>
      </c>
      <c r="E176" s="316">
        <v>64.364342968573325</v>
      </c>
      <c r="F176" s="316">
        <f t="shared" si="2"/>
        <v>64.364342968573325</v>
      </c>
      <c r="G176" s="479"/>
    </row>
    <row r="177" spans="2:7" ht="11.25" customHeight="1">
      <c r="B177" s="73"/>
      <c r="C177" s="315">
        <v>43270</v>
      </c>
      <c r="D177" s="316">
        <v>94.09487812800036</v>
      </c>
      <c r="E177" s="316">
        <v>64.364342968573325</v>
      </c>
      <c r="F177" s="316">
        <f t="shared" si="2"/>
        <v>64.364342968573325</v>
      </c>
      <c r="G177" s="479"/>
    </row>
    <row r="178" spans="2:7" ht="11.25" customHeight="1">
      <c r="B178" s="73"/>
      <c r="C178" s="315">
        <v>43271</v>
      </c>
      <c r="D178" s="316">
        <v>98.447361891999748</v>
      </c>
      <c r="E178" s="316">
        <v>64.364342968573325</v>
      </c>
      <c r="F178" s="316">
        <f t="shared" si="2"/>
        <v>64.364342968573325</v>
      </c>
      <c r="G178" s="479"/>
    </row>
    <row r="179" spans="2:7" ht="11.25" customHeight="1">
      <c r="B179" s="73"/>
      <c r="C179" s="315">
        <v>43272</v>
      </c>
      <c r="D179" s="316">
        <v>94.177948864000996</v>
      </c>
      <c r="E179" s="316">
        <v>64.364342968573325</v>
      </c>
      <c r="F179" s="316">
        <f t="shared" si="2"/>
        <v>64.364342968573325</v>
      </c>
      <c r="G179" s="479"/>
    </row>
    <row r="180" spans="2:7" ht="11.25" customHeight="1">
      <c r="B180" s="73"/>
      <c r="C180" s="315">
        <v>43273</v>
      </c>
      <c r="D180" s="316">
        <v>97.57355473599884</v>
      </c>
      <c r="E180" s="316">
        <v>64.364342968573325</v>
      </c>
      <c r="F180" s="316">
        <f t="shared" si="2"/>
        <v>64.364342968573325</v>
      </c>
      <c r="G180" s="479"/>
    </row>
    <row r="181" spans="2:7" ht="11.25" customHeight="1">
      <c r="C181" s="315">
        <v>43274</v>
      </c>
      <c r="D181" s="316">
        <v>69.95211200800145</v>
      </c>
      <c r="E181" s="316">
        <v>64.364342968573325</v>
      </c>
      <c r="F181" s="316">
        <f t="shared" si="2"/>
        <v>64.364342968573325</v>
      </c>
      <c r="G181" s="479"/>
    </row>
    <row r="182" spans="2:7" ht="11.25" customHeight="1">
      <c r="C182" s="315">
        <v>43275</v>
      </c>
      <c r="D182" s="316">
        <v>80.486353501998749</v>
      </c>
      <c r="E182" s="316">
        <v>64.364342968573325</v>
      </c>
      <c r="F182" s="316">
        <f t="shared" si="2"/>
        <v>64.364342968573325</v>
      </c>
      <c r="G182" s="479"/>
    </row>
    <row r="183" spans="2:7" ht="11.25" customHeight="1">
      <c r="C183" s="315">
        <v>43276</v>
      </c>
      <c r="D183" s="316">
        <v>98.987697599999805</v>
      </c>
      <c r="E183" s="316">
        <v>64.364342968573325</v>
      </c>
      <c r="F183" s="316">
        <f t="shared" si="2"/>
        <v>64.364342968573325</v>
      </c>
      <c r="G183" s="479"/>
    </row>
    <row r="184" spans="2:7" ht="11.25" customHeight="1">
      <c r="C184" s="315">
        <v>43277</v>
      </c>
      <c r="D184" s="316">
        <v>80.226755246000977</v>
      </c>
      <c r="E184" s="316">
        <v>64.364342968573325</v>
      </c>
      <c r="F184" s="316">
        <f t="shared" si="2"/>
        <v>64.364342968573325</v>
      </c>
      <c r="G184" s="479"/>
    </row>
    <row r="185" spans="2:7" ht="11.25" customHeight="1">
      <c r="C185" s="315">
        <v>43278</v>
      </c>
      <c r="D185" s="316">
        <v>70.470804656000197</v>
      </c>
      <c r="E185" s="316">
        <v>64.364342968573325</v>
      </c>
      <c r="F185" s="316">
        <f t="shared" si="2"/>
        <v>64.364342968573325</v>
      </c>
      <c r="G185" s="479"/>
    </row>
    <row r="186" spans="2:7" ht="11.25" customHeight="1">
      <c r="C186" s="315">
        <v>43279</v>
      </c>
      <c r="D186" s="316">
        <v>76.559782204000328</v>
      </c>
      <c r="E186" s="316">
        <v>64.364342968573325</v>
      </c>
      <c r="F186" s="316">
        <f t="shared" si="2"/>
        <v>64.364342968573325</v>
      </c>
      <c r="G186" s="479"/>
    </row>
    <row r="187" spans="2:7" ht="11.25" customHeight="1">
      <c r="C187" s="315">
        <v>43280</v>
      </c>
      <c r="D187" s="316">
        <v>84.107286497999098</v>
      </c>
      <c r="E187" s="316">
        <v>64.364342968573325</v>
      </c>
      <c r="F187" s="316">
        <f t="shared" si="2"/>
        <v>64.364342968573325</v>
      </c>
      <c r="G187" s="479"/>
    </row>
    <row r="188" spans="2:7" ht="11.25" customHeight="1">
      <c r="C188" s="315">
        <v>43281</v>
      </c>
      <c r="D188" s="316">
        <v>94.462659259999342</v>
      </c>
      <c r="E188" s="316">
        <v>64.364342968573325</v>
      </c>
      <c r="F188" s="316">
        <f t="shared" si="2"/>
        <v>64.364342968573325</v>
      </c>
      <c r="G188" s="479"/>
    </row>
    <row r="189" spans="2:7" ht="11.25" customHeight="1">
      <c r="C189" s="315">
        <v>43282</v>
      </c>
      <c r="D189" s="316">
        <v>83.338849070001217</v>
      </c>
      <c r="E189" s="316">
        <v>28.016997662909688</v>
      </c>
      <c r="F189" s="316">
        <f t="shared" si="2"/>
        <v>28.016997662909688</v>
      </c>
      <c r="G189" s="479"/>
    </row>
    <row r="190" spans="2:7" ht="11.25" customHeight="1">
      <c r="C190" s="315">
        <v>43283</v>
      </c>
      <c r="D190" s="316">
        <v>87.420733355998905</v>
      </c>
      <c r="E190" s="316">
        <v>28.016997662909688</v>
      </c>
      <c r="F190" s="316">
        <f t="shared" si="2"/>
        <v>28.016997662909688</v>
      </c>
      <c r="G190" s="479"/>
    </row>
    <row r="191" spans="2:7" ht="11.25" customHeight="1">
      <c r="C191" s="315">
        <v>43284</v>
      </c>
      <c r="D191" s="316">
        <v>84.813546732000418</v>
      </c>
      <c r="E191" s="316">
        <v>28.016997662909688</v>
      </c>
      <c r="F191" s="316">
        <f t="shared" si="2"/>
        <v>28.016997662909688</v>
      </c>
      <c r="G191" s="479"/>
    </row>
    <row r="192" spans="2:7" ht="11.25" customHeight="1">
      <c r="C192" s="315">
        <v>43285</v>
      </c>
      <c r="D192" s="316">
        <v>85.806586398000107</v>
      </c>
      <c r="E192" s="316">
        <v>28.016997662909688</v>
      </c>
      <c r="F192" s="316">
        <f t="shared" si="2"/>
        <v>28.016997662909688</v>
      </c>
      <c r="G192" s="479"/>
    </row>
    <row r="193" spans="2:7" ht="11.25" customHeight="1">
      <c r="C193" s="315">
        <v>43286</v>
      </c>
      <c r="D193" s="316">
        <v>69.067776566000461</v>
      </c>
      <c r="E193" s="316">
        <v>28.016997662909688</v>
      </c>
      <c r="F193" s="316">
        <f t="shared" si="2"/>
        <v>28.016997662909688</v>
      </c>
      <c r="G193" s="479"/>
    </row>
    <row r="194" spans="2:7" ht="11.25" customHeight="1">
      <c r="C194" s="315">
        <v>43287</v>
      </c>
      <c r="D194" s="316">
        <v>83.776372238000349</v>
      </c>
      <c r="E194" s="316">
        <v>28.016997662909688</v>
      </c>
      <c r="F194" s="316">
        <f t="shared" si="2"/>
        <v>28.016997662909688</v>
      </c>
      <c r="G194" s="479"/>
    </row>
    <row r="195" spans="2:7" ht="11.25" customHeight="1">
      <c r="C195" s="315">
        <v>43288</v>
      </c>
      <c r="D195" s="316">
        <v>62.486061319999862</v>
      </c>
      <c r="E195" s="316">
        <v>28.016997662909688</v>
      </c>
      <c r="F195" s="316">
        <f t="shared" si="2"/>
        <v>28.016997662909688</v>
      </c>
      <c r="G195" s="479"/>
    </row>
    <row r="196" spans="2:7" ht="11.25" customHeight="1">
      <c r="C196" s="315">
        <v>43289</v>
      </c>
      <c r="D196" s="316">
        <v>45.631659867999552</v>
      </c>
      <c r="E196" s="316">
        <v>28.016997662909688</v>
      </c>
      <c r="F196" s="316">
        <f t="shared" si="2"/>
        <v>28.016997662909688</v>
      </c>
      <c r="G196" s="479"/>
    </row>
    <row r="197" spans="2:7" ht="11.25" customHeight="1">
      <c r="B197" s="73"/>
      <c r="C197" s="315">
        <v>43290</v>
      </c>
      <c r="D197" s="316">
        <v>73.311981030000396</v>
      </c>
      <c r="E197" s="316">
        <v>28.016997662909688</v>
      </c>
      <c r="F197" s="316">
        <f t="shared" si="2"/>
        <v>28.016997662909688</v>
      </c>
      <c r="G197" s="479"/>
    </row>
    <row r="198" spans="2:7" ht="11.25" customHeight="1">
      <c r="B198" s="73"/>
      <c r="C198" s="315">
        <v>43291</v>
      </c>
      <c r="D198" s="316">
        <v>71.794247876000213</v>
      </c>
      <c r="E198" s="316">
        <v>28.016997662909688</v>
      </c>
      <c r="F198" s="316">
        <f t="shared" si="2"/>
        <v>28.016997662909688</v>
      </c>
      <c r="G198" s="479"/>
    </row>
    <row r="199" spans="2:7" ht="11.25" customHeight="1">
      <c r="B199" s="73"/>
      <c r="C199" s="315">
        <v>43292</v>
      </c>
      <c r="D199" s="316">
        <v>57.788365144000302</v>
      </c>
      <c r="E199" s="316">
        <v>28.016997662909688</v>
      </c>
      <c r="F199" s="316">
        <f t="shared" si="2"/>
        <v>28.016997662909688</v>
      </c>
      <c r="G199" s="479"/>
    </row>
    <row r="200" spans="2:7" ht="11.25" customHeight="1">
      <c r="B200" s="73"/>
      <c r="C200" s="315">
        <v>43293</v>
      </c>
      <c r="D200" s="316">
        <v>67.739662909999794</v>
      </c>
      <c r="E200" s="316">
        <v>28.016997662909688</v>
      </c>
      <c r="F200" s="316">
        <f t="shared" si="2"/>
        <v>28.016997662909688</v>
      </c>
      <c r="G200" s="479"/>
    </row>
    <row r="201" spans="2:7" ht="11.25" customHeight="1">
      <c r="B201" s="73"/>
      <c r="C201" s="315">
        <v>43294</v>
      </c>
      <c r="D201" s="316">
        <v>37.331865595998764</v>
      </c>
      <c r="E201" s="316">
        <v>28.016997662909688</v>
      </c>
      <c r="F201" s="316">
        <f t="shared" ref="F201:F264" si="3">IF($D201&gt;E201,E201,$D201)</f>
        <v>28.016997662909688</v>
      </c>
      <c r="G201" s="479"/>
    </row>
    <row r="202" spans="2:7" ht="11.25" customHeight="1">
      <c r="B202" s="73"/>
      <c r="C202" s="315">
        <v>43295</v>
      </c>
      <c r="D202" s="316">
        <v>22.407540530000581</v>
      </c>
      <c r="E202" s="316">
        <v>28.016997662909688</v>
      </c>
      <c r="F202" s="316">
        <f t="shared" si="3"/>
        <v>22.407540530000581</v>
      </c>
      <c r="G202" s="479"/>
    </row>
    <row r="203" spans="2:7" ht="11.25" customHeight="1">
      <c r="B203" s="73"/>
      <c r="C203" s="315">
        <v>43296</v>
      </c>
      <c r="D203" s="316">
        <v>6.4594428000008488</v>
      </c>
      <c r="E203" s="316">
        <v>28.016997662909688</v>
      </c>
      <c r="F203" s="316">
        <f t="shared" si="3"/>
        <v>6.4594428000008488</v>
      </c>
      <c r="G203" s="481">
        <f>E203</f>
        <v>28.016997662909688</v>
      </c>
    </row>
    <row r="204" spans="2:7" ht="11.25" customHeight="1">
      <c r="B204" s="73"/>
      <c r="C204" s="315">
        <v>43297</v>
      </c>
      <c r="D204" s="316">
        <v>7.1025660679983993</v>
      </c>
      <c r="E204" s="316">
        <v>28.016997662909688</v>
      </c>
      <c r="F204" s="316">
        <f t="shared" si="3"/>
        <v>7.1025660679983993</v>
      </c>
      <c r="G204" s="479"/>
    </row>
    <row r="205" spans="2:7" ht="11.25" customHeight="1">
      <c r="B205" s="73"/>
      <c r="C205" s="315">
        <v>43298</v>
      </c>
      <c r="D205" s="316">
        <v>5.5651982060000442</v>
      </c>
      <c r="E205" s="316">
        <v>28.016997662909688</v>
      </c>
      <c r="F205" s="316">
        <f t="shared" si="3"/>
        <v>5.5651982060000442</v>
      </c>
      <c r="G205" s="479"/>
    </row>
    <row r="206" spans="2:7" ht="11.25" customHeight="1">
      <c r="B206" s="73"/>
      <c r="C206" s="315">
        <v>43299</v>
      </c>
      <c r="D206" s="316">
        <v>6.9440533500001038</v>
      </c>
      <c r="E206" s="316">
        <v>28.016997662909688</v>
      </c>
      <c r="F206" s="316">
        <f t="shared" si="3"/>
        <v>6.9440533500001038</v>
      </c>
      <c r="G206" s="479"/>
    </row>
    <row r="207" spans="2:7" ht="11.25" customHeight="1">
      <c r="C207" s="315">
        <v>43300</v>
      </c>
      <c r="D207" s="316">
        <v>8.0249501500002083</v>
      </c>
      <c r="E207" s="316">
        <v>28.016997662909688</v>
      </c>
      <c r="F207" s="316">
        <f t="shared" si="3"/>
        <v>8.0249501500002083</v>
      </c>
      <c r="G207" s="479"/>
    </row>
    <row r="208" spans="2:7" ht="11.25" customHeight="1">
      <c r="B208" s="73"/>
      <c r="C208" s="315">
        <v>43301</v>
      </c>
      <c r="D208" s="316">
        <v>5.3168332739994799</v>
      </c>
      <c r="E208" s="316">
        <v>28.016997662909688</v>
      </c>
      <c r="F208" s="316">
        <f t="shared" si="3"/>
        <v>5.3168332739994799</v>
      </c>
      <c r="G208" s="479"/>
    </row>
    <row r="209" spans="2:7" ht="11.25" customHeight="1">
      <c r="B209" s="73"/>
      <c r="C209" s="315">
        <v>43302</v>
      </c>
      <c r="D209" s="316">
        <v>4.3119792700016841</v>
      </c>
      <c r="E209" s="316">
        <v>28.016997662909688</v>
      </c>
      <c r="F209" s="316">
        <f t="shared" si="3"/>
        <v>4.3119792700016841</v>
      </c>
      <c r="G209" s="479"/>
    </row>
    <row r="210" spans="2:7" ht="11.25" customHeight="1">
      <c r="B210" s="73"/>
      <c r="C210" s="315">
        <v>43303</v>
      </c>
      <c r="D210" s="316">
        <v>3.1189806419999369</v>
      </c>
      <c r="E210" s="316">
        <v>28.016997662909688</v>
      </c>
      <c r="F210" s="316">
        <f t="shared" si="3"/>
        <v>3.1189806419999369</v>
      </c>
      <c r="G210" s="479"/>
    </row>
    <row r="211" spans="2:7" ht="11.25" customHeight="1">
      <c r="B211" s="73"/>
      <c r="C211" s="315">
        <v>43304</v>
      </c>
      <c r="D211" s="316">
        <v>61.252217533999847</v>
      </c>
      <c r="E211" s="316">
        <v>28.016997662909688</v>
      </c>
      <c r="F211" s="316">
        <f t="shared" si="3"/>
        <v>28.016997662909688</v>
      </c>
      <c r="G211" s="479"/>
    </row>
    <row r="212" spans="2:7" ht="11.25" customHeight="1">
      <c r="B212" s="73"/>
      <c r="C212" s="315">
        <v>43305</v>
      </c>
      <c r="D212" s="316">
        <v>54.407446888000237</v>
      </c>
      <c r="E212" s="316">
        <v>28.016997662909688</v>
      </c>
      <c r="F212" s="316">
        <f t="shared" si="3"/>
        <v>28.016997662909688</v>
      </c>
      <c r="G212" s="479"/>
    </row>
    <row r="213" spans="2:7" ht="11.25" customHeight="1">
      <c r="B213" s="73"/>
      <c r="C213" s="315">
        <v>43306</v>
      </c>
      <c r="D213" s="316">
        <v>48.709267289998735</v>
      </c>
      <c r="E213" s="316">
        <v>28.016997662909688</v>
      </c>
      <c r="F213" s="316">
        <f t="shared" si="3"/>
        <v>28.016997662909688</v>
      </c>
      <c r="G213" s="479"/>
    </row>
    <row r="214" spans="2:7" ht="11.25" customHeight="1">
      <c r="B214" s="73"/>
      <c r="C214" s="315">
        <v>43307</v>
      </c>
      <c r="D214" s="316">
        <v>48.217975548000481</v>
      </c>
      <c r="E214" s="316">
        <v>28.016997662909688</v>
      </c>
      <c r="F214" s="316">
        <f t="shared" si="3"/>
        <v>28.016997662909688</v>
      </c>
      <c r="G214" s="479"/>
    </row>
    <row r="215" spans="2:7" ht="11.25" customHeight="1">
      <c r="B215" s="73"/>
      <c r="C215" s="315">
        <v>43308</v>
      </c>
      <c r="D215" s="316">
        <v>48.653518313999172</v>
      </c>
      <c r="E215" s="316">
        <v>28.016997662909688</v>
      </c>
      <c r="F215" s="316">
        <f t="shared" si="3"/>
        <v>28.016997662909688</v>
      </c>
      <c r="G215" s="479"/>
    </row>
    <row r="216" spans="2:7" ht="11.25" customHeight="1">
      <c r="B216" s="73"/>
      <c r="C216" s="315">
        <v>43309</v>
      </c>
      <c r="D216" s="316">
        <v>41.133053298001698</v>
      </c>
      <c r="E216" s="316">
        <v>28.016997662909688</v>
      </c>
      <c r="F216" s="316">
        <f t="shared" si="3"/>
        <v>28.016997662909688</v>
      </c>
      <c r="G216" s="479"/>
    </row>
    <row r="217" spans="2:7" ht="11.25" customHeight="1">
      <c r="B217" s="73"/>
      <c r="C217" s="315">
        <v>43310</v>
      </c>
      <c r="D217" s="316">
        <v>36.667447007999222</v>
      </c>
      <c r="E217" s="316">
        <v>28.016997662909688</v>
      </c>
      <c r="F217" s="316">
        <f t="shared" si="3"/>
        <v>28.016997662909688</v>
      </c>
      <c r="G217" s="479"/>
    </row>
    <row r="218" spans="2:7" ht="11.25" customHeight="1">
      <c r="B218" s="73"/>
      <c r="C218" s="315">
        <v>43311</v>
      </c>
      <c r="D218" s="316">
        <v>42.800289232000388</v>
      </c>
      <c r="E218" s="316">
        <v>28.016997662909688</v>
      </c>
      <c r="F218" s="316">
        <f t="shared" si="3"/>
        <v>28.016997662909688</v>
      </c>
      <c r="G218" s="479"/>
    </row>
    <row r="219" spans="2:7" ht="11.25" customHeight="1">
      <c r="B219" s="73"/>
      <c r="C219" s="315">
        <v>43312</v>
      </c>
      <c r="D219" s="316">
        <v>34.62886707999931</v>
      </c>
      <c r="E219" s="316">
        <v>28.016997662909688</v>
      </c>
      <c r="F219" s="316">
        <f t="shared" si="3"/>
        <v>28.016997662909688</v>
      </c>
      <c r="G219" s="479"/>
    </row>
    <row r="220" spans="2:7" ht="11.25" customHeight="1">
      <c r="B220" s="73"/>
      <c r="C220" s="315">
        <v>43313</v>
      </c>
      <c r="D220" s="316">
        <v>50.132945983210476</v>
      </c>
      <c r="E220" s="316">
        <v>16.99706947525484</v>
      </c>
      <c r="F220" s="316">
        <f t="shared" si="3"/>
        <v>16.99706947525484</v>
      </c>
      <c r="G220" s="479"/>
    </row>
    <row r="221" spans="2:7" ht="11.25" customHeight="1">
      <c r="B221" s="73"/>
      <c r="C221" s="315">
        <v>43314</v>
      </c>
      <c r="D221" s="316">
        <v>61.407141113210471</v>
      </c>
      <c r="E221" s="316">
        <v>16.99706947525484</v>
      </c>
      <c r="F221" s="316">
        <f t="shared" si="3"/>
        <v>16.99706947525484</v>
      </c>
      <c r="G221" s="479"/>
    </row>
    <row r="222" spans="2:7" ht="11.25" customHeight="1">
      <c r="B222" s="73"/>
      <c r="C222" s="315">
        <v>43315</v>
      </c>
      <c r="D222" s="316">
        <v>72.930721039210482</v>
      </c>
      <c r="E222" s="316">
        <v>16.99706947525484</v>
      </c>
      <c r="F222" s="316">
        <f t="shared" si="3"/>
        <v>16.99706947525484</v>
      </c>
      <c r="G222" s="479"/>
    </row>
    <row r="223" spans="2:7" ht="11.25" customHeight="1">
      <c r="B223" s="73"/>
      <c r="C223" s="315">
        <v>43316</v>
      </c>
      <c r="D223" s="316">
        <v>47.757173181210469</v>
      </c>
      <c r="E223" s="316">
        <v>16.99706947525484</v>
      </c>
      <c r="F223" s="316">
        <f t="shared" si="3"/>
        <v>16.99706947525484</v>
      </c>
      <c r="G223" s="479"/>
    </row>
    <row r="224" spans="2:7" ht="11.25" customHeight="1">
      <c r="B224" s="73"/>
      <c r="C224" s="315">
        <v>43317</v>
      </c>
      <c r="D224" s="316">
        <v>38.16197266721047</v>
      </c>
      <c r="E224" s="316">
        <v>16.99706947525484</v>
      </c>
      <c r="F224" s="316">
        <f t="shared" si="3"/>
        <v>16.99706947525484</v>
      </c>
      <c r="G224" s="479"/>
    </row>
    <row r="225" spans="2:7" ht="11.25" customHeight="1">
      <c r="B225" s="73"/>
      <c r="C225" s="315">
        <v>43318</v>
      </c>
      <c r="D225" s="316">
        <v>54.84471650920861</v>
      </c>
      <c r="E225" s="316">
        <v>16.99706947525484</v>
      </c>
      <c r="F225" s="316">
        <f t="shared" si="3"/>
        <v>16.99706947525484</v>
      </c>
      <c r="G225" s="479"/>
    </row>
    <row r="226" spans="2:7" ht="11.25" customHeight="1">
      <c r="B226" s="73"/>
      <c r="C226" s="315">
        <v>43319</v>
      </c>
      <c r="D226" s="316">
        <v>41.054548483212336</v>
      </c>
      <c r="E226" s="316">
        <v>16.99706947525484</v>
      </c>
      <c r="F226" s="316">
        <f t="shared" si="3"/>
        <v>16.99706947525484</v>
      </c>
      <c r="G226" s="479"/>
    </row>
    <row r="227" spans="2:7" ht="11.25" customHeight="1">
      <c r="B227" s="73"/>
      <c r="C227" s="315">
        <v>43320</v>
      </c>
      <c r="D227" s="316">
        <v>40.945528410027094</v>
      </c>
      <c r="E227" s="316">
        <v>16.99706947525484</v>
      </c>
      <c r="F227" s="316">
        <f t="shared" si="3"/>
        <v>16.99706947525484</v>
      </c>
      <c r="G227" s="479"/>
    </row>
    <row r="228" spans="2:7" ht="11.25" customHeight="1">
      <c r="B228" s="73"/>
      <c r="C228" s="315">
        <v>43321</v>
      </c>
      <c r="D228" s="316">
        <v>35.890170946025236</v>
      </c>
      <c r="E228" s="316">
        <v>16.99706947525484</v>
      </c>
      <c r="F228" s="316">
        <f t="shared" si="3"/>
        <v>16.99706947525484</v>
      </c>
      <c r="G228" s="479"/>
    </row>
    <row r="229" spans="2:7" ht="11.25" customHeight="1">
      <c r="B229" s="73"/>
      <c r="C229" s="315">
        <v>43322</v>
      </c>
      <c r="D229" s="316">
        <v>27.282929104027097</v>
      </c>
      <c r="E229" s="316">
        <v>16.99706947525484</v>
      </c>
      <c r="F229" s="316">
        <f t="shared" si="3"/>
        <v>16.99706947525484</v>
      </c>
      <c r="G229" s="479"/>
    </row>
    <row r="230" spans="2:7" ht="11.25" customHeight="1">
      <c r="B230" s="73"/>
      <c r="C230" s="315">
        <v>43323</v>
      </c>
      <c r="D230" s="316">
        <v>38.531131088027095</v>
      </c>
      <c r="E230" s="316">
        <v>16.99706947525484</v>
      </c>
      <c r="F230" s="316">
        <f t="shared" si="3"/>
        <v>16.99706947525484</v>
      </c>
      <c r="G230" s="479"/>
    </row>
    <row r="231" spans="2:7" ht="11.25" customHeight="1">
      <c r="B231" s="73"/>
      <c r="C231" s="315">
        <v>43324</v>
      </c>
      <c r="D231" s="316">
        <v>28.996657410027094</v>
      </c>
      <c r="E231" s="316">
        <v>16.99706947525484</v>
      </c>
      <c r="F231" s="316">
        <f t="shared" si="3"/>
        <v>16.99706947525484</v>
      </c>
      <c r="G231" s="479"/>
    </row>
    <row r="232" spans="2:7" ht="11.25" customHeight="1">
      <c r="B232" s="73"/>
      <c r="C232" s="315">
        <v>43325</v>
      </c>
      <c r="D232" s="316">
        <v>32.700328826027103</v>
      </c>
      <c r="E232" s="316">
        <v>16.99706947525484</v>
      </c>
      <c r="F232" s="316">
        <f t="shared" si="3"/>
        <v>16.99706947525484</v>
      </c>
      <c r="G232" s="479"/>
    </row>
    <row r="233" spans="2:7" ht="11.25" customHeight="1">
      <c r="B233" s="73"/>
      <c r="C233" s="315">
        <v>43326</v>
      </c>
      <c r="D233" s="316">
        <v>29.534372512027097</v>
      </c>
      <c r="E233" s="316">
        <v>16.99706947525484</v>
      </c>
      <c r="F233" s="316">
        <f t="shared" si="3"/>
        <v>16.99706947525484</v>
      </c>
      <c r="G233" s="479"/>
    </row>
    <row r="234" spans="2:7" ht="11.25" customHeight="1">
      <c r="B234" s="73"/>
      <c r="C234" s="315">
        <v>43327</v>
      </c>
      <c r="D234" s="316">
        <v>26.66196313618147</v>
      </c>
      <c r="E234" s="316">
        <v>16.99706947525484</v>
      </c>
      <c r="F234" s="316">
        <f t="shared" si="3"/>
        <v>16.99706947525484</v>
      </c>
      <c r="G234" s="481">
        <f>E234</f>
        <v>16.99706947525484</v>
      </c>
    </row>
    <row r="235" spans="2:7" ht="11.25" customHeight="1">
      <c r="B235" s="73"/>
      <c r="C235" s="315">
        <v>43328</v>
      </c>
      <c r="D235" s="316">
        <v>34.910560152181468</v>
      </c>
      <c r="E235" s="316">
        <v>16.99706947525484</v>
      </c>
      <c r="F235" s="316">
        <f t="shared" si="3"/>
        <v>16.99706947525484</v>
      </c>
      <c r="G235" s="479"/>
    </row>
    <row r="236" spans="2:7" ht="11.25" customHeight="1">
      <c r="B236" s="73"/>
      <c r="C236" s="315">
        <v>43329</v>
      </c>
      <c r="D236" s="316">
        <v>20.839373648181471</v>
      </c>
      <c r="E236" s="316">
        <v>16.99706947525484</v>
      </c>
      <c r="F236" s="316">
        <f t="shared" si="3"/>
        <v>16.99706947525484</v>
      </c>
      <c r="G236" s="479"/>
    </row>
    <row r="237" spans="2:7" ht="11.25" customHeight="1">
      <c r="B237" s="73"/>
      <c r="C237" s="315">
        <v>43330</v>
      </c>
      <c r="D237" s="316">
        <v>22.254520180181469</v>
      </c>
      <c r="E237" s="316">
        <v>16.99706947525484</v>
      </c>
      <c r="F237" s="316">
        <f t="shared" si="3"/>
        <v>16.99706947525484</v>
      </c>
      <c r="G237" s="479"/>
    </row>
    <row r="238" spans="2:7" ht="11.25" customHeight="1">
      <c r="B238" s="73"/>
      <c r="C238" s="315">
        <v>43331</v>
      </c>
      <c r="D238" s="316">
        <v>21.562353994183329</v>
      </c>
      <c r="E238" s="316">
        <v>16.99706947525484</v>
      </c>
      <c r="F238" s="316">
        <f t="shared" si="3"/>
        <v>16.99706947525484</v>
      </c>
      <c r="G238" s="479"/>
    </row>
    <row r="239" spans="2:7" ht="11.25" customHeight="1">
      <c r="B239" s="73"/>
      <c r="C239" s="315">
        <v>43332</v>
      </c>
      <c r="D239" s="316">
        <v>52.047538474181465</v>
      </c>
      <c r="E239" s="316">
        <v>16.99706947525484</v>
      </c>
      <c r="F239" s="316">
        <f t="shared" si="3"/>
        <v>16.99706947525484</v>
      </c>
      <c r="G239" s="479"/>
    </row>
    <row r="240" spans="2:7" ht="11.25" customHeight="1">
      <c r="B240" s="73"/>
      <c r="C240" s="315">
        <v>43333</v>
      </c>
      <c r="D240" s="316">
        <v>49.612571990181472</v>
      </c>
      <c r="E240" s="316">
        <v>16.99706947525484</v>
      </c>
      <c r="F240" s="316">
        <f t="shared" si="3"/>
        <v>16.99706947525484</v>
      </c>
      <c r="G240" s="479"/>
    </row>
    <row r="241" spans="2:7" ht="11.25" customHeight="1">
      <c r="B241" s="73"/>
      <c r="C241" s="315">
        <v>43334</v>
      </c>
      <c r="D241" s="316">
        <v>47.513927093241612</v>
      </c>
      <c r="E241" s="316">
        <v>16.99706947525484</v>
      </c>
      <c r="F241" s="316">
        <f t="shared" si="3"/>
        <v>16.99706947525484</v>
      </c>
      <c r="G241" s="479"/>
    </row>
    <row r="242" spans="2:7" ht="11.25" customHeight="1">
      <c r="B242" s="73"/>
      <c r="C242" s="315">
        <v>43335</v>
      </c>
      <c r="D242" s="316">
        <v>48.315716417243472</v>
      </c>
      <c r="E242" s="316">
        <v>16.99706947525484</v>
      </c>
      <c r="F242" s="316">
        <f t="shared" si="3"/>
        <v>16.99706947525484</v>
      </c>
      <c r="G242" s="479"/>
    </row>
    <row r="243" spans="2:7" ht="11.25" customHeight="1">
      <c r="B243" s="73"/>
      <c r="C243" s="315">
        <v>43336</v>
      </c>
      <c r="D243" s="316">
        <v>30.094541563243467</v>
      </c>
      <c r="E243" s="316">
        <v>16.99706947525484</v>
      </c>
      <c r="F243" s="316">
        <f t="shared" si="3"/>
        <v>16.99706947525484</v>
      </c>
      <c r="G243" s="479"/>
    </row>
    <row r="244" spans="2:7" ht="11.25" customHeight="1">
      <c r="B244" s="73"/>
      <c r="C244" s="315">
        <v>43337</v>
      </c>
      <c r="D244" s="316">
        <v>11.077330043241608</v>
      </c>
      <c r="E244" s="316">
        <v>16.99706947525484</v>
      </c>
      <c r="F244" s="316">
        <f t="shared" si="3"/>
        <v>11.077330043241608</v>
      </c>
      <c r="G244" s="479"/>
    </row>
    <row r="245" spans="2:7" ht="11.25" customHeight="1">
      <c r="B245" s="73"/>
      <c r="C245" s="315">
        <v>43338</v>
      </c>
      <c r="D245" s="316">
        <v>13.507207849243466</v>
      </c>
      <c r="E245" s="316">
        <v>16.99706947525484</v>
      </c>
      <c r="F245" s="316">
        <f t="shared" si="3"/>
        <v>13.507207849243466</v>
      </c>
      <c r="G245" s="479"/>
    </row>
    <row r="246" spans="2:7" ht="11.25" customHeight="1">
      <c r="B246" s="73"/>
      <c r="C246" s="315">
        <v>43339</v>
      </c>
      <c r="D246" s="316">
        <v>46.478967559243465</v>
      </c>
      <c r="E246" s="316">
        <v>16.99706947525484</v>
      </c>
      <c r="F246" s="316">
        <f t="shared" si="3"/>
        <v>16.99706947525484</v>
      </c>
      <c r="G246" s="479"/>
    </row>
    <row r="247" spans="2:7" ht="11.25" customHeight="1">
      <c r="B247" s="73"/>
      <c r="C247" s="315">
        <v>43340</v>
      </c>
      <c r="D247" s="316">
        <v>40.741686009241604</v>
      </c>
      <c r="E247" s="316">
        <v>16.99706947525484</v>
      </c>
      <c r="F247" s="316">
        <f t="shared" si="3"/>
        <v>16.99706947525484</v>
      </c>
      <c r="G247" s="479"/>
    </row>
    <row r="248" spans="2:7" ht="11.25" customHeight="1">
      <c r="C248" s="315">
        <v>43341</v>
      </c>
      <c r="D248" s="316">
        <v>34.851886490035746</v>
      </c>
      <c r="E248" s="316">
        <v>16.99706947525484</v>
      </c>
      <c r="F248" s="316">
        <f t="shared" si="3"/>
        <v>16.99706947525484</v>
      </c>
      <c r="G248" s="479"/>
    </row>
    <row r="249" spans="2:7" ht="11.25" customHeight="1">
      <c r="C249" s="315">
        <v>43342</v>
      </c>
      <c r="D249" s="316">
        <v>43.851434152035743</v>
      </c>
      <c r="E249" s="316">
        <v>16.99706947525484</v>
      </c>
      <c r="F249" s="316">
        <f t="shared" si="3"/>
        <v>16.99706947525484</v>
      </c>
      <c r="G249" s="479"/>
    </row>
    <row r="250" spans="2:7" ht="11.25" customHeight="1">
      <c r="C250" s="315">
        <v>43343</v>
      </c>
      <c r="D250" s="316">
        <v>28.641363582033883</v>
      </c>
      <c r="E250" s="316">
        <v>16.99706947525484</v>
      </c>
      <c r="F250" s="316">
        <f t="shared" si="3"/>
        <v>16.99706947525484</v>
      </c>
      <c r="G250" s="479"/>
    </row>
    <row r="251" spans="2:7" ht="11.25" customHeight="1">
      <c r="C251" s="315">
        <v>43344</v>
      </c>
      <c r="D251" s="316">
        <v>16.292057982035747</v>
      </c>
      <c r="E251" s="316">
        <v>22.743378673520009</v>
      </c>
      <c r="F251" s="316">
        <f t="shared" si="3"/>
        <v>16.292057982035747</v>
      </c>
      <c r="G251" s="479"/>
    </row>
    <row r="252" spans="2:7" ht="11.25" customHeight="1">
      <c r="C252" s="315">
        <v>43345</v>
      </c>
      <c r="D252" s="316">
        <v>28.81470031603574</v>
      </c>
      <c r="E252" s="316">
        <v>22.743378673520009</v>
      </c>
      <c r="F252" s="316">
        <f t="shared" si="3"/>
        <v>22.743378673520009</v>
      </c>
      <c r="G252" s="479"/>
    </row>
    <row r="253" spans="2:7" ht="11.25" customHeight="1">
      <c r="B253" s="73"/>
      <c r="C253" s="315">
        <v>43346</v>
      </c>
      <c r="D253" s="316">
        <v>39.482491496035742</v>
      </c>
      <c r="E253" s="316">
        <v>22.743378673520009</v>
      </c>
      <c r="F253" s="316">
        <f t="shared" si="3"/>
        <v>22.743378673520009</v>
      </c>
      <c r="G253" s="479"/>
    </row>
    <row r="254" spans="2:7" ht="11.25" customHeight="1">
      <c r="B254" s="73"/>
      <c r="C254" s="315">
        <v>43347</v>
      </c>
      <c r="D254" s="316">
        <v>33.947607858035745</v>
      </c>
      <c r="E254" s="316">
        <v>22.743378673520009</v>
      </c>
      <c r="F254" s="316">
        <f t="shared" si="3"/>
        <v>22.743378673520009</v>
      </c>
      <c r="G254" s="479"/>
    </row>
    <row r="255" spans="2:7" ht="11.25" customHeight="1">
      <c r="B255" s="73"/>
      <c r="C255" s="315">
        <v>43348</v>
      </c>
      <c r="D255" s="316">
        <v>37.366073555248455</v>
      </c>
      <c r="E255" s="316">
        <v>22.743378673520009</v>
      </c>
      <c r="F255" s="316">
        <f t="shared" si="3"/>
        <v>22.743378673520009</v>
      </c>
      <c r="G255" s="479"/>
    </row>
    <row r="256" spans="2:7" ht="11.25" customHeight="1">
      <c r="B256" s="73"/>
      <c r="C256" s="315">
        <v>43349</v>
      </c>
      <c r="D256" s="316">
        <v>26.666166277248458</v>
      </c>
      <c r="E256" s="316">
        <v>22.743378673520009</v>
      </c>
      <c r="F256" s="316">
        <f t="shared" si="3"/>
        <v>22.743378673520009</v>
      </c>
      <c r="G256" s="479"/>
    </row>
    <row r="257" spans="2:7" ht="11.25" customHeight="1">
      <c r="B257" s="73"/>
      <c r="C257" s="315">
        <v>43350</v>
      </c>
      <c r="D257" s="316">
        <v>24.865338769250318</v>
      </c>
      <c r="E257" s="316">
        <v>22.743378673520009</v>
      </c>
      <c r="F257" s="316">
        <f t="shared" si="3"/>
        <v>22.743378673520009</v>
      </c>
      <c r="G257" s="479"/>
    </row>
    <row r="258" spans="2:7" ht="11.25" customHeight="1">
      <c r="B258" s="73"/>
      <c r="C258" s="315">
        <v>43351</v>
      </c>
      <c r="D258" s="316">
        <v>29.209192431248454</v>
      </c>
      <c r="E258" s="316">
        <v>22.743378673520009</v>
      </c>
      <c r="F258" s="316">
        <f t="shared" si="3"/>
        <v>22.743378673520009</v>
      </c>
      <c r="G258" s="479"/>
    </row>
    <row r="259" spans="2:7" ht="11.25" customHeight="1">
      <c r="B259" s="73"/>
      <c r="C259" s="315">
        <v>43352</v>
      </c>
      <c r="D259" s="316">
        <v>19.454866435248455</v>
      </c>
      <c r="E259" s="316">
        <v>22.743378673520009</v>
      </c>
      <c r="F259" s="316">
        <f t="shared" si="3"/>
        <v>19.454866435248455</v>
      </c>
      <c r="G259" s="479"/>
    </row>
    <row r="260" spans="2:7" ht="11.25" customHeight="1">
      <c r="C260" s="315">
        <v>43353</v>
      </c>
      <c r="D260" s="316">
        <v>34.97460958325032</v>
      </c>
      <c r="E260" s="316">
        <v>22.743378673520009</v>
      </c>
      <c r="F260" s="316">
        <f t="shared" si="3"/>
        <v>22.743378673520009</v>
      </c>
      <c r="G260" s="479"/>
    </row>
    <row r="261" spans="2:7" ht="11.25" customHeight="1">
      <c r="C261" s="315">
        <v>43354</v>
      </c>
      <c r="D261" s="316">
        <v>52.271077133248461</v>
      </c>
      <c r="E261" s="316">
        <v>22.743378673520009</v>
      </c>
      <c r="F261" s="316">
        <f t="shared" si="3"/>
        <v>22.743378673520009</v>
      </c>
      <c r="G261" s="479"/>
    </row>
    <row r="262" spans="2:7" ht="11.25" customHeight="1">
      <c r="C262" s="315">
        <v>43355</v>
      </c>
      <c r="D262" s="316">
        <v>55.014708317802551</v>
      </c>
      <c r="E262" s="316">
        <v>22.743378673520009</v>
      </c>
      <c r="F262" s="316">
        <f t="shared" si="3"/>
        <v>22.743378673520009</v>
      </c>
      <c r="G262" s="479"/>
    </row>
    <row r="263" spans="2:7" ht="11.25" customHeight="1">
      <c r="C263" s="315">
        <v>43356</v>
      </c>
      <c r="D263" s="316">
        <v>51.861687353802552</v>
      </c>
      <c r="E263" s="316">
        <v>22.743378673520009</v>
      </c>
      <c r="F263" s="316">
        <f t="shared" si="3"/>
        <v>22.743378673520009</v>
      </c>
      <c r="G263" s="479"/>
    </row>
    <row r="264" spans="2:7" ht="11.25" customHeight="1">
      <c r="C264" s="315">
        <v>43357</v>
      </c>
      <c r="D264" s="316">
        <v>36.703183287802545</v>
      </c>
      <c r="E264" s="316">
        <v>22.743378673520009</v>
      </c>
      <c r="F264" s="316">
        <f t="shared" si="3"/>
        <v>22.743378673520009</v>
      </c>
      <c r="G264" s="479"/>
    </row>
    <row r="265" spans="2:7" ht="11.25" customHeight="1">
      <c r="C265" s="315">
        <v>43358</v>
      </c>
      <c r="D265" s="316">
        <v>15.31814298380255</v>
      </c>
      <c r="E265" s="316">
        <v>22.743378673520009</v>
      </c>
      <c r="F265" s="316">
        <f t="shared" ref="F265:F328" si="4">IF($D265&gt;E265,E265,$D265)</f>
        <v>15.31814298380255</v>
      </c>
      <c r="G265" s="481">
        <f>E265</f>
        <v>22.743378673520009</v>
      </c>
    </row>
    <row r="266" spans="2:7" ht="11.25" customHeight="1">
      <c r="C266" s="315">
        <v>43359</v>
      </c>
      <c r="D266" s="316">
        <v>8.5638278258025533</v>
      </c>
      <c r="E266" s="316">
        <v>22.743378673520009</v>
      </c>
      <c r="F266" s="316">
        <f t="shared" si="4"/>
        <v>8.5638278258025533</v>
      </c>
      <c r="G266" s="479"/>
    </row>
    <row r="267" spans="2:7" ht="11.25" customHeight="1">
      <c r="C267" s="315">
        <v>43360</v>
      </c>
      <c r="D267" s="316">
        <v>14.358251075802553</v>
      </c>
      <c r="E267" s="316">
        <v>22.743378673520009</v>
      </c>
      <c r="F267" s="316">
        <f t="shared" si="4"/>
        <v>14.358251075802553</v>
      </c>
      <c r="G267" s="479"/>
    </row>
    <row r="268" spans="2:7" ht="11.25" customHeight="1">
      <c r="C268" s="315">
        <v>43361</v>
      </c>
      <c r="D268" s="316">
        <v>28.288171725802545</v>
      </c>
      <c r="E268" s="316">
        <v>22.743378673520009</v>
      </c>
      <c r="F268" s="316">
        <f t="shared" si="4"/>
        <v>22.743378673520009</v>
      </c>
      <c r="G268" s="479"/>
    </row>
    <row r="269" spans="2:7" ht="11.25" customHeight="1">
      <c r="C269" s="315">
        <v>43362</v>
      </c>
      <c r="D269" s="316">
        <v>52.468209541696432</v>
      </c>
      <c r="E269" s="316">
        <v>22.743378673520009</v>
      </c>
      <c r="F269" s="316">
        <f t="shared" si="4"/>
        <v>22.743378673520009</v>
      </c>
      <c r="G269" s="479"/>
    </row>
    <row r="270" spans="2:7" ht="11.25" customHeight="1">
      <c r="C270" s="315">
        <v>43363</v>
      </c>
      <c r="D270" s="316">
        <v>48.68029413969829</v>
      </c>
      <c r="E270" s="316">
        <v>22.743378673520009</v>
      </c>
      <c r="F270" s="316">
        <f t="shared" si="4"/>
        <v>22.743378673520009</v>
      </c>
      <c r="G270" s="479"/>
    </row>
    <row r="271" spans="2:7" ht="11.25" customHeight="1">
      <c r="C271" s="315">
        <v>43364</v>
      </c>
      <c r="D271" s="316">
        <v>41.433091311696437</v>
      </c>
      <c r="E271" s="316">
        <v>22.743378673520009</v>
      </c>
      <c r="F271" s="316">
        <f t="shared" si="4"/>
        <v>22.743378673520009</v>
      </c>
      <c r="G271" s="479"/>
    </row>
    <row r="272" spans="2:7" ht="11.25" customHeight="1">
      <c r="C272" s="315">
        <v>43365</v>
      </c>
      <c r="D272" s="316">
        <v>15.696338941696435</v>
      </c>
      <c r="E272" s="316">
        <v>22.743378673520009</v>
      </c>
      <c r="F272" s="316">
        <f t="shared" si="4"/>
        <v>15.696338941696435</v>
      </c>
      <c r="G272" s="479"/>
    </row>
    <row r="273" spans="3:7" ht="11.25" customHeight="1">
      <c r="C273" s="315">
        <v>43366</v>
      </c>
      <c r="D273" s="316">
        <v>5.7461719036982979</v>
      </c>
      <c r="E273" s="316">
        <v>22.743378673520009</v>
      </c>
      <c r="F273" s="316">
        <f t="shared" si="4"/>
        <v>5.7461719036982979</v>
      </c>
      <c r="G273" s="479"/>
    </row>
    <row r="274" spans="3:7" ht="11.25" customHeight="1">
      <c r="C274" s="315">
        <v>43367</v>
      </c>
      <c r="D274" s="316">
        <v>18.109064911696436</v>
      </c>
      <c r="E274" s="316">
        <v>22.743378673520009</v>
      </c>
      <c r="F274" s="316">
        <f t="shared" si="4"/>
        <v>18.109064911696436</v>
      </c>
      <c r="G274" s="479"/>
    </row>
    <row r="275" spans="3:7" ht="11.25" customHeight="1">
      <c r="C275" s="315">
        <v>43368</v>
      </c>
      <c r="D275" s="316">
        <v>18.974976891696439</v>
      </c>
      <c r="E275" s="316">
        <v>22.743378673520009</v>
      </c>
      <c r="F275" s="316">
        <f t="shared" si="4"/>
        <v>18.974976891696439</v>
      </c>
      <c r="G275" s="479"/>
    </row>
    <row r="276" spans="3:7" ht="11.25" customHeight="1">
      <c r="C276" s="315">
        <v>43369</v>
      </c>
      <c r="D276" s="316">
        <v>10.52124702121337</v>
      </c>
      <c r="E276" s="316">
        <v>22.743378673520009</v>
      </c>
      <c r="F276" s="316">
        <f t="shared" si="4"/>
        <v>10.52124702121337</v>
      </c>
      <c r="G276" s="479"/>
    </row>
    <row r="277" spans="3:7" ht="11.25" customHeight="1">
      <c r="C277" s="315">
        <v>43370</v>
      </c>
      <c r="D277" s="316">
        <v>10.045401815213365</v>
      </c>
      <c r="E277" s="316">
        <v>22.743378673520009</v>
      </c>
      <c r="F277" s="316">
        <f t="shared" si="4"/>
        <v>10.045401815213365</v>
      </c>
      <c r="G277" s="479"/>
    </row>
    <row r="278" spans="3:7" ht="11.25" customHeight="1">
      <c r="C278" s="315">
        <v>43371</v>
      </c>
      <c r="D278" s="316">
        <v>10.143655751212435</v>
      </c>
      <c r="E278" s="316">
        <v>22.743378673520009</v>
      </c>
      <c r="F278" s="316">
        <f t="shared" si="4"/>
        <v>10.143655751212435</v>
      </c>
      <c r="G278" s="479"/>
    </row>
    <row r="279" spans="3:7" ht="11.25" customHeight="1">
      <c r="C279" s="315">
        <v>43372</v>
      </c>
      <c r="D279" s="316">
        <v>8.887261627213368</v>
      </c>
      <c r="E279" s="316">
        <v>22.743378673520009</v>
      </c>
      <c r="F279" s="316">
        <f t="shared" si="4"/>
        <v>8.887261627213368</v>
      </c>
      <c r="G279" s="479"/>
    </row>
    <row r="280" spans="3:7" ht="11.25" customHeight="1">
      <c r="C280" s="315">
        <v>43373</v>
      </c>
      <c r="D280" s="316">
        <v>8.1643874632124351</v>
      </c>
      <c r="E280" s="316">
        <v>22.743378673520009</v>
      </c>
      <c r="F280" s="316">
        <f t="shared" si="4"/>
        <v>8.1643874632124351</v>
      </c>
      <c r="G280" s="479"/>
    </row>
    <row r="281" spans="3:7" ht="11.25" customHeight="1">
      <c r="C281" s="315">
        <v>43374</v>
      </c>
      <c r="D281" s="316">
        <v>7.4216474952133646</v>
      </c>
      <c r="E281" s="316">
        <v>45.741764250654825</v>
      </c>
      <c r="F281" s="316">
        <f t="shared" si="4"/>
        <v>7.4216474952133646</v>
      </c>
      <c r="G281" s="479"/>
    </row>
    <row r="282" spans="3:7" ht="11.25" customHeight="1">
      <c r="C282" s="315">
        <v>43375</v>
      </c>
      <c r="D282" s="316">
        <v>4.6011112072124378</v>
      </c>
      <c r="E282" s="316">
        <v>45.741764250654825</v>
      </c>
      <c r="F282" s="316">
        <f t="shared" si="4"/>
        <v>4.6011112072124378</v>
      </c>
      <c r="G282" s="479"/>
    </row>
    <row r="283" spans="3:7" ht="11.25" customHeight="1">
      <c r="C283" s="315">
        <v>43376</v>
      </c>
      <c r="D283" s="316">
        <v>2.3978887607003272</v>
      </c>
      <c r="E283" s="316">
        <v>45.741764250654825</v>
      </c>
      <c r="F283" s="316">
        <f t="shared" si="4"/>
        <v>2.3978887607003272</v>
      </c>
      <c r="G283" s="479"/>
    </row>
    <row r="284" spans="3:7" ht="11.25" customHeight="1">
      <c r="C284" s="315">
        <v>43377</v>
      </c>
      <c r="D284" s="316">
        <v>7.0165802647012603</v>
      </c>
      <c r="E284" s="316">
        <v>45.741764250654825</v>
      </c>
      <c r="F284" s="316">
        <f t="shared" si="4"/>
        <v>7.0165802647012603</v>
      </c>
      <c r="G284" s="479"/>
    </row>
    <row r="285" spans="3:7" ht="11.25" customHeight="1">
      <c r="C285" s="315">
        <v>43378</v>
      </c>
      <c r="D285" s="316">
        <v>5.9194570727003306</v>
      </c>
      <c r="E285" s="316">
        <v>45.741764250654825</v>
      </c>
      <c r="F285" s="316">
        <f t="shared" si="4"/>
        <v>5.9194570727003306</v>
      </c>
      <c r="G285" s="479"/>
    </row>
    <row r="286" spans="3:7" ht="11.25" customHeight="1">
      <c r="C286" s="315">
        <v>43379</v>
      </c>
      <c r="D286" s="316">
        <v>3.939688852700332</v>
      </c>
      <c r="E286" s="316">
        <v>45.741764250654825</v>
      </c>
      <c r="F286" s="316">
        <f t="shared" si="4"/>
        <v>3.939688852700332</v>
      </c>
      <c r="G286" s="479"/>
    </row>
    <row r="287" spans="3:7" ht="11.25" customHeight="1">
      <c r="C287" s="315">
        <v>43380</v>
      </c>
      <c r="D287" s="316">
        <v>1.9628066107003288</v>
      </c>
      <c r="E287" s="316">
        <v>45.741764250654825</v>
      </c>
      <c r="F287" s="316">
        <f t="shared" si="4"/>
        <v>1.9628066107003288</v>
      </c>
      <c r="G287" s="479"/>
    </row>
    <row r="288" spans="3:7" ht="11.25" customHeight="1">
      <c r="C288" s="315">
        <v>43381</v>
      </c>
      <c r="D288" s="316">
        <v>2.4994595447012617</v>
      </c>
      <c r="E288" s="316">
        <v>45.741764250654825</v>
      </c>
      <c r="F288" s="316">
        <f t="shared" si="4"/>
        <v>2.4994595447012617</v>
      </c>
      <c r="G288" s="479"/>
    </row>
    <row r="289" spans="3:7" ht="11.25" customHeight="1">
      <c r="C289" s="315">
        <v>43382</v>
      </c>
      <c r="D289" s="316">
        <v>5.0656057527003284</v>
      </c>
      <c r="E289" s="316">
        <v>45.741764250654825</v>
      </c>
      <c r="F289" s="316">
        <f t="shared" si="4"/>
        <v>5.0656057527003284</v>
      </c>
      <c r="G289" s="479"/>
    </row>
    <row r="290" spans="3:7" ht="11.25" customHeight="1">
      <c r="C290" s="315">
        <v>43383</v>
      </c>
      <c r="D290" s="316">
        <v>29.894012912888815</v>
      </c>
      <c r="E290" s="316">
        <v>45.741764250654825</v>
      </c>
      <c r="F290" s="316">
        <f t="shared" si="4"/>
        <v>29.894012912888815</v>
      </c>
      <c r="G290" s="479"/>
    </row>
    <row r="291" spans="3:7" ht="11.25" customHeight="1">
      <c r="C291" s="315">
        <v>43384</v>
      </c>
      <c r="D291" s="316">
        <v>25.388038768888816</v>
      </c>
      <c r="E291" s="316">
        <v>45.741764250654825</v>
      </c>
      <c r="F291" s="316">
        <f t="shared" si="4"/>
        <v>25.388038768888816</v>
      </c>
      <c r="G291" s="479"/>
    </row>
    <row r="292" spans="3:7" ht="11.25" customHeight="1">
      <c r="C292" s="315">
        <v>43385</v>
      </c>
      <c r="D292" s="316">
        <v>26.27798922088882</v>
      </c>
      <c r="E292" s="316">
        <v>45.741764250654825</v>
      </c>
      <c r="F292" s="316">
        <f t="shared" si="4"/>
        <v>26.27798922088882</v>
      </c>
      <c r="G292" s="479"/>
    </row>
    <row r="293" spans="3:7" ht="11.25" customHeight="1">
      <c r="C293" s="315">
        <v>43386</v>
      </c>
      <c r="D293" s="316">
        <v>14.195625838888816</v>
      </c>
      <c r="E293" s="316">
        <v>45.741764250654825</v>
      </c>
      <c r="F293" s="316">
        <f t="shared" si="4"/>
        <v>14.195625838888816</v>
      </c>
      <c r="G293" s="479"/>
    </row>
    <row r="294" spans="3:7" ht="11.25" customHeight="1">
      <c r="C294" s="315">
        <v>43387</v>
      </c>
      <c r="D294" s="316">
        <v>17.403796476889749</v>
      </c>
      <c r="E294" s="316">
        <v>45.741764250654825</v>
      </c>
      <c r="F294" s="316">
        <f t="shared" si="4"/>
        <v>17.403796476889749</v>
      </c>
      <c r="G294" s="479"/>
    </row>
    <row r="295" spans="3:7" ht="11.25" customHeight="1">
      <c r="C295" s="315">
        <v>43388</v>
      </c>
      <c r="D295" s="316">
        <v>36.206548392888813</v>
      </c>
      <c r="E295" s="316">
        <v>45.741764250654825</v>
      </c>
      <c r="F295" s="316">
        <f t="shared" si="4"/>
        <v>36.206548392888813</v>
      </c>
      <c r="G295" s="481">
        <f>E295</f>
        <v>45.741764250654825</v>
      </c>
    </row>
    <row r="296" spans="3:7" ht="11.25" customHeight="1">
      <c r="C296" s="315">
        <v>43389</v>
      </c>
      <c r="D296" s="316">
        <v>65.720114520888814</v>
      </c>
      <c r="E296" s="316">
        <v>45.741764250654825</v>
      </c>
      <c r="F296" s="316">
        <f t="shared" si="4"/>
        <v>45.741764250654825</v>
      </c>
      <c r="G296" s="479"/>
    </row>
    <row r="297" spans="3:7" ht="11.25" customHeight="1">
      <c r="C297" s="315">
        <v>43390</v>
      </c>
      <c r="D297" s="316">
        <v>73.41911211498649</v>
      </c>
      <c r="E297" s="316">
        <v>45.741764250654825</v>
      </c>
      <c r="F297" s="316">
        <f t="shared" si="4"/>
        <v>45.741764250654825</v>
      </c>
      <c r="G297" s="479"/>
    </row>
    <row r="298" spans="3:7" ht="11.25" customHeight="1">
      <c r="C298" s="315">
        <v>43391</v>
      </c>
      <c r="D298" s="316">
        <v>45.972942128986489</v>
      </c>
      <c r="E298" s="316">
        <v>45.741764250654825</v>
      </c>
      <c r="F298" s="316">
        <f t="shared" si="4"/>
        <v>45.741764250654825</v>
      </c>
      <c r="G298" s="479"/>
    </row>
    <row r="299" spans="3:7" ht="11.25" customHeight="1">
      <c r="C299" s="315">
        <v>43392</v>
      </c>
      <c r="D299" s="316">
        <v>49.181581926986489</v>
      </c>
      <c r="E299" s="316">
        <v>45.741764250654825</v>
      </c>
      <c r="F299" s="316">
        <f t="shared" si="4"/>
        <v>45.741764250654825</v>
      </c>
      <c r="G299" s="479"/>
    </row>
    <row r="300" spans="3:7" ht="11.25" customHeight="1">
      <c r="C300" s="315">
        <v>43393</v>
      </c>
      <c r="D300" s="316">
        <v>45.242321974987419</v>
      </c>
      <c r="E300" s="316">
        <v>45.741764250654825</v>
      </c>
      <c r="F300" s="316">
        <f t="shared" si="4"/>
        <v>45.242321974987419</v>
      </c>
      <c r="G300" s="479"/>
    </row>
    <row r="301" spans="3:7" ht="11.25" customHeight="1">
      <c r="C301" s="315">
        <v>43394</v>
      </c>
      <c r="D301" s="316">
        <v>45.870039122986491</v>
      </c>
      <c r="E301" s="316">
        <v>45.741764250654825</v>
      </c>
      <c r="F301" s="316">
        <f t="shared" si="4"/>
        <v>45.741764250654825</v>
      </c>
      <c r="G301" s="479"/>
    </row>
    <row r="302" spans="3:7" ht="11.25" customHeight="1">
      <c r="C302" s="315">
        <v>43395</v>
      </c>
      <c r="D302" s="316">
        <v>43.95936786498649</v>
      </c>
      <c r="E302" s="316">
        <v>45.741764250654825</v>
      </c>
      <c r="F302" s="316">
        <f t="shared" si="4"/>
        <v>43.95936786498649</v>
      </c>
      <c r="G302" s="479"/>
    </row>
    <row r="303" spans="3:7" ht="11.25" customHeight="1">
      <c r="C303" s="315">
        <v>43396</v>
      </c>
      <c r="D303" s="316">
        <v>42.411564610986488</v>
      </c>
      <c r="E303" s="316">
        <v>45.741764250654825</v>
      </c>
      <c r="F303" s="316">
        <f t="shared" si="4"/>
        <v>42.411564610986488</v>
      </c>
      <c r="G303" s="479"/>
    </row>
    <row r="304" spans="3:7" ht="11.25" customHeight="1">
      <c r="C304" s="315">
        <v>43397</v>
      </c>
      <c r="D304" s="316">
        <v>31.902728314450048</v>
      </c>
      <c r="E304" s="316">
        <v>45.741764250654825</v>
      </c>
      <c r="F304" s="316">
        <f t="shared" si="4"/>
        <v>31.902728314450048</v>
      </c>
      <c r="G304" s="479"/>
    </row>
    <row r="305" spans="3:7" ht="11.25" customHeight="1">
      <c r="C305" s="315">
        <v>43398</v>
      </c>
      <c r="D305" s="316">
        <v>46.394517682450051</v>
      </c>
      <c r="E305" s="316">
        <v>45.741764250654825</v>
      </c>
      <c r="F305" s="316">
        <f t="shared" si="4"/>
        <v>45.741764250654825</v>
      </c>
      <c r="G305" s="479"/>
    </row>
    <row r="306" spans="3:7" ht="11.25" customHeight="1">
      <c r="C306" s="315">
        <v>43399</v>
      </c>
      <c r="D306" s="316">
        <v>49.133572104450053</v>
      </c>
      <c r="E306" s="316">
        <v>45.741764250654825</v>
      </c>
      <c r="F306" s="316">
        <f t="shared" si="4"/>
        <v>45.741764250654825</v>
      </c>
      <c r="G306" s="479"/>
    </row>
    <row r="307" spans="3:7" ht="11.25" customHeight="1">
      <c r="C307" s="315">
        <v>43400</v>
      </c>
      <c r="D307" s="316">
        <v>19.223126686450051</v>
      </c>
      <c r="E307" s="316">
        <v>45.741764250654825</v>
      </c>
      <c r="F307" s="316">
        <f t="shared" si="4"/>
        <v>19.223126686450051</v>
      </c>
      <c r="G307" s="479"/>
    </row>
    <row r="308" spans="3:7" ht="11.25" customHeight="1">
      <c r="C308" s="315">
        <v>43401</v>
      </c>
      <c r="D308" s="316">
        <v>11.362558718450048</v>
      </c>
      <c r="E308" s="316">
        <v>45.741764250654825</v>
      </c>
      <c r="F308" s="316">
        <f t="shared" si="4"/>
        <v>11.362558718450048</v>
      </c>
      <c r="G308" s="479"/>
    </row>
    <row r="309" spans="3:7" ht="11.25" customHeight="1">
      <c r="C309" s="315">
        <v>43402</v>
      </c>
      <c r="D309" s="316">
        <v>16.34274554445005</v>
      </c>
      <c r="E309" s="316">
        <v>45.741764250654825</v>
      </c>
      <c r="F309" s="316">
        <f t="shared" si="4"/>
        <v>16.34274554445005</v>
      </c>
      <c r="G309" s="479"/>
    </row>
    <row r="310" spans="3:7" ht="11.25" customHeight="1">
      <c r="C310" s="315">
        <v>43403</v>
      </c>
      <c r="D310" s="316">
        <v>45.826717108450048</v>
      </c>
      <c r="E310" s="316">
        <v>45.741764250654825</v>
      </c>
      <c r="F310" s="316">
        <f t="shared" si="4"/>
        <v>45.741764250654825</v>
      </c>
      <c r="G310" s="479"/>
    </row>
    <row r="311" spans="3:7" ht="11.25" customHeight="1">
      <c r="C311" s="315">
        <v>43404</v>
      </c>
      <c r="D311" s="316">
        <v>75.820311372363619</v>
      </c>
      <c r="E311" s="316">
        <v>45.741764250654825</v>
      </c>
      <c r="F311" s="316">
        <f t="shared" si="4"/>
        <v>45.741764250654825</v>
      </c>
      <c r="G311" s="479"/>
    </row>
    <row r="312" spans="3:7" ht="11.25" customHeight="1">
      <c r="C312" s="315">
        <v>43405</v>
      </c>
      <c r="D312" s="316">
        <v>43.411714616363618</v>
      </c>
      <c r="E312" s="316">
        <v>80.413851096189973</v>
      </c>
      <c r="F312" s="316">
        <f t="shared" si="4"/>
        <v>43.411714616363618</v>
      </c>
      <c r="G312" s="479"/>
    </row>
    <row r="313" spans="3:7" ht="11.25" customHeight="1">
      <c r="C313" s="315">
        <v>43406</v>
      </c>
      <c r="D313" s="316">
        <v>47.068532798362689</v>
      </c>
      <c r="E313" s="316">
        <v>80.413851096189973</v>
      </c>
      <c r="F313" s="316">
        <f t="shared" si="4"/>
        <v>47.068532798362689</v>
      </c>
      <c r="G313" s="479"/>
    </row>
    <row r="314" spans="3:7" ht="11.25" customHeight="1">
      <c r="C314" s="315">
        <v>43407</v>
      </c>
      <c r="D314" s="316">
        <v>47.236419606363619</v>
      </c>
      <c r="E314" s="316">
        <v>80.413851096189973</v>
      </c>
      <c r="F314" s="316">
        <f t="shared" si="4"/>
        <v>47.236419606363619</v>
      </c>
      <c r="G314" s="479"/>
    </row>
    <row r="315" spans="3:7" ht="11.25" customHeight="1">
      <c r="C315" s="315">
        <v>43408</v>
      </c>
      <c r="D315" s="316">
        <v>43.311584924363629</v>
      </c>
      <c r="E315" s="316">
        <v>80.413851096189973</v>
      </c>
      <c r="F315" s="316">
        <f t="shared" si="4"/>
        <v>43.311584924363629</v>
      </c>
      <c r="G315" s="479"/>
    </row>
    <row r="316" spans="3:7" ht="11.25" customHeight="1">
      <c r="C316" s="315">
        <v>43409</v>
      </c>
      <c r="D316" s="316">
        <v>57.854179662362696</v>
      </c>
      <c r="E316" s="316">
        <v>80.413851096189973</v>
      </c>
      <c r="F316" s="316">
        <f t="shared" si="4"/>
        <v>57.854179662362696</v>
      </c>
      <c r="G316" s="479"/>
    </row>
    <row r="317" spans="3:7" ht="11.25" customHeight="1">
      <c r="C317" s="315">
        <v>43410</v>
      </c>
      <c r="D317" s="316">
        <v>48.895141674363622</v>
      </c>
      <c r="E317" s="316">
        <v>80.413851096189973</v>
      </c>
      <c r="F317" s="316">
        <f t="shared" si="4"/>
        <v>48.895141674363622</v>
      </c>
      <c r="G317" s="479"/>
    </row>
    <row r="318" spans="3:7" ht="11.25" customHeight="1">
      <c r="C318" s="315">
        <v>43411</v>
      </c>
      <c r="D318" s="316">
        <v>86.687051459148876</v>
      </c>
      <c r="E318" s="316">
        <v>80.413851096189973</v>
      </c>
      <c r="F318" s="316">
        <f t="shared" si="4"/>
        <v>80.413851096189973</v>
      </c>
      <c r="G318" s="479"/>
    </row>
    <row r="319" spans="3:7" ht="11.25" customHeight="1">
      <c r="C319" s="315">
        <v>43412</v>
      </c>
      <c r="D319" s="316">
        <v>90.689681073148876</v>
      </c>
      <c r="E319" s="316">
        <v>80.413851096189973</v>
      </c>
      <c r="F319" s="316">
        <f t="shared" si="4"/>
        <v>80.413851096189973</v>
      </c>
      <c r="G319" s="479"/>
    </row>
    <row r="320" spans="3:7" ht="11.25" customHeight="1">
      <c r="C320" s="315">
        <v>43413</v>
      </c>
      <c r="D320" s="316">
        <v>92.791015639148881</v>
      </c>
      <c r="E320" s="316">
        <v>80.413851096189973</v>
      </c>
      <c r="F320" s="316">
        <f t="shared" si="4"/>
        <v>80.413851096189973</v>
      </c>
      <c r="G320" s="479"/>
    </row>
    <row r="321" spans="3:7" ht="11.25" customHeight="1">
      <c r="C321" s="315">
        <v>43414</v>
      </c>
      <c r="D321" s="316">
        <v>94.991232411147948</v>
      </c>
      <c r="E321" s="316">
        <v>80.413851096189973</v>
      </c>
      <c r="F321" s="316">
        <f t="shared" si="4"/>
        <v>80.413851096189973</v>
      </c>
      <c r="G321" s="479"/>
    </row>
    <row r="322" spans="3:7" ht="11.25" customHeight="1">
      <c r="C322" s="315">
        <v>43415</v>
      </c>
      <c r="D322" s="316">
        <v>98.08205352914888</v>
      </c>
      <c r="E322" s="316">
        <v>80.413851096189973</v>
      </c>
      <c r="F322" s="316">
        <f t="shared" si="4"/>
        <v>80.413851096189973</v>
      </c>
      <c r="G322" s="479"/>
    </row>
    <row r="323" spans="3:7" ht="11.25" customHeight="1">
      <c r="C323" s="315">
        <v>43416</v>
      </c>
      <c r="D323" s="316">
        <v>121.63856152914887</v>
      </c>
      <c r="E323" s="316">
        <v>80.413851096189973</v>
      </c>
      <c r="F323" s="316">
        <f t="shared" si="4"/>
        <v>80.413851096189973</v>
      </c>
      <c r="G323" s="479"/>
    </row>
    <row r="324" spans="3:7" ht="11.25" customHeight="1">
      <c r="C324" s="315">
        <v>43417</v>
      </c>
      <c r="D324" s="316">
        <v>115.90107830914889</v>
      </c>
      <c r="E324" s="316">
        <v>80.413851096189973</v>
      </c>
      <c r="F324" s="316">
        <f t="shared" si="4"/>
        <v>80.413851096189973</v>
      </c>
      <c r="G324" s="479"/>
    </row>
    <row r="325" spans="3:7" ht="11.25" customHeight="1">
      <c r="C325" s="315">
        <v>43418</v>
      </c>
      <c r="D325" s="316">
        <v>92.810070129739174</v>
      </c>
      <c r="E325" s="316">
        <v>80.413851096189973</v>
      </c>
      <c r="F325" s="316">
        <f t="shared" si="4"/>
        <v>80.413851096189973</v>
      </c>
      <c r="G325" s="479"/>
    </row>
    <row r="326" spans="3:7" ht="11.25" customHeight="1">
      <c r="C326" s="315">
        <v>43419</v>
      </c>
      <c r="D326" s="316">
        <v>99.520008713739188</v>
      </c>
      <c r="E326" s="316">
        <v>80.413851096189973</v>
      </c>
      <c r="F326" s="316">
        <f t="shared" si="4"/>
        <v>80.413851096189973</v>
      </c>
      <c r="G326" s="481">
        <f>E326</f>
        <v>80.413851096189973</v>
      </c>
    </row>
    <row r="327" spans="3:7" ht="11.25" customHeight="1">
      <c r="C327" s="315">
        <v>43420</v>
      </c>
      <c r="D327" s="316">
        <v>100.59266706573825</v>
      </c>
      <c r="E327" s="316">
        <v>80.413851096189973</v>
      </c>
      <c r="F327" s="316">
        <f t="shared" si="4"/>
        <v>80.413851096189973</v>
      </c>
      <c r="G327" s="479"/>
    </row>
    <row r="328" spans="3:7" ht="11.25" customHeight="1">
      <c r="C328" s="315">
        <v>43421</v>
      </c>
      <c r="D328" s="316">
        <v>76.280739461739188</v>
      </c>
      <c r="E328" s="316">
        <v>80.413851096189973</v>
      </c>
      <c r="F328" s="316">
        <f t="shared" si="4"/>
        <v>76.280739461739188</v>
      </c>
      <c r="G328" s="479"/>
    </row>
    <row r="329" spans="3:7" ht="11.25" customHeight="1">
      <c r="C329" s="315">
        <v>43422</v>
      </c>
      <c r="D329" s="316">
        <v>72.245325381739178</v>
      </c>
      <c r="E329" s="316">
        <v>80.413851096189973</v>
      </c>
      <c r="F329" s="316">
        <f t="shared" ref="F329:F371" si="5">IF($D329&gt;E329,E329,$D329)</f>
        <v>72.245325381739178</v>
      </c>
      <c r="G329" s="479"/>
    </row>
    <row r="330" spans="3:7" ht="11.25" customHeight="1">
      <c r="C330" s="315">
        <v>43423</v>
      </c>
      <c r="D330" s="316">
        <v>107.82468873573919</v>
      </c>
      <c r="E330" s="316">
        <v>80.413851096189973</v>
      </c>
      <c r="F330" s="316">
        <f t="shared" si="5"/>
        <v>80.413851096189973</v>
      </c>
      <c r="G330" s="479"/>
    </row>
    <row r="331" spans="3:7" ht="11.25" customHeight="1">
      <c r="C331" s="315">
        <v>43424</v>
      </c>
      <c r="D331" s="316">
        <v>95.246582345739185</v>
      </c>
      <c r="E331" s="316">
        <v>80.413851096189973</v>
      </c>
      <c r="F331" s="316">
        <f t="shared" si="5"/>
        <v>80.413851096189973</v>
      </c>
      <c r="G331" s="479"/>
    </row>
    <row r="332" spans="3:7" ht="11.25" customHeight="1">
      <c r="C332" s="315">
        <v>43425</v>
      </c>
      <c r="D332" s="316">
        <v>84.208812363573003</v>
      </c>
      <c r="E332" s="316">
        <v>80.413851096189973</v>
      </c>
      <c r="F332" s="316">
        <f t="shared" si="5"/>
        <v>80.413851096189973</v>
      </c>
      <c r="G332" s="479"/>
    </row>
    <row r="333" spans="3:7" ht="11.25" customHeight="1">
      <c r="C333" s="315">
        <v>43426</v>
      </c>
      <c r="D333" s="316">
        <v>100.01984260957394</v>
      </c>
      <c r="E333" s="316">
        <v>80.413851096189973</v>
      </c>
      <c r="F333" s="316">
        <f t="shared" si="5"/>
        <v>80.413851096189973</v>
      </c>
      <c r="G333" s="479"/>
    </row>
    <row r="334" spans="3:7" ht="11.25" customHeight="1">
      <c r="C334" s="315">
        <v>43427</v>
      </c>
      <c r="D334" s="316">
        <v>93.962985249573933</v>
      </c>
      <c r="E334" s="316">
        <v>80.413851096189973</v>
      </c>
      <c r="F334" s="316">
        <f t="shared" si="5"/>
        <v>80.413851096189973</v>
      </c>
      <c r="G334" s="479"/>
    </row>
    <row r="335" spans="3:7" ht="11.25" customHeight="1">
      <c r="C335" s="315">
        <v>43428</v>
      </c>
      <c r="D335" s="316">
        <v>71.455035399573006</v>
      </c>
      <c r="E335" s="316">
        <v>80.413851096189973</v>
      </c>
      <c r="F335" s="316">
        <f t="shared" si="5"/>
        <v>71.455035399573006</v>
      </c>
      <c r="G335" s="479"/>
    </row>
    <row r="336" spans="3:7" ht="11.25" customHeight="1">
      <c r="C336" s="315">
        <v>43429</v>
      </c>
      <c r="D336" s="316">
        <v>73.540535463573931</v>
      </c>
      <c r="E336" s="316">
        <v>80.413851096189973</v>
      </c>
      <c r="F336" s="316">
        <f t="shared" si="5"/>
        <v>73.540535463573931</v>
      </c>
      <c r="G336" s="479"/>
    </row>
    <row r="337" spans="3:7" ht="11.25" customHeight="1">
      <c r="C337" s="315">
        <v>43430</v>
      </c>
      <c r="D337" s="316">
        <v>89.012027399573014</v>
      </c>
      <c r="E337" s="316">
        <v>80.413851096189973</v>
      </c>
      <c r="F337" s="316">
        <f t="shared" si="5"/>
        <v>80.413851096189973</v>
      </c>
      <c r="G337" s="479"/>
    </row>
    <row r="338" spans="3:7" ht="11.25" customHeight="1">
      <c r="C338" s="315">
        <v>43431</v>
      </c>
      <c r="D338" s="316">
        <v>91.772918073573933</v>
      </c>
      <c r="E338" s="316">
        <v>80.413851096189973</v>
      </c>
      <c r="F338" s="316">
        <f t="shared" si="5"/>
        <v>80.413851096189973</v>
      </c>
      <c r="G338" s="479"/>
    </row>
    <row r="339" spans="3:7" ht="11.25" customHeight="1">
      <c r="C339" s="315">
        <v>43432</v>
      </c>
      <c r="D339" s="316">
        <v>100.60704683628585</v>
      </c>
      <c r="E339" s="316">
        <v>80.413851096189973</v>
      </c>
      <c r="F339" s="316">
        <f t="shared" si="5"/>
        <v>80.413851096189973</v>
      </c>
      <c r="G339" s="479"/>
    </row>
    <row r="340" spans="3:7" ht="11.25" customHeight="1">
      <c r="C340" s="315">
        <v>43433</v>
      </c>
      <c r="D340" s="316">
        <v>105.96454600028585</v>
      </c>
      <c r="E340" s="316">
        <v>80.413851096189973</v>
      </c>
      <c r="F340" s="316">
        <f t="shared" si="5"/>
        <v>80.413851096189973</v>
      </c>
      <c r="G340" s="479"/>
    </row>
    <row r="341" spans="3:7" ht="11.25" customHeight="1">
      <c r="C341" s="315">
        <v>43434</v>
      </c>
      <c r="D341" s="316">
        <v>97.361790356285852</v>
      </c>
      <c r="E341" s="316">
        <v>80.413851096189973</v>
      </c>
      <c r="F341" s="316">
        <f t="shared" si="5"/>
        <v>80.413851096189973</v>
      </c>
      <c r="G341" s="479"/>
    </row>
    <row r="342" spans="3:7" ht="11.25" customHeight="1">
      <c r="C342" s="315">
        <v>43435</v>
      </c>
      <c r="D342" s="316">
        <v>90.377634360286791</v>
      </c>
      <c r="E342" s="316">
        <v>101.95753277636452</v>
      </c>
      <c r="F342" s="316">
        <f t="shared" si="5"/>
        <v>90.377634360286791</v>
      </c>
      <c r="G342" s="479"/>
    </row>
    <row r="343" spans="3:7" ht="11.25" customHeight="1">
      <c r="C343" s="315">
        <v>43436</v>
      </c>
      <c r="D343" s="316">
        <v>84.844575290285846</v>
      </c>
      <c r="E343" s="316">
        <v>101.95753277636452</v>
      </c>
      <c r="F343" s="316">
        <f t="shared" si="5"/>
        <v>84.844575290285846</v>
      </c>
      <c r="G343" s="479"/>
    </row>
    <row r="344" spans="3:7" ht="11.25" customHeight="1">
      <c r="C344" s="315">
        <v>43437</v>
      </c>
      <c r="D344" s="316">
        <v>108.34941833628585</v>
      </c>
      <c r="E344" s="316">
        <v>101.95753277636452</v>
      </c>
      <c r="F344" s="316">
        <f t="shared" si="5"/>
        <v>101.95753277636452</v>
      </c>
      <c r="G344" s="479"/>
    </row>
    <row r="345" spans="3:7" ht="11.25" customHeight="1">
      <c r="C345" s="315">
        <v>43438</v>
      </c>
      <c r="D345" s="316">
        <v>126.35694536228586</v>
      </c>
      <c r="E345" s="316">
        <v>101.95753277636452</v>
      </c>
      <c r="F345" s="316">
        <f t="shared" si="5"/>
        <v>101.95753277636452</v>
      </c>
      <c r="G345" s="479"/>
    </row>
    <row r="346" spans="3:7" ht="11.25" customHeight="1">
      <c r="C346" s="315">
        <v>43439</v>
      </c>
      <c r="D346" s="316">
        <v>87.494353344428589</v>
      </c>
      <c r="E346" s="316">
        <v>101.95753277636452</v>
      </c>
      <c r="F346" s="316">
        <f t="shared" si="5"/>
        <v>87.494353344428589</v>
      </c>
      <c r="G346" s="479"/>
    </row>
    <row r="347" spans="3:7" ht="11.25" customHeight="1">
      <c r="C347" s="315">
        <v>43440</v>
      </c>
      <c r="D347" s="316">
        <v>77.762694294428599</v>
      </c>
      <c r="E347" s="316">
        <v>101.95753277636452</v>
      </c>
      <c r="F347" s="316">
        <f t="shared" si="5"/>
        <v>77.762694294428599</v>
      </c>
      <c r="G347" s="479"/>
    </row>
    <row r="348" spans="3:7" ht="11.25" customHeight="1">
      <c r="C348" s="315">
        <v>43441</v>
      </c>
      <c r="D348" s="316">
        <v>62.162336000428596</v>
      </c>
      <c r="E348" s="316">
        <v>101.95753277636452</v>
      </c>
      <c r="F348" s="316">
        <f t="shared" si="5"/>
        <v>62.162336000428596</v>
      </c>
      <c r="G348" s="479"/>
    </row>
    <row r="349" spans="3:7" ht="11.25" customHeight="1">
      <c r="C349" s="315">
        <v>43442</v>
      </c>
      <c r="D349" s="316">
        <v>55.688550724428588</v>
      </c>
      <c r="E349" s="316">
        <v>101.95753277636452</v>
      </c>
      <c r="F349" s="316">
        <f t="shared" si="5"/>
        <v>55.688550724428588</v>
      </c>
      <c r="G349" s="479"/>
    </row>
    <row r="350" spans="3:7" ht="11.25" customHeight="1">
      <c r="C350" s="315">
        <v>43443</v>
      </c>
      <c r="D350" s="316">
        <v>55.537228698428592</v>
      </c>
      <c r="E350" s="316">
        <v>101.95753277636452</v>
      </c>
      <c r="F350" s="316">
        <f t="shared" si="5"/>
        <v>55.537228698428592</v>
      </c>
      <c r="G350" s="479"/>
    </row>
    <row r="351" spans="3:7" ht="11.25" customHeight="1">
      <c r="C351" s="315">
        <v>43444</v>
      </c>
      <c r="D351" s="316">
        <v>67.036373550428593</v>
      </c>
      <c r="E351" s="316">
        <v>101.95753277636452</v>
      </c>
      <c r="F351" s="316">
        <f t="shared" si="5"/>
        <v>67.036373550428593</v>
      </c>
      <c r="G351" s="479"/>
    </row>
    <row r="352" spans="3:7" ht="11.25" customHeight="1">
      <c r="C352" s="315">
        <v>43445</v>
      </c>
      <c r="D352" s="316">
        <v>96.08555970442859</v>
      </c>
      <c r="E352" s="316">
        <v>101.95753277636452</v>
      </c>
      <c r="F352" s="316">
        <f t="shared" si="5"/>
        <v>96.08555970442859</v>
      </c>
      <c r="G352" s="479"/>
    </row>
    <row r="353" spans="3:7" ht="11.25" customHeight="1">
      <c r="C353" s="315">
        <v>43446</v>
      </c>
      <c r="D353" s="316">
        <v>108.86417666227644</v>
      </c>
      <c r="E353" s="316">
        <v>101.95753277636452</v>
      </c>
      <c r="F353" s="316">
        <f t="shared" si="5"/>
        <v>101.95753277636452</v>
      </c>
      <c r="G353" s="479"/>
    </row>
    <row r="354" spans="3:7" ht="11.25" customHeight="1">
      <c r="C354" s="315">
        <v>43447</v>
      </c>
      <c r="D354" s="316">
        <v>84.336611072275517</v>
      </c>
      <c r="E354" s="316">
        <v>101.95753277636452</v>
      </c>
      <c r="F354" s="316">
        <f t="shared" si="5"/>
        <v>84.336611072275517</v>
      </c>
      <c r="G354" s="479"/>
    </row>
    <row r="355" spans="3:7" ht="11.25" customHeight="1">
      <c r="C355" s="315">
        <v>43448</v>
      </c>
      <c r="D355" s="316">
        <v>86.406546054275523</v>
      </c>
      <c r="E355" s="316">
        <v>101.95753277636452</v>
      </c>
      <c r="F355" s="316">
        <f t="shared" si="5"/>
        <v>86.406546054275523</v>
      </c>
      <c r="G355" s="479"/>
    </row>
    <row r="356" spans="3:7" ht="11.25" customHeight="1">
      <c r="C356" s="315">
        <v>43449</v>
      </c>
      <c r="D356" s="316">
        <v>74.523278642275514</v>
      </c>
      <c r="E356" s="316">
        <v>101.95753277636452</v>
      </c>
      <c r="F356" s="316">
        <f t="shared" si="5"/>
        <v>74.523278642275514</v>
      </c>
      <c r="G356" s="481">
        <f>E356</f>
        <v>101.95753277636452</v>
      </c>
    </row>
    <row r="357" spans="3:7" ht="11.25" customHeight="1">
      <c r="C357" s="315">
        <v>43450</v>
      </c>
      <c r="D357" s="316">
        <v>69.943454598275508</v>
      </c>
      <c r="E357" s="316">
        <v>101.95753277636452</v>
      </c>
      <c r="F357" s="316">
        <f t="shared" si="5"/>
        <v>69.943454598275508</v>
      </c>
      <c r="G357" s="479"/>
    </row>
    <row r="358" spans="3:7" ht="11.25" customHeight="1">
      <c r="C358" s="315">
        <v>43451</v>
      </c>
      <c r="D358" s="316">
        <v>111.32398648227644</v>
      </c>
      <c r="E358" s="316">
        <v>101.95753277636452</v>
      </c>
      <c r="F358" s="316">
        <f t="shared" si="5"/>
        <v>101.95753277636452</v>
      </c>
      <c r="G358" s="479"/>
    </row>
    <row r="359" spans="3:7" ht="11.25" customHeight="1">
      <c r="C359" s="315">
        <v>43452</v>
      </c>
      <c r="D359" s="316">
        <v>93.909404482275505</v>
      </c>
      <c r="E359" s="316">
        <v>101.95753277636452</v>
      </c>
      <c r="F359" s="316">
        <f t="shared" si="5"/>
        <v>93.909404482275505</v>
      </c>
      <c r="G359" s="479"/>
    </row>
    <row r="360" spans="3:7" ht="11.25" customHeight="1">
      <c r="C360" s="315">
        <v>43453</v>
      </c>
      <c r="D360" s="316">
        <v>100.34904894998714</v>
      </c>
      <c r="E360" s="316">
        <v>101.95753277636452</v>
      </c>
      <c r="F360" s="316">
        <f t="shared" si="5"/>
        <v>100.34904894998714</v>
      </c>
      <c r="G360" s="479"/>
    </row>
    <row r="361" spans="3:7" ht="11.25" customHeight="1">
      <c r="C361" s="315">
        <v>43454</v>
      </c>
      <c r="D361" s="316">
        <v>105.37348162998713</v>
      </c>
      <c r="E361" s="316">
        <v>101.95753277636452</v>
      </c>
      <c r="F361" s="316">
        <f t="shared" si="5"/>
        <v>101.95753277636452</v>
      </c>
      <c r="G361" s="479"/>
    </row>
    <row r="362" spans="3:7" ht="11.25" customHeight="1">
      <c r="C362" s="315">
        <v>43455</v>
      </c>
      <c r="D362" s="316">
        <v>94.125245369987141</v>
      </c>
      <c r="E362" s="316">
        <v>101.95753277636452</v>
      </c>
      <c r="F362" s="316">
        <f t="shared" si="5"/>
        <v>94.125245369987141</v>
      </c>
      <c r="G362" s="479"/>
    </row>
    <row r="363" spans="3:7" ht="11.25" customHeight="1">
      <c r="C363" s="315">
        <v>43456</v>
      </c>
      <c r="D363" s="316">
        <v>95.900655389987136</v>
      </c>
      <c r="E363" s="316">
        <v>101.95753277636452</v>
      </c>
      <c r="F363" s="316">
        <f t="shared" si="5"/>
        <v>95.900655389987136</v>
      </c>
      <c r="G363" s="479"/>
    </row>
    <row r="364" spans="3:7" ht="11.25" customHeight="1">
      <c r="C364" s="315">
        <v>43457</v>
      </c>
      <c r="D364" s="316">
        <v>90.088321709987142</v>
      </c>
      <c r="E364" s="316">
        <v>101.95753277636452</v>
      </c>
      <c r="F364" s="316">
        <f t="shared" si="5"/>
        <v>90.088321709987142</v>
      </c>
      <c r="G364" s="479"/>
    </row>
    <row r="365" spans="3:7" ht="11.25" customHeight="1">
      <c r="C365" s="315">
        <v>43458</v>
      </c>
      <c r="D365" s="316">
        <v>92.536635409987142</v>
      </c>
      <c r="E365" s="316">
        <v>101.95753277636452</v>
      </c>
      <c r="F365" s="316">
        <f t="shared" si="5"/>
        <v>92.536635409987142</v>
      </c>
      <c r="G365" s="479"/>
    </row>
    <row r="366" spans="3:7" ht="11.25" customHeight="1">
      <c r="C366" s="315">
        <v>43459</v>
      </c>
      <c r="D366" s="316">
        <v>78.138331777987133</v>
      </c>
      <c r="E366" s="316">
        <v>101.95753277636452</v>
      </c>
      <c r="F366" s="316">
        <f t="shared" si="5"/>
        <v>78.138331777987133</v>
      </c>
      <c r="G366" s="479"/>
    </row>
    <row r="367" spans="3:7" ht="11.25" customHeight="1">
      <c r="C367" s="315">
        <v>43460</v>
      </c>
      <c r="D367" s="316">
        <v>80.337816800517686</v>
      </c>
      <c r="E367" s="316">
        <v>101.95753277636452</v>
      </c>
      <c r="F367" s="316">
        <f t="shared" si="5"/>
        <v>80.337816800517686</v>
      </c>
      <c r="G367" s="479"/>
    </row>
    <row r="368" spans="3:7" ht="11.25" customHeight="1">
      <c r="C368" s="315">
        <v>43461</v>
      </c>
      <c r="D368" s="316">
        <v>100.55993795651675</v>
      </c>
      <c r="E368" s="316">
        <v>101.95753277636452</v>
      </c>
      <c r="F368" s="316">
        <f t="shared" si="5"/>
        <v>100.55993795651675</v>
      </c>
      <c r="G368" s="479"/>
    </row>
    <row r="369" spans="2:9" ht="11.25" customHeight="1">
      <c r="C369" s="315">
        <v>43462</v>
      </c>
      <c r="D369" s="316">
        <v>78.452111536517677</v>
      </c>
      <c r="E369" s="316">
        <v>101.95753277636452</v>
      </c>
      <c r="F369" s="316">
        <f t="shared" si="5"/>
        <v>78.452111536517677</v>
      </c>
      <c r="G369" s="479"/>
    </row>
    <row r="370" spans="2:9" ht="11.25" customHeight="1">
      <c r="C370" s="315">
        <v>43463</v>
      </c>
      <c r="D370" s="316">
        <v>61.675687186517678</v>
      </c>
      <c r="E370" s="316">
        <v>101.95753277636452</v>
      </c>
      <c r="F370" s="316">
        <f t="shared" si="5"/>
        <v>61.675687186517678</v>
      </c>
      <c r="G370" s="479"/>
    </row>
    <row r="371" spans="2:9" ht="11.25" customHeight="1">
      <c r="C371" s="315">
        <v>43464</v>
      </c>
      <c r="D371" s="316">
        <v>62.068217364517679</v>
      </c>
      <c r="E371" s="316">
        <v>101.95753277636452</v>
      </c>
      <c r="F371" s="316">
        <f t="shared" si="5"/>
        <v>62.068217364517679</v>
      </c>
      <c r="G371" s="479"/>
    </row>
    <row r="372" spans="2:9" ht="11.25" customHeight="1">
      <c r="C372" s="315">
        <v>43465</v>
      </c>
      <c r="D372" s="316">
        <v>67.649633472517692</v>
      </c>
      <c r="E372" s="316">
        <v>101.95753277636452</v>
      </c>
      <c r="F372" s="316">
        <f>IF($D372&gt;E372,E372,$D372)</f>
        <v>67.649633472517692</v>
      </c>
      <c r="G372" s="479"/>
    </row>
    <row r="373" spans="2:9" ht="11.25" customHeight="1">
      <c r="C373" s="269" t="s">
        <v>32</v>
      </c>
      <c r="D373" s="317">
        <f>SUM(D8:D372)</f>
        <v>37385.604628769521</v>
      </c>
      <c r="E373" s="317">
        <f>SUM(E8:E372)</f>
        <v>29171.162204023105</v>
      </c>
      <c r="F373" s="436">
        <f>D373/E373</f>
        <v>1.2815946230491129</v>
      </c>
    </row>
    <row r="374" spans="2:9" ht="11.25" customHeight="1"/>
    <row r="375" spans="2:9" ht="11.25" customHeight="1">
      <c r="B375" s="2"/>
      <c r="C375" s="318" t="s">
        <v>261</v>
      </c>
      <c r="D375" s="319"/>
      <c r="E375" s="319"/>
      <c r="F375" s="319"/>
      <c r="G375" s="320"/>
      <c r="H375" s="320"/>
      <c r="I375" s="3"/>
    </row>
    <row r="376" spans="2:9" ht="11.25" customHeight="1">
      <c r="B376" s="2"/>
      <c r="C376" s="321"/>
      <c r="D376" s="311"/>
      <c r="E376" s="311" t="s">
        <v>204</v>
      </c>
      <c r="F376" s="653" t="s">
        <v>205</v>
      </c>
      <c r="G376" s="653"/>
      <c r="H376" s="653"/>
      <c r="I376" s="654" t="s">
        <v>206</v>
      </c>
    </row>
    <row r="377" spans="2:9" ht="11.25" customHeight="1">
      <c r="B377" s="2"/>
      <c r="C377" s="312"/>
      <c r="D377" s="314" t="s">
        <v>207</v>
      </c>
      <c r="E377" s="314" t="s">
        <v>208</v>
      </c>
      <c r="F377" s="314" t="s">
        <v>209</v>
      </c>
      <c r="G377" s="314" t="s">
        <v>210</v>
      </c>
      <c r="H377" s="314" t="s">
        <v>211</v>
      </c>
      <c r="I377" s="655"/>
    </row>
    <row r="378" spans="2:9" ht="11.25" hidden="1" customHeight="1">
      <c r="B378" s="322"/>
      <c r="C378" s="323" t="s">
        <v>212</v>
      </c>
      <c r="D378" s="324">
        <v>10667.030070000001</v>
      </c>
      <c r="E378" s="324">
        <v>18538.071</v>
      </c>
      <c r="F378" s="324">
        <v>12834.4</v>
      </c>
      <c r="G378" s="324">
        <v>5199.5</v>
      </c>
      <c r="H378" s="324">
        <v>8668.2999999999993</v>
      </c>
      <c r="I378" s="325">
        <f>(D378/E378)*100</f>
        <v>57.541208413755676</v>
      </c>
    </row>
    <row r="379" spans="2:9" ht="11.25" customHeight="1">
      <c r="B379" s="322"/>
      <c r="C379" s="326" t="s">
        <v>213</v>
      </c>
      <c r="D379" s="327">
        <v>13095.099113</v>
      </c>
      <c r="E379" s="327">
        <v>18538.071</v>
      </c>
      <c r="F379" s="327">
        <v>12967.4</v>
      </c>
      <c r="G379" s="327">
        <v>5163.3999999999996</v>
      </c>
      <c r="H379" s="327">
        <v>9434.9</v>
      </c>
      <c r="I379" s="328">
        <f t="shared" ref="I379:I438" si="6">(D379/E379)*100</f>
        <v>70.638952202739972</v>
      </c>
    </row>
    <row r="380" spans="2:9" ht="11.25" customHeight="1">
      <c r="B380" s="322"/>
      <c r="C380" s="326" t="s">
        <v>214</v>
      </c>
      <c r="D380" s="327">
        <v>14128.365964000001</v>
      </c>
      <c r="E380" s="327">
        <v>18538.071</v>
      </c>
      <c r="F380" s="327">
        <v>13367.5</v>
      </c>
      <c r="G380" s="327">
        <v>5336</v>
      </c>
      <c r="H380" s="327">
        <v>9837.1</v>
      </c>
      <c r="I380" s="328">
        <f t="shared" si="6"/>
        <v>76.212708237011284</v>
      </c>
    </row>
    <row r="381" spans="2:9" ht="11.25" customHeight="1">
      <c r="B381" s="322"/>
      <c r="C381" s="326" t="s">
        <v>215</v>
      </c>
      <c r="D381" s="327">
        <v>13921.849047</v>
      </c>
      <c r="E381" s="327">
        <v>18538.071</v>
      </c>
      <c r="F381" s="327">
        <v>13950.8</v>
      </c>
      <c r="G381" s="327">
        <v>5432.5</v>
      </c>
      <c r="H381" s="327">
        <v>10258.200000000001</v>
      </c>
      <c r="I381" s="328">
        <f t="shared" si="6"/>
        <v>75.098693100269159</v>
      </c>
    </row>
    <row r="382" spans="2:9" ht="11.25" customHeight="1">
      <c r="B382" s="322"/>
      <c r="C382" s="326" t="s">
        <v>216</v>
      </c>
      <c r="D382" s="327">
        <v>14347.673042</v>
      </c>
      <c r="E382" s="327">
        <v>18538.071</v>
      </c>
      <c r="F382" s="327">
        <v>14112.5</v>
      </c>
      <c r="G382" s="327">
        <v>6773.4</v>
      </c>
      <c r="H382" s="327">
        <v>10668.5</v>
      </c>
      <c r="I382" s="328">
        <f t="shared" si="6"/>
        <v>77.395717396917945</v>
      </c>
    </row>
    <row r="383" spans="2:9" ht="11.25" customHeight="1">
      <c r="B383" s="322"/>
      <c r="C383" s="326" t="s">
        <v>217</v>
      </c>
      <c r="D383" s="327">
        <v>14108.111021999999</v>
      </c>
      <c r="E383" s="327">
        <v>18538.071</v>
      </c>
      <c r="F383" s="327">
        <v>14197.9</v>
      </c>
      <c r="G383" s="327">
        <v>6705.4</v>
      </c>
      <c r="H383" s="327">
        <v>10962.3</v>
      </c>
      <c r="I383" s="328">
        <f t="shared" si="6"/>
        <v>76.103446912033078</v>
      </c>
    </row>
    <row r="384" spans="2:9" ht="11.25" customHeight="1">
      <c r="B384" s="322"/>
      <c r="C384" s="326" t="s">
        <v>218</v>
      </c>
      <c r="D384" s="327">
        <v>13566.252734</v>
      </c>
      <c r="E384" s="327">
        <v>18538.071</v>
      </c>
      <c r="F384" s="327">
        <v>13730.3</v>
      </c>
      <c r="G384" s="327">
        <v>6274</v>
      </c>
      <c r="H384" s="327">
        <v>10460.700000000001</v>
      </c>
      <c r="I384" s="328">
        <f t="shared" si="6"/>
        <v>73.180498305352273</v>
      </c>
    </row>
    <row r="385" spans="2:9" ht="11.25" customHeight="1">
      <c r="B385" s="322"/>
      <c r="C385" s="326" t="s">
        <v>219</v>
      </c>
      <c r="D385" s="327">
        <v>12458.298484000001</v>
      </c>
      <c r="E385" s="327">
        <v>18538.071</v>
      </c>
      <c r="F385" s="327">
        <v>12236</v>
      </c>
      <c r="G385" s="327">
        <v>5437.2</v>
      </c>
      <c r="H385" s="327">
        <v>9396.9</v>
      </c>
      <c r="I385" s="328">
        <f t="shared" si="6"/>
        <v>67.203855697823144</v>
      </c>
    </row>
    <row r="386" spans="2:9" ht="11.25" customHeight="1">
      <c r="B386" s="322"/>
      <c r="C386" s="326" t="s">
        <v>220</v>
      </c>
      <c r="D386" s="327">
        <v>11182.845214999999</v>
      </c>
      <c r="E386" s="327">
        <v>18538.071</v>
      </c>
      <c r="F386" s="327">
        <v>10925.4</v>
      </c>
      <c r="G386" s="327">
        <v>4775.8</v>
      </c>
      <c r="H386" s="327">
        <v>8399.1</v>
      </c>
      <c r="I386" s="328">
        <f t="shared" si="6"/>
        <v>60.323672376699818</v>
      </c>
    </row>
    <row r="387" spans="2:9" ht="11.25" customHeight="1">
      <c r="B387" s="322"/>
      <c r="C387" s="326" t="s">
        <v>221</v>
      </c>
      <c r="D387" s="327">
        <v>10347.826236000001</v>
      </c>
      <c r="E387" s="327">
        <v>18538.071</v>
      </c>
      <c r="F387" s="327">
        <v>9994.9</v>
      </c>
      <c r="G387" s="327">
        <v>4551.1000000000004</v>
      </c>
      <c r="H387" s="327">
        <v>7716.6</v>
      </c>
      <c r="I387" s="328">
        <f t="shared" si="6"/>
        <v>55.819325732434621</v>
      </c>
    </row>
    <row r="388" spans="2:9" ht="11.25" customHeight="1">
      <c r="B388" s="322"/>
      <c r="C388" s="326" t="s">
        <v>222</v>
      </c>
      <c r="D388" s="327">
        <v>10605.790159</v>
      </c>
      <c r="E388" s="327">
        <v>18538.071</v>
      </c>
      <c r="F388" s="327">
        <v>9589.9</v>
      </c>
      <c r="G388" s="327">
        <v>4228</v>
      </c>
      <c r="H388" s="327">
        <v>7579.4</v>
      </c>
      <c r="I388" s="328">
        <f t="shared" si="6"/>
        <v>57.210861685662984</v>
      </c>
    </row>
    <row r="389" spans="2:9" ht="11.25" customHeight="1">
      <c r="B389" s="322"/>
      <c r="C389" s="326" t="s">
        <v>223</v>
      </c>
      <c r="D389" s="327">
        <v>11549.200858</v>
      </c>
      <c r="E389" s="327">
        <v>18538.071</v>
      </c>
      <c r="F389" s="327">
        <v>10812.3</v>
      </c>
      <c r="G389" s="327">
        <v>4573.5</v>
      </c>
      <c r="H389" s="327">
        <v>8045.1</v>
      </c>
      <c r="I389" s="328">
        <f t="shared" si="6"/>
        <v>62.299906273959138</v>
      </c>
    </row>
    <row r="390" spans="2:9" ht="11.25" customHeight="1">
      <c r="B390" s="322"/>
      <c r="C390" s="326" t="s">
        <v>224</v>
      </c>
      <c r="D390" s="327">
        <v>11825.70354</v>
      </c>
      <c r="E390" s="327">
        <v>18538.071</v>
      </c>
      <c r="F390" s="327">
        <v>13000</v>
      </c>
      <c r="G390" s="327">
        <v>5232.3</v>
      </c>
      <c r="H390" s="327">
        <v>8830.7000000000007</v>
      </c>
      <c r="I390" s="328">
        <f t="shared" si="6"/>
        <v>63.791445938469003</v>
      </c>
    </row>
    <row r="391" spans="2:9" ht="11.25" customHeight="1">
      <c r="B391" s="322"/>
      <c r="C391" s="326" t="s">
        <v>225</v>
      </c>
      <c r="D391" s="327">
        <v>11887.913372000001</v>
      </c>
      <c r="E391" s="327">
        <v>18538.071</v>
      </c>
      <c r="F391" s="327">
        <v>13349.6</v>
      </c>
      <c r="G391" s="327">
        <v>5301</v>
      </c>
      <c r="H391" s="327">
        <v>9775.2999999999993</v>
      </c>
      <c r="I391" s="328">
        <f t="shared" si="6"/>
        <v>64.127024715786234</v>
      </c>
    </row>
    <row r="392" spans="2:9" ht="11.25" customHeight="1">
      <c r="B392" s="322"/>
      <c r="C392" s="326" t="s">
        <v>226</v>
      </c>
      <c r="D392" s="327">
        <v>12621.581502000001</v>
      </c>
      <c r="E392" s="327">
        <v>18538.071</v>
      </c>
      <c r="F392" s="327">
        <v>13349.6</v>
      </c>
      <c r="G392" s="327">
        <v>5388.4</v>
      </c>
      <c r="H392" s="327">
        <v>10122.1</v>
      </c>
      <c r="I392" s="328">
        <f t="shared" si="6"/>
        <v>68.084654018209349</v>
      </c>
    </row>
    <row r="393" spans="2:9" ht="11.25" customHeight="1">
      <c r="B393" s="322"/>
      <c r="C393" s="326" t="s">
        <v>227</v>
      </c>
      <c r="D393" s="327">
        <v>12918.073985999999</v>
      </c>
      <c r="E393" s="327">
        <v>18538.071</v>
      </c>
      <c r="F393" s="327">
        <v>13912.1</v>
      </c>
      <c r="G393" s="327">
        <v>5503.9</v>
      </c>
      <c r="H393" s="327">
        <v>10525.9</v>
      </c>
      <c r="I393" s="328">
        <f t="shared" si="6"/>
        <v>69.684024761799648</v>
      </c>
    </row>
    <row r="394" spans="2:9" ht="11.25" customHeight="1">
      <c r="B394" s="322"/>
      <c r="C394" s="326" t="s">
        <v>228</v>
      </c>
      <c r="D394" s="327">
        <v>13203.73019</v>
      </c>
      <c r="E394" s="327">
        <v>18538.071</v>
      </c>
      <c r="F394" s="327">
        <v>14074.2</v>
      </c>
      <c r="G394" s="327">
        <v>6818.6</v>
      </c>
      <c r="H394" s="327">
        <v>10985.5</v>
      </c>
      <c r="I394" s="328">
        <f t="shared" si="6"/>
        <v>71.224941311315519</v>
      </c>
    </row>
    <row r="395" spans="2:9" ht="11.25" customHeight="1">
      <c r="B395" s="322"/>
      <c r="C395" s="326" t="s">
        <v>229</v>
      </c>
      <c r="D395" s="327">
        <v>12887.114576</v>
      </c>
      <c r="E395" s="327">
        <v>18538.071</v>
      </c>
      <c r="F395" s="327">
        <v>14187.1</v>
      </c>
      <c r="G395" s="327">
        <v>6734.3</v>
      </c>
      <c r="H395" s="327">
        <v>11208.4</v>
      </c>
      <c r="I395" s="328">
        <f t="shared" si="6"/>
        <v>69.517020276813042</v>
      </c>
    </row>
    <row r="396" spans="2:9" ht="11.25" customHeight="1">
      <c r="B396" s="322"/>
      <c r="C396" s="326" t="s">
        <v>230</v>
      </c>
      <c r="D396" s="327">
        <v>11918.792775</v>
      </c>
      <c r="E396" s="327">
        <v>18538.071</v>
      </c>
      <c r="F396" s="327">
        <v>13746.6</v>
      </c>
      <c r="G396" s="327">
        <v>6287.9</v>
      </c>
      <c r="H396" s="327">
        <v>10708.8</v>
      </c>
      <c r="I396" s="328">
        <f t="shared" si="6"/>
        <v>64.293597618651916</v>
      </c>
    </row>
    <row r="397" spans="2:9" ht="11.25" customHeight="1">
      <c r="B397" s="322"/>
      <c r="C397" s="326" t="s">
        <v>231</v>
      </c>
      <c r="D397" s="327">
        <v>10448.885818000001</v>
      </c>
      <c r="E397" s="327">
        <v>18538.071</v>
      </c>
      <c r="F397" s="327">
        <v>12252.4</v>
      </c>
      <c r="G397" s="327">
        <v>5431.9</v>
      </c>
      <c r="H397" s="327">
        <v>9643.2999999999993</v>
      </c>
      <c r="I397" s="328">
        <f t="shared" si="6"/>
        <v>56.364471891385037</v>
      </c>
    </row>
    <row r="398" spans="2:9" ht="11.25" customHeight="1">
      <c r="B398" s="322"/>
      <c r="C398" s="326" t="s">
        <v>232</v>
      </c>
      <c r="D398" s="327">
        <v>9469.3938039999994</v>
      </c>
      <c r="E398" s="327">
        <v>18538.071</v>
      </c>
      <c r="F398" s="327">
        <v>10937.6</v>
      </c>
      <c r="G398" s="327">
        <v>4750.7</v>
      </c>
      <c r="H398" s="327">
        <v>8625.7000000000007</v>
      </c>
      <c r="I398" s="328">
        <f t="shared" si="6"/>
        <v>51.080793702861527</v>
      </c>
    </row>
    <row r="399" spans="2:9" ht="11.25" customHeight="1">
      <c r="B399" s="322"/>
      <c r="C399" s="326" t="s">
        <v>233</v>
      </c>
      <c r="D399" s="327">
        <v>8754.5516729999999</v>
      </c>
      <c r="E399" s="327">
        <v>18538.071</v>
      </c>
      <c r="F399" s="327">
        <v>10034.299999999999</v>
      </c>
      <c r="G399" s="327">
        <v>4535.6000000000004</v>
      </c>
      <c r="H399" s="327">
        <v>7930.4</v>
      </c>
      <c r="I399" s="328">
        <f t="shared" si="6"/>
        <v>47.224717571747348</v>
      </c>
    </row>
    <row r="400" spans="2:9" ht="11.25" customHeight="1">
      <c r="B400" s="322"/>
      <c r="C400" s="326" t="s">
        <v>234</v>
      </c>
      <c r="D400" s="327">
        <v>8623.2692549999992</v>
      </c>
      <c r="E400" s="327">
        <v>18538.071</v>
      </c>
      <c r="F400" s="327">
        <v>9635.2000000000007</v>
      </c>
      <c r="G400" s="327">
        <v>4230.8</v>
      </c>
      <c r="H400" s="327">
        <v>7810.6</v>
      </c>
      <c r="I400" s="328">
        <f t="shared" si="6"/>
        <v>46.516540232260404</v>
      </c>
    </row>
    <row r="401" spans="2:9" ht="11.25" customHeight="1">
      <c r="B401" s="322"/>
      <c r="C401" s="326" t="s">
        <v>235</v>
      </c>
      <c r="D401" s="327">
        <v>8744.6446699999997</v>
      </c>
      <c r="E401" s="327">
        <v>18538.071</v>
      </c>
      <c r="F401" s="327">
        <v>10899.4</v>
      </c>
      <c r="G401" s="327">
        <v>4607.3</v>
      </c>
      <c r="H401" s="327">
        <v>8257</v>
      </c>
      <c r="I401" s="328">
        <f t="shared" si="6"/>
        <v>47.171276180784936</v>
      </c>
    </row>
    <row r="402" spans="2:9" ht="11.25" customHeight="1">
      <c r="B402" s="322"/>
      <c r="C402" s="326" t="s">
        <v>236</v>
      </c>
      <c r="D402" s="327">
        <v>8644.1745179999998</v>
      </c>
      <c r="E402" s="327">
        <v>18538.071</v>
      </c>
      <c r="F402" s="327">
        <v>13185.4</v>
      </c>
      <c r="G402" s="327">
        <v>5271.4</v>
      </c>
      <c r="H402" s="327">
        <v>9056</v>
      </c>
      <c r="I402" s="328">
        <f t="shared" si="6"/>
        <v>46.62930958674179</v>
      </c>
    </row>
    <row r="403" spans="2:9" ht="11.25" customHeight="1">
      <c r="B403" s="322"/>
      <c r="C403" s="326" t="s">
        <v>237</v>
      </c>
      <c r="D403" s="327">
        <v>11227.656998</v>
      </c>
      <c r="E403" s="327">
        <v>18538.071</v>
      </c>
      <c r="F403" s="327">
        <v>13001.9</v>
      </c>
      <c r="G403" s="327">
        <v>5366.1</v>
      </c>
      <c r="H403" s="327">
        <v>10017.4</v>
      </c>
      <c r="I403" s="328">
        <f t="shared" si="6"/>
        <v>60.56540077983302</v>
      </c>
    </row>
    <row r="404" spans="2:9" ht="11.25" customHeight="1">
      <c r="B404" s="322"/>
      <c r="C404" s="326" t="s">
        <v>238</v>
      </c>
      <c r="D404" s="327">
        <v>12066.238818</v>
      </c>
      <c r="E404" s="327">
        <v>18538.071</v>
      </c>
      <c r="F404" s="327">
        <v>13315.6</v>
      </c>
      <c r="G404" s="327">
        <v>5433.6</v>
      </c>
      <c r="H404" s="327">
        <v>10361.5</v>
      </c>
      <c r="I404" s="328">
        <f t="shared" si="6"/>
        <v>65.088966473372551</v>
      </c>
    </row>
    <row r="405" spans="2:9" ht="11.25" customHeight="1">
      <c r="B405" s="322"/>
      <c r="C405" s="326" t="s">
        <v>239</v>
      </c>
      <c r="D405" s="327">
        <v>12306.055883000001</v>
      </c>
      <c r="E405" s="327">
        <v>18538.071</v>
      </c>
      <c r="F405" s="327">
        <v>13856.7</v>
      </c>
      <c r="G405" s="327">
        <v>5567.8</v>
      </c>
      <c r="H405" s="327">
        <v>10787.2</v>
      </c>
      <c r="I405" s="328">
        <f t="shared" si="6"/>
        <v>66.382612748651155</v>
      </c>
    </row>
    <row r="406" spans="2:9" ht="11.25" customHeight="1">
      <c r="B406" s="322"/>
      <c r="C406" s="326" t="s">
        <v>240</v>
      </c>
      <c r="D406" s="327">
        <v>13179.567322000001</v>
      </c>
      <c r="E406" s="327">
        <v>18538.071</v>
      </c>
      <c r="F406" s="327">
        <v>14018.9</v>
      </c>
      <c r="G406" s="327">
        <v>6896.6</v>
      </c>
      <c r="H406" s="327">
        <v>11295.2</v>
      </c>
      <c r="I406" s="328">
        <f t="shared" si="6"/>
        <v>71.094599443491191</v>
      </c>
    </row>
    <row r="407" spans="2:9" ht="11.25" customHeight="1">
      <c r="B407" s="322"/>
      <c r="C407" s="326" t="s">
        <v>241</v>
      </c>
      <c r="D407" s="327">
        <v>13577.542675000001</v>
      </c>
      <c r="E407" s="327">
        <v>18538.071</v>
      </c>
      <c r="F407" s="327">
        <v>14159.3</v>
      </c>
      <c r="G407" s="327">
        <v>6811.6</v>
      </c>
      <c r="H407" s="327">
        <v>11509.5</v>
      </c>
      <c r="I407" s="328">
        <f t="shared" si="6"/>
        <v>73.241399685004978</v>
      </c>
    </row>
    <row r="408" spans="2:9" ht="11.25" customHeight="1">
      <c r="B408" s="322"/>
      <c r="C408" s="326" t="s">
        <v>242</v>
      </c>
      <c r="D408" s="327">
        <v>12751.035658000001</v>
      </c>
      <c r="E408" s="327">
        <v>18538.071</v>
      </c>
      <c r="F408" s="327">
        <v>13746.6</v>
      </c>
      <c r="G408" s="327">
        <v>6354.8</v>
      </c>
      <c r="H408" s="327">
        <v>10990.1</v>
      </c>
      <c r="I408" s="328">
        <f t="shared" si="6"/>
        <v>68.782969155744425</v>
      </c>
    </row>
    <row r="409" spans="2:9" ht="11.25" customHeight="1">
      <c r="B409" s="322"/>
      <c r="C409" s="326" t="s">
        <v>243</v>
      </c>
      <c r="D409" s="327">
        <v>11400.747851</v>
      </c>
      <c r="E409" s="327">
        <v>18538.071</v>
      </c>
      <c r="F409" s="327">
        <v>12254.4</v>
      </c>
      <c r="G409" s="327">
        <v>5493.3</v>
      </c>
      <c r="H409" s="327">
        <v>9894.2000000000007</v>
      </c>
      <c r="I409" s="328">
        <f t="shared" si="6"/>
        <v>61.499105548792002</v>
      </c>
    </row>
    <row r="410" spans="2:9" ht="11.25" customHeight="1">
      <c r="B410" s="322"/>
      <c r="C410" s="326" t="s">
        <v>244</v>
      </c>
      <c r="D410" s="327">
        <v>9726.8527639999993</v>
      </c>
      <c r="E410" s="327">
        <v>18538.071</v>
      </c>
      <c r="F410" s="327">
        <v>10936.9</v>
      </c>
      <c r="G410" s="327">
        <v>4803.8</v>
      </c>
      <c r="H410" s="327">
        <v>8861.6</v>
      </c>
      <c r="I410" s="328">
        <f t="shared" si="6"/>
        <v>52.469605731901659</v>
      </c>
    </row>
    <row r="411" spans="2:9" ht="11.25" customHeight="1">
      <c r="B411" s="322"/>
      <c r="C411" s="326" t="s">
        <v>245</v>
      </c>
      <c r="D411" s="327">
        <v>8542.9985949999991</v>
      </c>
      <c r="E411" s="327">
        <v>18538.071</v>
      </c>
      <c r="F411" s="327">
        <v>10062.1</v>
      </c>
      <c r="G411" s="327">
        <v>4577.6000000000004</v>
      </c>
      <c r="H411" s="327">
        <v>8141.4</v>
      </c>
      <c r="I411" s="328">
        <f t="shared" si="6"/>
        <v>46.083535849010396</v>
      </c>
    </row>
    <row r="412" spans="2:9" ht="11.25" customHeight="1">
      <c r="B412" s="322"/>
      <c r="C412" s="326" t="s">
        <v>246</v>
      </c>
      <c r="D412" s="327">
        <v>7639.5428579999998</v>
      </c>
      <c r="E412" s="327">
        <v>18538.071</v>
      </c>
      <c r="F412" s="327">
        <v>9669.2000000000007</v>
      </c>
      <c r="G412" s="327">
        <v>4301.2</v>
      </c>
      <c r="H412" s="327">
        <v>8029.9</v>
      </c>
      <c r="I412" s="328">
        <f t="shared" si="6"/>
        <v>41.210020492423396</v>
      </c>
    </row>
    <row r="413" spans="2:9" ht="11.25" customHeight="1">
      <c r="B413" s="322"/>
      <c r="C413" s="326" t="s">
        <v>247</v>
      </c>
      <c r="D413" s="327">
        <v>7737.8927560000002</v>
      </c>
      <c r="E413" s="327">
        <v>18538.071</v>
      </c>
      <c r="F413" s="327">
        <v>11022.8</v>
      </c>
      <c r="G413" s="327">
        <v>4697.8</v>
      </c>
      <c r="H413" s="327">
        <v>8512.7999999999993</v>
      </c>
      <c r="I413" s="328">
        <f t="shared" si="6"/>
        <v>41.740549790752226</v>
      </c>
    </row>
    <row r="414" spans="2:9" ht="11.25" customHeight="1">
      <c r="B414" s="322"/>
      <c r="C414" s="329" t="s">
        <v>248</v>
      </c>
      <c r="D414" s="327">
        <v>7271.9042060000002</v>
      </c>
      <c r="E414" s="327">
        <v>18538.071</v>
      </c>
      <c r="F414" s="327">
        <v>13351.2</v>
      </c>
      <c r="G414" s="327">
        <v>5303.9</v>
      </c>
      <c r="H414" s="327">
        <v>9210</v>
      </c>
      <c r="I414" s="328">
        <f t="shared" si="6"/>
        <v>39.226865653929153</v>
      </c>
    </row>
    <row r="415" spans="2:9" ht="11.25" customHeight="1">
      <c r="B415" s="322"/>
      <c r="C415" s="326" t="s">
        <v>249</v>
      </c>
      <c r="D415" s="327">
        <v>6352.3982489999999</v>
      </c>
      <c r="E415" s="327">
        <v>18538.071</v>
      </c>
      <c r="F415" s="327">
        <v>13008.6</v>
      </c>
      <c r="G415" s="327">
        <v>5403.4</v>
      </c>
      <c r="H415" s="327">
        <v>10035.6</v>
      </c>
      <c r="I415" s="328">
        <f t="shared" si="6"/>
        <v>34.266770523211392</v>
      </c>
    </row>
    <row r="416" spans="2:9" ht="11.25" customHeight="1">
      <c r="B416" s="322"/>
      <c r="C416" s="326" t="s">
        <v>250</v>
      </c>
      <c r="D416" s="327">
        <v>8201.5317109999996</v>
      </c>
      <c r="E416" s="327">
        <v>18538.071</v>
      </c>
      <c r="F416" s="327">
        <v>13281.7</v>
      </c>
      <c r="G416" s="327">
        <v>5478.9</v>
      </c>
      <c r="H416" s="327">
        <v>10426.700000000001</v>
      </c>
      <c r="I416" s="328">
        <f t="shared" si="6"/>
        <v>44.241559496670391</v>
      </c>
    </row>
    <row r="417" spans="2:11" ht="11.25" customHeight="1">
      <c r="B417" s="322"/>
      <c r="C417" s="326" t="s">
        <v>251</v>
      </c>
      <c r="D417" s="327">
        <v>8171.2895820000003</v>
      </c>
      <c r="E417" s="327">
        <v>18538.071</v>
      </c>
      <c r="F417" s="327">
        <v>13801.4</v>
      </c>
      <c r="G417" s="327">
        <v>5631.6</v>
      </c>
      <c r="H417" s="327">
        <v>10863.8</v>
      </c>
      <c r="I417" s="328">
        <f t="shared" si="6"/>
        <v>44.078424243816954</v>
      </c>
    </row>
    <row r="418" spans="2:11" ht="11.25" customHeight="1">
      <c r="B418" s="322"/>
      <c r="C418" s="326" t="s">
        <v>252</v>
      </c>
      <c r="D418" s="327">
        <v>8002.4783509999997</v>
      </c>
      <c r="E418" s="327">
        <v>18538.071</v>
      </c>
      <c r="F418" s="327">
        <v>13963.7</v>
      </c>
      <c r="G418" s="327">
        <v>6949.4</v>
      </c>
      <c r="H418" s="327">
        <v>11392.9</v>
      </c>
      <c r="I418" s="328">
        <f t="shared" si="6"/>
        <v>43.167805059113221</v>
      </c>
    </row>
    <row r="419" spans="2:11" ht="11.25" customHeight="1">
      <c r="B419" s="322"/>
      <c r="C419" s="326" t="s">
        <v>253</v>
      </c>
      <c r="D419" s="327">
        <v>8068.3502509999998</v>
      </c>
      <c r="E419" s="327">
        <v>18538.071</v>
      </c>
      <c r="F419" s="327">
        <v>14131.5</v>
      </c>
      <c r="G419" s="327">
        <v>6888.8</v>
      </c>
      <c r="H419" s="327">
        <v>11608.8</v>
      </c>
      <c r="I419" s="328">
        <f t="shared" si="6"/>
        <v>43.523138146358377</v>
      </c>
    </row>
    <row r="420" spans="2:11" ht="11.25" customHeight="1">
      <c r="B420" s="322"/>
      <c r="C420" s="326" t="s">
        <v>254</v>
      </c>
      <c r="D420" s="327">
        <v>7504.6737370000001</v>
      </c>
      <c r="E420" s="327">
        <v>18538.071</v>
      </c>
      <c r="F420" s="327">
        <v>13746.7</v>
      </c>
      <c r="G420" s="327">
        <v>6417.2</v>
      </c>
      <c r="H420" s="327">
        <v>11080.9</v>
      </c>
      <c r="I420" s="328">
        <f t="shared" si="6"/>
        <v>40.482495384767923</v>
      </c>
    </row>
    <row r="421" spans="2:11" ht="11.25" customHeight="1">
      <c r="B421" s="322"/>
      <c r="C421" s="326" t="s">
        <v>255</v>
      </c>
      <c r="D421" s="327">
        <v>6868.7604899999997</v>
      </c>
      <c r="E421" s="327">
        <v>18538.071</v>
      </c>
      <c r="F421" s="327">
        <v>12256.4</v>
      </c>
      <c r="G421" s="327">
        <v>5554.7</v>
      </c>
      <c r="H421" s="327">
        <v>9976.6</v>
      </c>
      <c r="I421" s="328">
        <f t="shared" si="6"/>
        <v>37.05218568857569</v>
      </c>
    </row>
    <row r="422" spans="2:11" ht="11.25" customHeight="1">
      <c r="B422" s="322"/>
      <c r="C422" s="326" t="s">
        <v>256</v>
      </c>
      <c r="D422" s="327">
        <v>6036.3040380000002</v>
      </c>
      <c r="E422" s="327">
        <v>18538.071</v>
      </c>
      <c r="F422" s="327">
        <v>10936.1</v>
      </c>
      <c r="G422" s="327">
        <v>4856.8999999999996</v>
      </c>
      <c r="H422" s="327">
        <v>8897.1</v>
      </c>
      <c r="I422" s="328">
        <f t="shared" si="6"/>
        <v>32.561662095263308</v>
      </c>
    </row>
    <row r="423" spans="2:11" ht="11.25" customHeight="1">
      <c r="B423" s="322"/>
      <c r="C423" s="326" t="s">
        <v>257</v>
      </c>
      <c r="D423" s="327">
        <v>5135.5098319999997</v>
      </c>
      <c r="E423" s="327">
        <v>18538.071</v>
      </c>
      <c r="F423" s="327">
        <v>10089.799999999999</v>
      </c>
      <c r="G423" s="327">
        <v>4619.6000000000004</v>
      </c>
      <c r="H423" s="327">
        <v>8164.3</v>
      </c>
      <c r="I423" s="328">
        <f t="shared" si="6"/>
        <v>27.702503847352833</v>
      </c>
    </row>
    <row r="424" spans="2:11" ht="11.25" customHeight="1">
      <c r="B424" s="322"/>
      <c r="C424" s="326" t="s">
        <v>258</v>
      </c>
      <c r="D424" s="327">
        <v>4708.038114</v>
      </c>
      <c r="E424" s="327">
        <v>18538.071</v>
      </c>
      <c r="F424" s="327">
        <v>9703.2000000000007</v>
      </c>
      <c r="G424" s="327">
        <v>4371.6000000000004</v>
      </c>
      <c r="H424" s="327">
        <v>8040.8</v>
      </c>
      <c r="I424" s="328">
        <f t="shared" si="6"/>
        <v>25.396591231094106</v>
      </c>
    </row>
    <row r="425" spans="2:11" ht="11.25" customHeight="1">
      <c r="B425" s="322"/>
      <c r="C425" s="326" t="s">
        <v>259</v>
      </c>
      <c r="D425" s="327">
        <v>4403.8701209999999</v>
      </c>
      <c r="E425" s="327">
        <v>18538.071</v>
      </c>
      <c r="F425" s="327">
        <v>11121.6</v>
      </c>
      <c r="G425" s="327">
        <v>4788.3</v>
      </c>
      <c r="H425" s="327">
        <v>8517.9</v>
      </c>
      <c r="I425" s="328">
        <f t="shared" si="6"/>
        <v>23.755816454689381</v>
      </c>
    </row>
    <row r="426" spans="2:11" ht="11.25" customHeight="1">
      <c r="B426" s="322"/>
      <c r="C426" s="329" t="s">
        <v>260</v>
      </c>
      <c r="D426" s="327">
        <v>4883.4119860000001</v>
      </c>
      <c r="E426" s="327">
        <v>18538.071</v>
      </c>
      <c r="F426" s="327">
        <v>13517</v>
      </c>
      <c r="G426" s="327">
        <v>5336.3</v>
      </c>
      <c r="H426" s="327">
        <v>9077</v>
      </c>
      <c r="I426" s="330">
        <f t="shared" si="6"/>
        <v>26.342611299740948</v>
      </c>
    </row>
    <row r="427" spans="2:11" ht="11.25" customHeight="1">
      <c r="B427" s="322"/>
      <c r="C427" s="326" t="s">
        <v>262</v>
      </c>
      <c r="D427" s="327">
        <v>5398.2220399999997</v>
      </c>
      <c r="E427" s="327">
        <v>18538.071</v>
      </c>
      <c r="F427" s="327">
        <v>13015.3</v>
      </c>
      <c r="G427" s="327">
        <v>5440.7</v>
      </c>
      <c r="H427" s="327">
        <v>9768.7999999999993</v>
      </c>
      <c r="I427" s="328">
        <f t="shared" si="6"/>
        <v>29.11965349577094</v>
      </c>
      <c r="K427" s="351"/>
    </row>
    <row r="428" spans="2:11" ht="11.25" customHeight="1">
      <c r="B428" s="322"/>
      <c r="C428" s="326" t="s">
        <v>263</v>
      </c>
      <c r="D428" s="327">
        <v>5616.4103269999996</v>
      </c>
      <c r="E428" s="327">
        <v>18538.071</v>
      </c>
      <c r="F428" s="327">
        <v>13247.7</v>
      </c>
      <c r="G428" s="327">
        <v>5524.0950000000003</v>
      </c>
      <c r="H428" s="327">
        <v>10246.200000000001</v>
      </c>
      <c r="I428" s="328">
        <f t="shared" si="6"/>
        <v>30.296627556340678</v>
      </c>
    </row>
    <row r="429" spans="2:11" ht="11.25" customHeight="1">
      <c r="B429" s="322"/>
      <c r="C429" s="326" t="s">
        <v>264</v>
      </c>
      <c r="D429" s="327">
        <v>9699.4711429999988</v>
      </c>
      <c r="E429" s="327">
        <v>18538.071</v>
      </c>
      <c r="F429" s="327">
        <v>13746</v>
      </c>
      <c r="G429" s="327">
        <v>5695.4</v>
      </c>
      <c r="H429" s="327">
        <v>10704.1</v>
      </c>
      <c r="I429" s="328">
        <f t="shared" si="6"/>
        <v>52.321900930253193</v>
      </c>
    </row>
    <row r="430" spans="2:11" ht="11.25" customHeight="1">
      <c r="B430" s="322"/>
      <c r="C430" s="326" t="s">
        <v>265</v>
      </c>
      <c r="D430" s="327">
        <v>11897.527653000001</v>
      </c>
      <c r="E430" s="327">
        <v>18538.071</v>
      </c>
      <c r="F430" s="327">
        <v>13908.5</v>
      </c>
      <c r="G430" s="327">
        <v>7002.3</v>
      </c>
      <c r="H430" s="327">
        <v>11260.6</v>
      </c>
      <c r="I430" s="328">
        <f t="shared" si="6"/>
        <v>64.178887075143905</v>
      </c>
    </row>
    <row r="431" spans="2:11" ht="11.25" customHeight="1">
      <c r="B431" s="322"/>
      <c r="C431" s="326" t="s">
        <v>266</v>
      </c>
      <c r="D431" s="327">
        <v>12095.723247</v>
      </c>
      <c r="E431" s="327">
        <v>18538.071</v>
      </c>
      <c r="F431" s="327">
        <v>14103.7</v>
      </c>
      <c r="G431" s="327">
        <v>6966.1</v>
      </c>
      <c r="H431" s="327">
        <v>11479.8</v>
      </c>
      <c r="I431" s="328">
        <f t="shared" si="6"/>
        <v>65.248014461698844</v>
      </c>
    </row>
    <row r="432" spans="2:11" ht="11.25" customHeight="1">
      <c r="B432" s="322"/>
      <c r="C432" s="326" t="s">
        <v>267</v>
      </c>
      <c r="D432" s="327">
        <v>11876.304858</v>
      </c>
      <c r="E432" s="327">
        <v>18538.071</v>
      </c>
      <c r="F432" s="327">
        <v>13746.7</v>
      </c>
      <c r="G432" s="327">
        <v>6477.8</v>
      </c>
      <c r="H432" s="327">
        <v>10910.4</v>
      </c>
      <c r="I432" s="328">
        <f t="shared" si="6"/>
        <v>64.064404856362884</v>
      </c>
    </row>
    <row r="433" spans="2:9" ht="11.25" customHeight="1">
      <c r="B433" s="322"/>
      <c r="C433" s="326" t="s">
        <v>268</v>
      </c>
      <c r="D433" s="327">
        <v>10217.385218145211</v>
      </c>
      <c r="E433" s="327">
        <v>18538.071</v>
      </c>
      <c r="F433" s="327">
        <v>12258.4</v>
      </c>
      <c r="G433" s="327">
        <v>5616.1</v>
      </c>
      <c r="H433" s="327">
        <v>9805.5</v>
      </c>
      <c r="I433" s="328">
        <f t="shared" si="6"/>
        <v>55.115687161545615</v>
      </c>
    </row>
    <row r="434" spans="2:9" ht="11.25" customHeight="1">
      <c r="B434" s="322"/>
      <c r="C434" s="326" t="s">
        <v>269</v>
      </c>
      <c r="D434" s="327">
        <v>9279.7439613367733</v>
      </c>
      <c r="E434" s="327">
        <v>18538.071</v>
      </c>
      <c r="F434" s="327">
        <v>10935.4</v>
      </c>
      <c r="G434" s="327">
        <v>4910</v>
      </c>
      <c r="H434" s="327">
        <v>8722.1</v>
      </c>
      <c r="I434" s="328">
        <f t="shared" si="6"/>
        <v>50.057764701282956</v>
      </c>
    </row>
    <row r="435" spans="2:9" ht="11.25" customHeight="1">
      <c r="B435" s="322"/>
      <c r="C435" s="326" t="s">
        <v>270</v>
      </c>
      <c r="D435" s="327">
        <v>8192.9385726801847</v>
      </c>
      <c r="E435" s="327">
        <v>18538.071</v>
      </c>
      <c r="F435" s="327">
        <v>10117.5</v>
      </c>
      <c r="G435" s="327">
        <v>4649.6000000000004</v>
      </c>
      <c r="H435" s="327">
        <v>7980</v>
      </c>
      <c r="I435" s="328">
        <f t="shared" si="6"/>
        <v>44.195205491877687</v>
      </c>
    </row>
    <row r="436" spans="2:9" ht="11.25" customHeight="1">
      <c r="B436" s="322"/>
      <c r="C436" s="326" t="s">
        <v>271</v>
      </c>
      <c r="D436" s="327">
        <v>7628.6385403221575</v>
      </c>
      <c r="E436" s="327">
        <v>18538.071</v>
      </c>
      <c r="F436" s="327">
        <v>9737.2999999999993</v>
      </c>
      <c r="G436" s="327">
        <v>4395.5</v>
      </c>
      <c r="H436" s="327">
        <v>7851.3</v>
      </c>
      <c r="I436" s="328">
        <f t="shared" si="6"/>
        <v>41.151199282396519</v>
      </c>
    </row>
    <row r="437" spans="2:9" ht="11.25" customHeight="1">
      <c r="B437" s="322"/>
      <c r="C437" s="326" t="s">
        <v>272</v>
      </c>
      <c r="D437" s="327">
        <v>8008.9796223264248</v>
      </c>
      <c r="E437" s="327">
        <v>18538.071</v>
      </c>
      <c r="F437" s="327">
        <v>11147</v>
      </c>
      <c r="G437" s="327">
        <v>4794.3</v>
      </c>
      <c r="H437" s="327">
        <v>8185.9</v>
      </c>
      <c r="I437" s="328">
        <f t="shared" si="6"/>
        <v>43.202874896349378</v>
      </c>
    </row>
    <row r="438" spans="2:9" ht="11.25" customHeight="1">
      <c r="B438" s="322"/>
      <c r="C438" s="331" t="s">
        <v>273</v>
      </c>
      <c r="D438" s="332">
        <v>8172.2198288975032</v>
      </c>
      <c r="E438" s="332">
        <v>18538.071</v>
      </c>
      <c r="F438" s="332">
        <v>13456.1</v>
      </c>
      <c r="G438" s="332">
        <v>5331.33</v>
      </c>
      <c r="H438" s="332">
        <v>8645.36</v>
      </c>
      <c r="I438" s="333">
        <f t="shared" si="6"/>
        <v>44.083442278851471</v>
      </c>
    </row>
    <row r="439" spans="2:9" ht="11.25" customHeight="1">
      <c r="B439" s="2"/>
      <c r="C439" s="334"/>
      <c r="D439" s="602"/>
      <c r="E439" s="335"/>
      <c r="F439" s="335"/>
      <c r="G439" s="335"/>
      <c r="H439" s="335"/>
      <c r="I439" s="336"/>
    </row>
  </sheetData>
  <mergeCells count="2">
    <mergeCell ref="F376:H376"/>
    <mergeCell ref="I376:I3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showRowColHeaders="0" zoomScaleNormal="100" workbookViewId="0"/>
  </sheetViews>
  <sheetFormatPr baseColWidth="10" defaultColWidth="11.42578125" defaultRowHeight="15"/>
  <cols>
    <col min="1" max="1" width="2.7109375" style="577" customWidth="1"/>
    <col min="2" max="2" width="23.7109375" style="577" customWidth="1"/>
    <col min="3" max="3" width="8.7109375" style="577" bestFit="1" customWidth="1"/>
    <col min="4" max="4" width="8.140625" style="577" bestFit="1" customWidth="1"/>
    <col min="5" max="5" width="9.5703125" style="577" bestFit="1" customWidth="1"/>
    <col min="6" max="6" width="8.42578125" style="577" customWidth="1"/>
    <col min="7" max="7" width="8.5703125" style="577" customWidth="1"/>
    <col min="8" max="8" width="8.140625" style="577" bestFit="1" customWidth="1"/>
    <col min="9" max="10" width="9.5703125" style="577" bestFit="1" customWidth="1"/>
    <col min="11" max="16384" width="11.42578125" style="577"/>
  </cols>
  <sheetData>
    <row r="1" spans="2:12" ht="21" customHeight="1">
      <c r="L1" s="437" t="s">
        <v>87</v>
      </c>
    </row>
    <row r="2" spans="2:12" ht="15" customHeight="1">
      <c r="L2" s="437" t="s">
        <v>119</v>
      </c>
    </row>
    <row r="3" spans="2:12" ht="20.25" customHeight="1">
      <c r="B3" s="168" t="s">
        <v>136</v>
      </c>
    </row>
    <row r="4" spans="2:12" ht="22.5" customHeight="1"/>
    <row r="5" spans="2:12" ht="47.25" customHeight="1">
      <c r="B5" s="52" t="s">
        <v>448</v>
      </c>
    </row>
    <row r="6" spans="2:12">
      <c r="B6" s="584" t="s">
        <v>114</v>
      </c>
    </row>
    <row r="7" spans="2:12">
      <c r="B7" s="584"/>
    </row>
    <row r="8" spans="2:12">
      <c r="B8" s="584"/>
    </row>
    <row r="9" spans="2:12">
      <c r="B9" s="15"/>
    </row>
    <row r="16" spans="2:12" ht="14.25" customHeight="1"/>
    <row r="17" spans="5:11" ht="15" customHeight="1">
      <c r="H17" s="578"/>
    </row>
    <row r="25" spans="5:11">
      <c r="J25" s="579"/>
      <c r="K25" s="598" t="s">
        <v>446</v>
      </c>
    </row>
    <row r="26" spans="5:11">
      <c r="J26" s="580"/>
      <c r="K26" s="598" t="s">
        <v>447</v>
      </c>
    </row>
    <row r="27" spans="5:11">
      <c r="E27" s="581"/>
      <c r="J27" s="582"/>
      <c r="K27" s="598" t="s">
        <v>442</v>
      </c>
    </row>
    <row r="28" spans="5:11">
      <c r="E28" s="581"/>
      <c r="J28" s="583"/>
      <c r="K28" s="598" t="s">
        <v>441</v>
      </c>
    </row>
    <row r="29" spans="5:11">
      <c r="E29" s="581"/>
    </row>
    <row r="30" spans="5:11">
      <c r="E30" s="581"/>
      <c r="K30" s="598"/>
    </row>
    <row r="31" spans="5:11">
      <c r="E31" s="581"/>
      <c r="K31" s="598"/>
    </row>
    <row r="32" spans="5:11">
      <c r="E32" s="581"/>
      <c r="K32" s="598"/>
    </row>
    <row r="33" spans="4:11">
      <c r="E33" s="581"/>
      <c r="K33" s="598"/>
    </row>
    <row r="34" spans="4:11">
      <c r="E34" s="581"/>
    </row>
    <row r="35" spans="4:11">
      <c r="D35" s="581"/>
      <c r="E35" s="581"/>
    </row>
    <row r="36" spans="4:11">
      <c r="D36" s="581"/>
      <c r="E36" s="581"/>
    </row>
    <row r="37" spans="4:11">
      <c r="E37" s="581"/>
    </row>
    <row r="38" spans="4:11">
      <c r="E38" s="581"/>
    </row>
    <row r="39" spans="4:11">
      <c r="E39" s="581"/>
    </row>
    <row r="40" spans="4:11">
      <c r="E40" s="581"/>
    </row>
    <row r="41" spans="4:11">
      <c r="E41" s="581"/>
    </row>
    <row r="42" spans="4:11">
      <c r="E42" s="581"/>
    </row>
    <row r="43" spans="4:11">
      <c r="E43" s="581"/>
    </row>
  </sheetData>
  <hyperlinks>
    <hyperlink ref="B3" location="Indice!A1" display="Balance eléctrico, potencia instalada y red de transporte"/>
  </hyperlinks>
  <pageMargins left="0.31496062992126" right="0.31496062992126" top="0.74803149606299202" bottom="0.74803149606299202" header="0.31496062992126" footer="0.31496062992126"/>
  <pageSetup paperSize="9" scale="96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4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69" customWidth="1"/>
    <col min="3" max="3" width="31.7109375" customWidth="1"/>
  </cols>
  <sheetData>
    <row r="1" spans="2:9" s="69" customFormat="1" ht="21.75" customHeight="1">
      <c r="I1" s="71" t="s">
        <v>87</v>
      </c>
    </row>
    <row r="2" spans="2:9" s="69" customFormat="1" ht="15" customHeight="1">
      <c r="I2" s="337" t="s">
        <v>119</v>
      </c>
    </row>
    <row r="3" spans="2:9" s="69" customFormat="1" ht="19.899999999999999" customHeight="1"/>
    <row r="4" spans="2:9" s="73" customFormat="1" ht="12" customHeight="1">
      <c r="B4" s="77"/>
      <c r="C4" s="69"/>
    </row>
    <row r="5" spans="2:9" ht="11.25" customHeight="1">
      <c r="C5" s="288" t="s">
        <v>319</v>
      </c>
      <c r="D5" s="389"/>
      <c r="E5" s="388"/>
      <c r="F5" s="388"/>
      <c r="G5" s="389"/>
      <c r="H5" s="388"/>
      <c r="I5" s="388"/>
    </row>
    <row r="6" spans="2:9" ht="11.25" customHeight="1">
      <c r="C6" s="289"/>
      <c r="D6" s="286">
        <v>2014</v>
      </c>
      <c r="E6" s="286">
        <v>2015</v>
      </c>
      <c r="F6" s="286">
        <v>2016</v>
      </c>
      <c r="G6" s="286">
        <v>2017</v>
      </c>
      <c r="H6" s="286">
        <v>2018</v>
      </c>
      <c r="I6" s="286" t="s">
        <v>320</v>
      </c>
    </row>
    <row r="7" spans="2:9" ht="11.25" customHeight="1">
      <c r="C7" s="291" t="s">
        <v>28</v>
      </c>
      <c r="D7" s="390">
        <v>2187.7777259999998</v>
      </c>
      <c r="E7" s="390">
        <v>1861.6830870000001</v>
      </c>
      <c r="F7" s="390">
        <v>2302.8679710000001</v>
      </c>
      <c r="G7" s="390">
        <v>2597.531837</v>
      </c>
      <c r="H7" s="390">
        <v>2391.8497910000001</v>
      </c>
      <c r="I7" s="391">
        <f t="shared" ref="I7:I21" si="0">((H7/G7)-1)*100</f>
        <v>-7.9183647749838881</v>
      </c>
    </row>
    <row r="8" spans="2:9" ht="11.25" customHeight="1">
      <c r="C8" s="392" t="s">
        <v>321</v>
      </c>
      <c r="D8" s="393">
        <v>666.78356000000008</v>
      </c>
      <c r="E8" s="393">
        <v>724.983971</v>
      </c>
      <c r="F8" s="393">
        <v>961.26081999999997</v>
      </c>
      <c r="G8" s="393">
        <v>795.98756000000003</v>
      </c>
      <c r="H8" s="393">
        <v>634.86994499999992</v>
      </c>
      <c r="I8" s="394">
        <f t="shared" si="0"/>
        <v>-20.241222739712171</v>
      </c>
    </row>
    <row r="9" spans="2:9" ht="11.25" customHeight="1">
      <c r="C9" s="392" t="s">
        <v>49</v>
      </c>
      <c r="D9" s="393">
        <v>585.38788199999999</v>
      </c>
      <c r="E9" s="393">
        <v>586.58929899999998</v>
      </c>
      <c r="F9" s="393">
        <v>339.75826499999999</v>
      </c>
      <c r="G9" s="393">
        <v>556.52457400000003</v>
      </c>
      <c r="H9" s="393">
        <v>764.99901499999999</v>
      </c>
      <c r="I9" s="394">
        <f t="shared" si="0"/>
        <v>37.460060299152211</v>
      </c>
    </row>
    <row r="10" spans="2:9" ht="11.25" customHeight="1">
      <c r="C10" s="291" t="s">
        <v>45</v>
      </c>
      <c r="D10" s="390">
        <f>SUM(D8:D9)</f>
        <v>1252.1714420000001</v>
      </c>
      <c r="E10" s="390">
        <f t="shared" ref="E10:F10" si="1">SUM(E8:E9)</f>
        <v>1311.5732699999999</v>
      </c>
      <c r="F10" s="390">
        <f t="shared" si="1"/>
        <v>1301.0190849999999</v>
      </c>
      <c r="G10" s="390">
        <f>SUM(G8:G9)</f>
        <v>1352.5121340000001</v>
      </c>
      <c r="H10" s="390">
        <f>SUM(H8:H9)</f>
        <v>1399.8689599999998</v>
      </c>
      <c r="I10" s="391">
        <f t="shared" si="0"/>
        <v>3.5013974965195871</v>
      </c>
    </row>
    <row r="11" spans="2:9" ht="11.25" customHeight="1">
      <c r="C11" s="291" t="s">
        <v>44</v>
      </c>
      <c r="D11" s="390">
        <v>419.63312000000002</v>
      </c>
      <c r="E11" s="390">
        <v>804.68698599999902</v>
      </c>
      <c r="F11" s="390">
        <v>535.08209499999998</v>
      </c>
      <c r="G11" s="390">
        <v>420.42935600000004</v>
      </c>
      <c r="H11" s="390">
        <v>590.52926400000001</v>
      </c>
      <c r="I11" s="391">
        <f t="shared" si="0"/>
        <v>40.458618213139232</v>
      </c>
    </row>
    <row r="12" spans="2:9" ht="11.25" customHeight="1">
      <c r="C12" s="291" t="s">
        <v>46</v>
      </c>
      <c r="D12" s="390">
        <v>7.6940939999999998</v>
      </c>
      <c r="E12" s="390">
        <v>10.57849</v>
      </c>
      <c r="F12" s="390">
        <v>10.092818999999999</v>
      </c>
      <c r="G12" s="390">
        <v>14.746465000000001</v>
      </c>
      <c r="H12" s="390">
        <v>12.813724000000001</v>
      </c>
      <c r="I12" s="391">
        <f t="shared" si="0"/>
        <v>-13.106469923469799</v>
      </c>
    </row>
    <row r="13" spans="2:9" ht="11.25" customHeight="1">
      <c r="C13" s="395" t="s">
        <v>50</v>
      </c>
      <c r="D13" s="390">
        <v>5.8395780000000004</v>
      </c>
      <c r="E13" s="390">
        <v>5.3182280000000004</v>
      </c>
      <c r="F13" s="390">
        <v>5.4160579999999996</v>
      </c>
      <c r="G13" s="390">
        <v>2.9242759999999999</v>
      </c>
      <c r="H13" s="390">
        <v>3.757171</v>
      </c>
      <c r="I13" s="391">
        <f t="shared" si="0"/>
        <v>28.482092661568203</v>
      </c>
    </row>
    <row r="14" spans="2:9" ht="11.25" customHeight="1">
      <c r="C14" s="395" t="s">
        <v>51</v>
      </c>
      <c r="D14" s="390">
        <v>122.76568899999999</v>
      </c>
      <c r="E14" s="390">
        <v>122.619803</v>
      </c>
      <c r="F14" s="390">
        <v>120.50753</v>
      </c>
      <c r="G14" s="390">
        <v>123.336995</v>
      </c>
      <c r="H14" s="390">
        <v>112.251642</v>
      </c>
      <c r="I14" s="391">
        <f t="shared" si="0"/>
        <v>-8.9878572118608844</v>
      </c>
    </row>
    <row r="15" spans="2:9" ht="11.25" customHeight="1">
      <c r="C15" s="284" t="s">
        <v>76</v>
      </c>
      <c r="D15" s="390">
        <v>1.945659</v>
      </c>
      <c r="E15" s="390">
        <v>1.971549</v>
      </c>
      <c r="F15" s="390">
        <v>1.309715</v>
      </c>
      <c r="G15" s="390">
        <v>1.626741</v>
      </c>
      <c r="H15" s="390">
        <v>1.332595</v>
      </c>
      <c r="I15" s="391">
        <f t="shared" si="0"/>
        <v>-18.081919617197816</v>
      </c>
    </row>
    <row r="16" spans="2:9" ht="11.25" customHeight="1">
      <c r="C16" s="284" t="s">
        <v>74</v>
      </c>
      <c r="D16" s="390">
        <v>25.222583999999998</v>
      </c>
      <c r="E16" s="390">
        <v>31.549726999999997</v>
      </c>
      <c r="F16" s="390">
        <v>34.701317000000003</v>
      </c>
      <c r="G16" s="390">
        <v>36.244233999999999</v>
      </c>
      <c r="H16" s="390">
        <v>34.974446</v>
      </c>
      <c r="I16" s="391">
        <f t="shared" si="0"/>
        <v>-3.5034207096223846</v>
      </c>
    </row>
    <row r="17" spans="3:9" ht="11.25" customHeight="1">
      <c r="C17" s="284" t="s">
        <v>96</v>
      </c>
      <c r="D17" s="390">
        <v>128.0843295</v>
      </c>
      <c r="E17" s="390">
        <v>151.09772949999999</v>
      </c>
      <c r="F17" s="390">
        <v>130.80506650000001</v>
      </c>
      <c r="G17" s="390">
        <v>143.878668</v>
      </c>
      <c r="H17" s="390">
        <v>135.7577445</v>
      </c>
      <c r="I17" s="391">
        <f t="shared" si="0"/>
        <v>-5.6442859896367654</v>
      </c>
    </row>
    <row r="18" spans="3:9" ht="11.25" customHeight="1">
      <c r="C18" s="284" t="s">
        <v>97</v>
      </c>
      <c r="D18" s="390">
        <v>128.0843295</v>
      </c>
      <c r="E18" s="390">
        <v>151.09772949999999</v>
      </c>
      <c r="F18" s="390">
        <v>130.80506650000001</v>
      </c>
      <c r="G18" s="390">
        <v>143.878668</v>
      </c>
      <c r="H18" s="390">
        <v>135.7577445</v>
      </c>
      <c r="I18" s="391">
        <f t="shared" si="0"/>
        <v>-5.6442859896367654</v>
      </c>
    </row>
    <row r="19" spans="3:9" ht="11.25" customHeight="1">
      <c r="C19" s="290" t="s">
        <v>73</v>
      </c>
      <c r="D19" s="293">
        <f t="shared" ref="D19:F19" si="2">SUM(D7:D7,D10:D18)</f>
        <v>4279.2185510000008</v>
      </c>
      <c r="E19" s="293">
        <f t="shared" si="2"/>
        <v>4452.1765989999985</v>
      </c>
      <c r="F19" s="293">
        <f t="shared" si="2"/>
        <v>4572.6067230000008</v>
      </c>
      <c r="G19" s="293">
        <f>SUM(G7:G7,G10:G18)</f>
        <v>4837.1093739999997</v>
      </c>
      <c r="H19" s="293">
        <f>SUM(H7:H7,H10:H18)</f>
        <v>4818.8930819999996</v>
      </c>
      <c r="I19" s="396">
        <f t="shared" si="0"/>
        <v>-0.37659458555795444</v>
      </c>
    </row>
    <row r="20" spans="3:9" ht="11.25" customHeight="1">
      <c r="C20" s="397" t="s">
        <v>64</v>
      </c>
      <c r="D20" s="398">
        <v>1298.258934</v>
      </c>
      <c r="E20" s="398">
        <v>1335.7925439999999</v>
      </c>
      <c r="F20" s="398">
        <v>1250.5839680000001</v>
      </c>
      <c r="G20" s="398">
        <v>1179.306642</v>
      </c>
      <c r="H20" s="398">
        <v>1233.358142</v>
      </c>
      <c r="I20" s="399">
        <f t="shared" si="0"/>
        <v>4.5833287183334681</v>
      </c>
    </row>
    <row r="21" spans="3:9" ht="11.25" customHeight="1">
      <c r="C21" s="292" t="s">
        <v>40</v>
      </c>
      <c r="D21" s="294">
        <f t="shared" ref="D21:F21" si="3">SUM(D19:D20)</f>
        <v>5577.4774850000013</v>
      </c>
      <c r="E21" s="294">
        <f t="shared" si="3"/>
        <v>5787.9691429999984</v>
      </c>
      <c r="F21" s="294">
        <f t="shared" si="3"/>
        <v>5823.1906910000007</v>
      </c>
      <c r="G21" s="294">
        <f>SUM(G19:G20)</f>
        <v>6016.4160159999992</v>
      </c>
      <c r="H21" s="294">
        <f>SUM(H19:H20)</f>
        <v>6052.2512239999996</v>
      </c>
      <c r="I21" s="400">
        <f t="shared" si="0"/>
        <v>0.5956238382568646</v>
      </c>
    </row>
    <row r="22" spans="3:9" ht="11.25" customHeight="1"/>
    <row r="23" spans="3:9" ht="11.25" customHeight="1">
      <c r="C23" s="288" t="s">
        <v>322</v>
      </c>
      <c r="D23" s="389"/>
      <c r="E23" s="388"/>
      <c r="F23" s="388"/>
      <c r="G23" s="389"/>
      <c r="H23" s="388"/>
      <c r="I23" s="388"/>
    </row>
    <row r="24" spans="3:9" ht="11.25" customHeight="1">
      <c r="C24" s="289"/>
      <c r="D24" s="286">
        <v>2014</v>
      </c>
      <c r="E24" s="286">
        <v>2015</v>
      </c>
      <c r="F24" s="286">
        <v>2016</v>
      </c>
      <c r="G24" s="286">
        <v>2017</v>
      </c>
      <c r="H24" s="286">
        <v>2018</v>
      </c>
      <c r="I24" s="286" t="s">
        <v>320</v>
      </c>
    </row>
    <row r="25" spans="3:9" ht="11.25" customHeight="1">
      <c r="C25" s="291" t="s">
        <v>26</v>
      </c>
      <c r="D25" s="390">
        <v>3.4610560000000001</v>
      </c>
      <c r="E25" s="390">
        <v>3.5683929999999999</v>
      </c>
      <c r="F25" s="390">
        <v>3.4539609999999996</v>
      </c>
      <c r="G25" s="390">
        <v>3.271979</v>
      </c>
      <c r="H25" s="390">
        <v>3.275909</v>
      </c>
      <c r="I25" s="391">
        <f t="shared" ref="I25:I30" si="4">((H25/G25)-1)*100</f>
        <v>0.12011079533211788</v>
      </c>
    </row>
    <row r="26" spans="3:9" ht="11.25" customHeight="1">
      <c r="C26" s="392" t="s">
        <v>321</v>
      </c>
      <c r="D26" s="393">
        <v>2138.1984350000002</v>
      </c>
      <c r="E26" s="393">
        <v>2202.3375219999998</v>
      </c>
      <c r="F26" s="393">
        <v>2222.301543</v>
      </c>
      <c r="G26" s="393">
        <v>2242.3242279999999</v>
      </c>
      <c r="H26" s="393">
        <v>2121.1640320000001</v>
      </c>
      <c r="I26" s="394">
        <f t="shared" si="4"/>
        <v>-5.4033308157253597</v>
      </c>
    </row>
    <row r="27" spans="3:9" ht="11.25" customHeight="1">
      <c r="C27" s="392" t="s">
        <v>49</v>
      </c>
      <c r="D27" s="393">
        <v>360.74429499999997</v>
      </c>
      <c r="E27" s="393">
        <v>327.805271</v>
      </c>
      <c r="F27" s="393">
        <v>275.90062399999999</v>
      </c>
      <c r="G27" s="393">
        <v>314.34570600000001</v>
      </c>
      <c r="H27" s="393">
        <v>284.35378399999996</v>
      </c>
      <c r="I27" s="394">
        <f t="shared" si="4"/>
        <v>-9.5410630485914911</v>
      </c>
    </row>
    <row r="28" spans="3:9" ht="11.25" customHeight="1">
      <c r="C28" s="392" t="s">
        <v>53</v>
      </c>
      <c r="D28" s="393">
        <v>2070.771428</v>
      </c>
      <c r="E28" s="393">
        <v>2222.9505669999999</v>
      </c>
      <c r="F28" s="393">
        <v>2536.1430030000001</v>
      </c>
      <c r="G28" s="393">
        <v>2674.3938499999999</v>
      </c>
      <c r="H28" s="393">
        <v>2455.4323709999999</v>
      </c>
      <c r="I28" s="394">
        <f t="shared" si="4"/>
        <v>-8.1873310843875942</v>
      </c>
    </row>
    <row r="29" spans="3:9" ht="11.25" customHeight="1">
      <c r="C29" s="291" t="s">
        <v>45</v>
      </c>
      <c r="D29" s="390">
        <f t="shared" ref="D29:F29" si="5">SUM(D26:D28)</f>
        <v>4569.7141580000007</v>
      </c>
      <c r="E29" s="390">
        <f t="shared" si="5"/>
        <v>4753.0933599999998</v>
      </c>
      <c r="F29" s="390">
        <f t="shared" si="5"/>
        <v>5034.3451700000005</v>
      </c>
      <c r="G29" s="390">
        <f>SUM(G26:G28)</f>
        <v>5231.0637839999999</v>
      </c>
      <c r="H29" s="390">
        <f>SUM(H26:H28)</f>
        <v>4860.9501870000004</v>
      </c>
      <c r="I29" s="391">
        <f t="shared" si="4"/>
        <v>-7.0753026971693167</v>
      </c>
    </row>
    <row r="30" spans="3:9" ht="11.25" customHeight="1">
      <c r="C30" s="291" t="s">
        <v>44</v>
      </c>
      <c r="D30" s="390">
        <v>3240.591696</v>
      </c>
      <c r="E30" s="390">
        <v>3188.0567889999998</v>
      </c>
      <c r="F30" s="390">
        <v>3008.3337409999999</v>
      </c>
      <c r="G30" s="390">
        <v>2997.3769480000001</v>
      </c>
      <c r="H30" s="390">
        <v>3051.021608</v>
      </c>
      <c r="I30" s="391">
        <f t="shared" si="4"/>
        <v>1.7897201763626747</v>
      </c>
    </row>
    <row r="31" spans="3:9" ht="11.25" customHeight="1">
      <c r="C31" s="291" t="s">
        <v>46</v>
      </c>
      <c r="D31" s="390">
        <v>0</v>
      </c>
      <c r="E31" s="390">
        <v>0</v>
      </c>
      <c r="F31" s="390">
        <v>0</v>
      </c>
      <c r="G31" s="390" t="s">
        <v>0</v>
      </c>
      <c r="H31" s="390" t="s">
        <v>0</v>
      </c>
      <c r="I31" s="391" t="s">
        <v>0</v>
      </c>
    </row>
    <row r="32" spans="3:9" ht="11.25" customHeight="1">
      <c r="C32" s="291" t="s">
        <v>69</v>
      </c>
      <c r="D32" s="390">
        <v>0.72883699999999996</v>
      </c>
      <c r="E32" s="390">
        <v>8.2074240000000014</v>
      </c>
      <c r="F32" s="390">
        <v>17.891936000000001</v>
      </c>
      <c r="G32" s="390">
        <v>20.233057000000002</v>
      </c>
      <c r="H32" s="390">
        <v>23.655544000000003</v>
      </c>
      <c r="I32" s="391">
        <f>((H32/G32)-1)*100</f>
        <v>16.915323275172909</v>
      </c>
    </row>
    <row r="33" spans="3:9" ht="11.25" customHeight="1">
      <c r="C33" s="395" t="s">
        <v>50</v>
      </c>
      <c r="D33" s="390">
        <v>389.52880599999997</v>
      </c>
      <c r="E33" s="390">
        <v>396.68714299999999</v>
      </c>
      <c r="F33" s="390">
        <v>393.08058299999999</v>
      </c>
      <c r="G33" s="390">
        <v>395.92533299999997</v>
      </c>
      <c r="H33" s="390">
        <v>620.57070399999998</v>
      </c>
      <c r="I33" s="391">
        <f>((H33/G33)-1)*100</f>
        <v>56.739327412525029</v>
      </c>
    </row>
    <row r="34" spans="3:9" ht="11.25" customHeight="1">
      <c r="C34" s="395" t="s">
        <v>51</v>
      </c>
      <c r="D34" s="390">
        <v>282.28568899999999</v>
      </c>
      <c r="E34" s="390">
        <v>275.546605</v>
      </c>
      <c r="F34" s="390">
        <v>277.66134299999999</v>
      </c>
      <c r="G34" s="390">
        <v>273.626665</v>
      </c>
      <c r="H34" s="390">
        <v>271.61321199999998</v>
      </c>
      <c r="I34" s="391">
        <f>((H34/G34)-1)*100</f>
        <v>-0.73583946944645318</v>
      </c>
    </row>
    <row r="35" spans="3:9" ht="11.25" customHeight="1">
      <c r="C35" s="284" t="s">
        <v>76</v>
      </c>
      <c r="D35" s="390">
        <v>8.8065840000000009</v>
      </c>
      <c r="E35" s="390">
        <v>8.0536250000000003</v>
      </c>
      <c r="F35" s="390">
        <v>9.3357750000000106</v>
      </c>
      <c r="G35" s="390">
        <v>9.5652589999999993</v>
      </c>
      <c r="H35" s="390">
        <v>8.931597</v>
      </c>
      <c r="I35" s="391">
        <f>((H35/G35)-1)*100</f>
        <v>-6.6246193647239382</v>
      </c>
    </row>
    <row r="36" spans="3:9" ht="11.25" customHeight="1">
      <c r="C36" s="284" t="s">
        <v>74</v>
      </c>
      <c r="D36" s="390">
        <v>0</v>
      </c>
      <c r="E36" s="390">
        <v>0</v>
      </c>
      <c r="F36" s="390">
        <v>0</v>
      </c>
      <c r="G36" s="390" t="s">
        <v>0</v>
      </c>
      <c r="H36" s="390" t="s">
        <v>0</v>
      </c>
      <c r="I36" s="391" t="s">
        <v>0</v>
      </c>
    </row>
    <row r="37" spans="3:9" ht="11.25" customHeight="1">
      <c r="C37" s="290" t="s">
        <v>73</v>
      </c>
      <c r="D37" s="293">
        <f t="shared" ref="D37:F37" si="6">SUM(D25:D25,D29:D36)</f>
        <v>8495.1168259999995</v>
      </c>
      <c r="E37" s="293">
        <f t="shared" si="6"/>
        <v>8633.2133389999981</v>
      </c>
      <c r="F37" s="293">
        <f t="shared" si="6"/>
        <v>8744.1025090000003</v>
      </c>
      <c r="G37" s="293">
        <f>SUM(G25:G25,G29:G36)</f>
        <v>8931.0630249999995</v>
      </c>
      <c r="H37" s="293">
        <f>SUM(H25:H25,H29:H36)</f>
        <v>8840.0187610000012</v>
      </c>
      <c r="I37" s="396">
        <f>((H37/G37)-1)*100</f>
        <v>-1.0194112811111711</v>
      </c>
    </row>
    <row r="38" spans="3:9" ht="11.25" customHeight="1">
      <c r="C38" s="292" t="s">
        <v>40</v>
      </c>
      <c r="D38" s="294">
        <f t="shared" ref="D38:H38" si="7">D37</f>
        <v>8495.1168259999995</v>
      </c>
      <c r="E38" s="294">
        <f t="shared" si="7"/>
        <v>8633.2133389999981</v>
      </c>
      <c r="F38" s="294">
        <f t="shared" si="7"/>
        <v>8744.1025090000003</v>
      </c>
      <c r="G38" s="294">
        <f t="shared" si="7"/>
        <v>8931.0630249999995</v>
      </c>
      <c r="H38" s="294">
        <f t="shared" si="7"/>
        <v>8840.0187610000012</v>
      </c>
      <c r="I38" s="400">
        <f>((H38/G38)-1)*100</f>
        <v>-1.0194112811111711</v>
      </c>
    </row>
    <row r="39" spans="3:9" ht="11.25" customHeight="1">
      <c r="C39" s="104"/>
      <c r="D39" s="389"/>
      <c r="E39" s="388"/>
      <c r="F39" s="388"/>
      <c r="G39" s="389"/>
      <c r="H39" s="388"/>
      <c r="I39" s="388"/>
    </row>
    <row r="40" spans="3:9" ht="11.25" customHeight="1">
      <c r="C40" s="288" t="s">
        <v>323</v>
      </c>
      <c r="D40" s="389"/>
      <c r="E40" s="388"/>
      <c r="F40" s="388"/>
      <c r="G40" s="389"/>
      <c r="H40" s="388"/>
      <c r="I40" s="388"/>
    </row>
    <row r="41" spans="3:9" ht="11.25" customHeight="1">
      <c r="C41" s="289"/>
      <c r="D41" s="286">
        <v>2014</v>
      </c>
      <c r="E41" s="286">
        <v>2015</v>
      </c>
      <c r="F41" s="286">
        <v>2016</v>
      </c>
      <c r="G41" s="286">
        <v>2017</v>
      </c>
      <c r="H41" s="286">
        <v>2018</v>
      </c>
      <c r="I41" s="286" t="s">
        <v>320</v>
      </c>
    </row>
    <row r="42" spans="3:9" ht="11.25" customHeight="1">
      <c r="C42" s="392" t="s">
        <v>321</v>
      </c>
      <c r="D42" s="393">
        <v>212.152625</v>
      </c>
      <c r="E42" s="393">
        <v>203.25730900000002</v>
      </c>
      <c r="F42" s="393">
        <v>210.55799199999998</v>
      </c>
      <c r="G42" s="393">
        <v>202.648335</v>
      </c>
      <c r="H42" s="393">
        <v>207.23613800000001</v>
      </c>
      <c r="I42" s="394">
        <f>((H42/G42)-1)*100</f>
        <v>2.2639233626074562</v>
      </c>
    </row>
    <row r="43" spans="3:9" ht="11.25" customHeight="1">
      <c r="C43" s="392" t="s">
        <v>49</v>
      </c>
      <c r="D43" s="393">
        <v>9.2532000000000003E-2</v>
      </c>
      <c r="E43" s="393">
        <v>0.76578099999999993</v>
      </c>
      <c r="F43" s="393">
        <v>0.122944</v>
      </c>
      <c r="G43" s="393">
        <v>0.21249500000000002</v>
      </c>
      <c r="H43" s="393">
        <v>0.120086</v>
      </c>
      <c r="I43" s="394">
        <f>((H43/G43)-1)*100</f>
        <v>-43.487611473211139</v>
      </c>
    </row>
    <row r="44" spans="3:9" ht="11.25" customHeight="1">
      <c r="C44" s="291" t="s">
        <v>45</v>
      </c>
      <c r="D44" s="390">
        <f t="shared" ref="D44:F44" si="8">SUM(D42:D43)</f>
        <v>212.24515700000001</v>
      </c>
      <c r="E44" s="390">
        <f t="shared" si="8"/>
        <v>204.02309000000002</v>
      </c>
      <c r="F44" s="390">
        <f t="shared" si="8"/>
        <v>210.68093599999997</v>
      </c>
      <c r="G44" s="390">
        <f>SUM(G42:G43)</f>
        <v>202.86082999999999</v>
      </c>
      <c r="H44" s="390">
        <f>SUM(H42:H43)</f>
        <v>207.356224</v>
      </c>
      <c r="I44" s="391">
        <f>((H44/G44)-1)*100</f>
        <v>2.2159990176516597</v>
      </c>
    </row>
    <row r="45" spans="3:9" ht="11.25" customHeight="1">
      <c r="C45" s="290" t="s">
        <v>73</v>
      </c>
      <c r="D45" s="293">
        <f t="shared" ref="D45:G46" si="9">D44</f>
        <v>212.24515700000001</v>
      </c>
      <c r="E45" s="293">
        <f t="shared" si="9"/>
        <v>204.02309000000002</v>
      </c>
      <c r="F45" s="293">
        <f t="shared" si="9"/>
        <v>210.68093599999997</v>
      </c>
      <c r="G45" s="293">
        <f>G44</f>
        <v>202.86082999999999</v>
      </c>
      <c r="H45" s="293">
        <f t="shared" ref="H45:H46" si="10">H44</f>
        <v>207.356224</v>
      </c>
      <c r="I45" s="396">
        <f>I44</f>
        <v>2.2159990176516597</v>
      </c>
    </row>
    <row r="46" spans="3:9" ht="11.25" customHeight="1">
      <c r="C46" s="292" t="s">
        <v>40</v>
      </c>
      <c r="D46" s="294">
        <f t="shared" si="9"/>
        <v>212.24515700000001</v>
      </c>
      <c r="E46" s="294">
        <f t="shared" si="9"/>
        <v>204.02309000000002</v>
      </c>
      <c r="F46" s="294">
        <f t="shared" si="9"/>
        <v>210.68093599999997</v>
      </c>
      <c r="G46" s="294">
        <f t="shared" si="9"/>
        <v>202.86082999999999</v>
      </c>
      <c r="H46" s="294">
        <f t="shared" si="10"/>
        <v>207.356224</v>
      </c>
      <c r="I46" s="400">
        <f>((H46/G46)-1)*100</f>
        <v>2.2159990176516597</v>
      </c>
    </row>
    <row r="47" spans="3:9" ht="11.25" customHeight="1">
      <c r="C47" s="104"/>
      <c r="D47" s="389"/>
      <c r="E47" s="388"/>
      <c r="F47" s="388"/>
      <c r="G47" s="389"/>
      <c r="H47" s="388"/>
      <c r="I47" s="388"/>
    </row>
    <row r="48" spans="3:9" ht="11.25" customHeight="1">
      <c r="C48" s="288" t="s">
        <v>324</v>
      </c>
      <c r="D48" s="389"/>
      <c r="E48" s="388"/>
      <c r="F48" s="388"/>
      <c r="G48" s="389"/>
      <c r="H48" s="388"/>
      <c r="I48" s="388"/>
    </row>
    <row r="49" spans="2:9" ht="11.25" customHeight="1">
      <c r="C49" s="289"/>
      <c r="D49" s="286">
        <v>2014</v>
      </c>
      <c r="E49" s="286">
        <v>2015</v>
      </c>
      <c r="F49" s="286">
        <v>2016</v>
      </c>
      <c r="G49" s="286">
        <v>2017</v>
      </c>
      <c r="H49" s="286">
        <v>2018</v>
      </c>
      <c r="I49" s="286" t="s">
        <v>320</v>
      </c>
    </row>
    <row r="50" spans="2:9" ht="11.25" customHeight="1">
      <c r="C50" s="392" t="s">
        <v>321</v>
      </c>
      <c r="D50" s="393">
        <v>200.05045800000002</v>
      </c>
      <c r="E50" s="393">
        <v>203.917102</v>
      </c>
      <c r="F50" s="393">
        <v>198.250316</v>
      </c>
      <c r="G50" s="393">
        <v>200.31696400000001</v>
      </c>
      <c r="H50" s="393">
        <v>202.11366599999999</v>
      </c>
      <c r="I50" s="394">
        <f t="shared" ref="I50:I55" si="11">((H50/G50)-1)*100</f>
        <v>0.89692952814519611</v>
      </c>
    </row>
    <row r="51" spans="2:9" ht="11.25" customHeight="1">
      <c r="C51" s="392" t="s">
        <v>49</v>
      </c>
      <c r="D51" s="393">
        <v>0.76630999999999994</v>
      </c>
      <c r="E51" s="393">
        <v>0.6114980000000001</v>
      </c>
      <c r="F51" s="393">
        <v>0.255469</v>
      </c>
      <c r="G51" s="393">
        <v>7.7272999999999994E-2</v>
      </c>
      <c r="H51" s="393">
        <v>6.7100999999999994E-2</v>
      </c>
      <c r="I51" s="394">
        <f t="shared" si="11"/>
        <v>-13.163718245700306</v>
      </c>
    </row>
    <row r="52" spans="2:9" ht="11.25" customHeight="1">
      <c r="B52" s="205"/>
      <c r="C52" s="291" t="s">
        <v>45</v>
      </c>
      <c r="D52" s="390">
        <f t="shared" ref="D52:F52" si="12">SUM(D50:D51)</f>
        <v>200.81676800000002</v>
      </c>
      <c r="E52" s="390">
        <f t="shared" si="12"/>
        <v>204.52860000000001</v>
      </c>
      <c r="F52" s="390">
        <f t="shared" si="12"/>
        <v>198.505785</v>
      </c>
      <c r="G52" s="390">
        <f>SUM(G50:G51)</f>
        <v>200.394237</v>
      </c>
      <c r="H52" s="390">
        <f>SUM(H50:H51)</f>
        <v>202.180767</v>
      </c>
      <c r="I52" s="391">
        <f t="shared" si="11"/>
        <v>0.8915076734467231</v>
      </c>
    </row>
    <row r="53" spans="2:9" ht="11.25" customHeight="1">
      <c r="B53" s="205"/>
      <c r="C53" s="395" t="s">
        <v>51</v>
      </c>
      <c r="D53" s="390">
        <v>8.3833000000000005E-2</v>
      </c>
      <c r="E53" s="390">
        <v>7.9959999999999989E-2</v>
      </c>
      <c r="F53" s="390">
        <v>8.0099999999999991E-2</v>
      </c>
      <c r="G53" s="390">
        <v>7.6869000000000104E-2</v>
      </c>
      <c r="H53" s="390">
        <v>7.46109999999999E-2</v>
      </c>
      <c r="I53" s="391">
        <f t="shared" si="11"/>
        <v>-2.9374650379219158</v>
      </c>
    </row>
    <row r="54" spans="2:9" ht="11.25" customHeight="1">
      <c r="B54" s="205"/>
      <c r="C54" s="284" t="s">
        <v>96</v>
      </c>
      <c r="D54" s="390">
        <v>4.4491570000000005</v>
      </c>
      <c r="E54" s="390">
        <v>4.2964979999999997</v>
      </c>
      <c r="F54" s="390">
        <v>4.8500524999999994</v>
      </c>
      <c r="G54" s="390">
        <v>4.9769860000000001</v>
      </c>
      <c r="H54" s="390">
        <v>5.3468390000000001</v>
      </c>
      <c r="I54" s="391">
        <f t="shared" si="11"/>
        <v>7.4312646248150926</v>
      </c>
    </row>
    <row r="55" spans="2:9" ht="11.25" customHeight="1">
      <c r="B55" s="205"/>
      <c r="C55" s="284" t="s">
        <v>97</v>
      </c>
      <c r="D55" s="390">
        <v>4.4491570000000005</v>
      </c>
      <c r="E55" s="390">
        <v>4.2964979999999997</v>
      </c>
      <c r="F55" s="390">
        <v>4.8500524999999994</v>
      </c>
      <c r="G55" s="390">
        <v>4.9769860000000001</v>
      </c>
      <c r="H55" s="390">
        <v>5.3468390000000001</v>
      </c>
      <c r="I55" s="391">
        <f t="shared" si="11"/>
        <v>7.4312646248150926</v>
      </c>
    </row>
    <row r="56" spans="2:9" ht="11.25" customHeight="1">
      <c r="B56" s="205"/>
      <c r="C56" s="284" t="s">
        <v>74</v>
      </c>
      <c r="D56" s="390">
        <v>0</v>
      </c>
      <c r="E56" s="390" t="s">
        <v>0</v>
      </c>
      <c r="F56" s="390" t="s">
        <v>0</v>
      </c>
      <c r="G56" s="390" t="s">
        <v>0</v>
      </c>
      <c r="H56" s="390" t="s">
        <v>0</v>
      </c>
      <c r="I56" s="390" t="s">
        <v>0</v>
      </c>
    </row>
    <row r="57" spans="2:9" ht="11.25" customHeight="1">
      <c r="B57" s="205"/>
      <c r="C57" s="290" t="s">
        <v>73</v>
      </c>
      <c r="D57" s="293">
        <f t="shared" ref="D57:H57" si="13">SUM(D52:D56)</f>
        <v>209.79891500000005</v>
      </c>
      <c r="E57" s="293">
        <f t="shared" si="13"/>
        <v>213.20155599999998</v>
      </c>
      <c r="F57" s="293">
        <f t="shared" si="13"/>
        <v>208.28599</v>
      </c>
      <c r="G57" s="293">
        <f t="shared" si="13"/>
        <v>210.42507800000001</v>
      </c>
      <c r="H57" s="293">
        <f t="shared" si="13"/>
        <v>212.94905599999998</v>
      </c>
      <c r="I57" s="396">
        <f>((H57/G57)-1)*100</f>
        <v>1.1994663487780555</v>
      </c>
    </row>
    <row r="58" spans="2:9" ht="11.25" customHeight="1">
      <c r="B58" s="205"/>
      <c r="C58" s="292" t="s">
        <v>40</v>
      </c>
      <c r="D58" s="294">
        <f t="shared" ref="D58:F58" si="14">D57</f>
        <v>209.79891500000005</v>
      </c>
      <c r="E58" s="294">
        <f t="shared" si="14"/>
        <v>213.20155599999998</v>
      </c>
      <c r="F58" s="294">
        <f t="shared" si="14"/>
        <v>208.28599</v>
      </c>
      <c r="G58" s="294">
        <f>G57</f>
        <v>210.42507800000001</v>
      </c>
      <c r="H58" s="294">
        <f>H57</f>
        <v>212.94905599999998</v>
      </c>
      <c r="I58" s="400">
        <f>((H58/G58)-1)*100</f>
        <v>1.1994663487780555</v>
      </c>
    </row>
    <row r="59" spans="2:9" s="515" customFormat="1" ht="11.25" customHeight="1">
      <c r="B59" s="205"/>
      <c r="C59" s="104"/>
      <c r="D59" s="388"/>
      <c r="E59" s="388"/>
      <c r="F59" s="388"/>
      <c r="G59" s="388"/>
      <c r="H59" s="388"/>
      <c r="I59" s="389"/>
    </row>
    <row r="60" spans="2:9" s="515" customFormat="1" ht="11.25" customHeight="1">
      <c r="B60" s="205"/>
      <c r="C60" s="288" t="s">
        <v>401</v>
      </c>
      <c r="D60" s="388"/>
      <c r="E60" s="388"/>
      <c r="F60" s="388"/>
      <c r="G60" s="388"/>
      <c r="H60" s="388"/>
      <c r="I60" s="389"/>
    </row>
    <row r="61" spans="2:9" s="515" customFormat="1" ht="11.25" customHeight="1">
      <c r="B61" s="205"/>
      <c r="C61" s="289"/>
      <c r="D61" s="286">
        <v>2014</v>
      </c>
      <c r="E61" s="286">
        <v>2015</v>
      </c>
      <c r="F61" s="286">
        <v>2016</v>
      </c>
      <c r="G61" s="286">
        <v>2017</v>
      </c>
      <c r="H61" s="286">
        <v>2018</v>
      </c>
      <c r="I61" s="286" t="s">
        <v>320</v>
      </c>
    </row>
    <row r="62" spans="2:9" s="515" customFormat="1" ht="11.25" customHeight="1">
      <c r="B62" s="205"/>
      <c r="C62" s="284" t="s">
        <v>26</v>
      </c>
      <c r="D62" s="287">
        <f>D25</f>
        <v>3.4610560000000001</v>
      </c>
      <c r="E62" s="287">
        <f t="shared" ref="E62:H62" si="15">E25</f>
        <v>3.5683929999999999</v>
      </c>
      <c r="F62" s="287">
        <f t="shared" si="15"/>
        <v>3.4539609999999996</v>
      </c>
      <c r="G62" s="287">
        <f t="shared" si="15"/>
        <v>3.271979</v>
      </c>
      <c r="H62" s="287">
        <f t="shared" si="15"/>
        <v>3.275909</v>
      </c>
      <c r="I62" s="514">
        <f t="shared" ref="I62:I79" si="16">((H62/G62)-1)*100</f>
        <v>0.12011079533211788</v>
      </c>
    </row>
    <row r="63" spans="2:9" s="515" customFormat="1" ht="11.25" customHeight="1">
      <c r="B63" s="205"/>
      <c r="C63" s="284" t="s">
        <v>28</v>
      </c>
      <c r="D63" s="287">
        <f>D7</f>
        <v>2187.7777259999998</v>
      </c>
      <c r="E63" s="287">
        <f t="shared" ref="E63:H63" si="17">E7</f>
        <v>1861.6830870000001</v>
      </c>
      <c r="F63" s="287">
        <f t="shared" si="17"/>
        <v>2302.8679710000001</v>
      </c>
      <c r="G63" s="287">
        <f t="shared" si="17"/>
        <v>2597.531837</v>
      </c>
      <c r="H63" s="287">
        <f t="shared" si="17"/>
        <v>2391.8497910000001</v>
      </c>
      <c r="I63" s="514">
        <f t="shared" si="16"/>
        <v>-7.9183647749838881</v>
      </c>
    </row>
    <row r="64" spans="2:9" s="515" customFormat="1" ht="11.25" customHeight="1">
      <c r="B64" s="205"/>
      <c r="C64" s="392" t="s">
        <v>321</v>
      </c>
      <c r="D64" s="393">
        <f>SUM(D8,D26,D42,D50)</f>
        <v>3217.1850780000004</v>
      </c>
      <c r="E64" s="393">
        <f t="shared" ref="E64:H64" si="18">SUM(E8,E26,E42,E50)</f>
        <v>3334.4959039999999</v>
      </c>
      <c r="F64" s="393">
        <f t="shared" si="18"/>
        <v>3592.3706710000001</v>
      </c>
      <c r="G64" s="393">
        <f t="shared" si="18"/>
        <v>3441.2770869999999</v>
      </c>
      <c r="H64" s="393">
        <f t="shared" si="18"/>
        <v>3165.3837810000005</v>
      </c>
      <c r="I64" s="394">
        <f t="shared" si="16"/>
        <v>-8.0171778971891765</v>
      </c>
    </row>
    <row r="65" spans="2:9" s="515" customFormat="1" ht="11.25" customHeight="1">
      <c r="B65" s="205"/>
      <c r="C65" s="392" t="s">
        <v>49</v>
      </c>
      <c r="D65" s="393">
        <f>SUM(D9,D27,D43,D51)</f>
        <v>946.99101899999994</v>
      </c>
      <c r="E65" s="393">
        <f t="shared" ref="E65:H65" si="19">SUM(E9,E27,E43,E51)</f>
        <v>915.77184899999986</v>
      </c>
      <c r="F65" s="393">
        <f t="shared" si="19"/>
        <v>616.03730199999995</v>
      </c>
      <c r="G65" s="393">
        <f t="shared" si="19"/>
        <v>871.16004800000007</v>
      </c>
      <c r="H65" s="393">
        <f t="shared" si="19"/>
        <v>1049.539986</v>
      </c>
      <c r="I65" s="514">
        <f t="shared" si="16"/>
        <v>20.476138501705023</v>
      </c>
    </row>
    <row r="66" spans="2:9" s="515" customFormat="1" ht="11.25" customHeight="1">
      <c r="B66" s="205"/>
      <c r="C66" s="392" t="s">
        <v>53</v>
      </c>
      <c r="D66" s="393">
        <f>D28</f>
        <v>2070.771428</v>
      </c>
      <c r="E66" s="393">
        <f t="shared" ref="E66:H66" si="20">E28</f>
        <v>2222.9505669999999</v>
      </c>
      <c r="F66" s="393">
        <f t="shared" si="20"/>
        <v>2536.1430030000001</v>
      </c>
      <c r="G66" s="393">
        <f t="shared" si="20"/>
        <v>2674.3938499999999</v>
      </c>
      <c r="H66" s="393">
        <f t="shared" si="20"/>
        <v>2455.4323709999999</v>
      </c>
      <c r="I66" s="514">
        <f t="shared" si="16"/>
        <v>-8.1873310843875942</v>
      </c>
    </row>
    <row r="67" spans="2:9" s="515" customFormat="1" ht="11.25" customHeight="1">
      <c r="B67" s="205"/>
      <c r="C67" s="284" t="s">
        <v>115</v>
      </c>
      <c r="D67" s="287">
        <f>SUM(D64:D66)</f>
        <v>6234.9475250000005</v>
      </c>
      <c r="E67" s="287">
        <f t="shared" ref="E67:H67" si="21">SUM(E64:E66)</f>
        <v>6473.2183199999999</v>
      </c>
      <c r="F67" s="287">
        <f t="shared" si="21"/>
        <v>6744.5509760000004</v>
      </c>
      <c r="G67" s="287">
        <f t="shared" si="21"/>
        <v>6986.8309850000005</v>
      </c>
      <c r="H67" s="287">
        <f t="shared" si="21"/>
        <v>6670.3561380000001</v>
      </c>
      <c r="I67" s="514">
        <f t="shared" si="16"/>
        <v>-4.5295907068517716</v>
      </c>
    </row>
    <row r="68" spans="2:9" s="515" customFormat="1" ht="11.25" customHeight="1">
      <c r="B68" s="205"/>
      <c r="C68" s="284" t="s">
        <v>44</v>
      </c>
      <c r="D68" s="287">
        <f>SUM(D11,D30)</f>
        <v>3660.2248159999999</v>
      </c>
      <c r="E68" s="287">
        <f t="shared" ref="E68:H68" si="22">SUM(E11,E30)</f>
        <v>3992.743774999999</v>
      </c>
      <c r="F68" s="287">
        <f t="shared" si="22"/>
        <v>3543.4158360000001</v>
      </c>
      <c r="G68" s="287">
        <f t="shared" si="22"/>
        <v>3417.8063040000002</v>
      </c>
      <c r="H68" s="287">
        <f t="shared" si="22"/>
        <v>3641.5508719999998</v>
      </c>
      <c r="I68" s="514">
        <f t="shared" si="16"/>
        <v>6.546437922422399</v>
      </c>
    </row>
    <row r="69" spans="2:9" s="515" customFormat="1" ht="11.25" customHeight="1">
      <c r="B69" s="205"/>
      <c r="C69" s="291" t="s">
        <v>46</v>
      </c>
      <c r="D69" s="287">
        <f>SUM(D12,D31)</f>
        <v>7.6940939999999998</v>
      </c>
      <c r="E69" s="287">
        <f t="shared" ref="E69:H69" si="23">SUM(E12,E31)</f>
        <v>10.57849</v>
      </c>
      <c r="F69" s="287">
        <f t="shared" si="23"/>
        <v>10.092818999999999</v>
      </c>
      <c r="G69" s="287">
        <f t="shared" si="23"/>
        <v>14.746465000000001</v>
      </c>
      <c r="H69" s="287">
        <f t="shared" si="23"/>
        <v>12.813724000000001</v>
      </c>
      <c r="I69" s="514">
        <f t="shared" si="16"/>
        <v>-13.106469923469799</v>
      </c>
    </row>
    <row r="70" spans="2:9" s="515" customFormat="1" ht="11.25" customHeight="1">
      <c r="B70" s="205"/>
      <c r="C70" s="284" t="s">
        <v>69</v>
      </c>
      <c r="D70" s="287">
        <f>D32</f>
        <v>0.72883699999999996</v>
      </c>
      <c r="E70" s="287">
        <f t="shared" ref="E70:H70" si="24">E32</f>
        <v>8.2074240000000014</v>
      </c>
      <c r="F70" s="287">
        <f t="shared" si="24"/>
        <v>17.891936000000001</v>
      </c>
      <c r="G70" s="287">
        <f t="shared" si="24"/>
        <v>20.233057000000002</v>
      </c>
      <c r="H70" s="287">
        <f t="shared" si="24"/>
        <v>23.655544000000003</v>
      </c>
      <c r="I70" s="514">
        <f t="shared" si="16"/>
        <v>16.915323275172909</v>
      </c>
    </row>
    <row r="71" spans="2:9" s="515" customFormat="1" ht="11.25" customHeight="1">
      <c r="B71" s="205"/>
      <c r="C71" s="284" t="s">
        <v>50</v>
      </c>
      <c r="D71" s="287">
        <f>SUM(D13,D33)</f>
        <v>395.36838399999999</v>
      </c>
      <c r="E71" s="287">
        <f t="shared" ref="E71:H71" si="25">SUM(E13,E33)</f>
        <v>402.00537099999997</v>
      </c>
      <c r="F71" s="287">
        <f t="shared" si="25"/>
        <v>398.49664100000001</v>
      </c>
      <c r="G71" s="287">
        <f t="shared" si="25"/>
        <v>398.84960899999999</v>
      </c>
      <c r="H71" s="287">
        <f t="shared" si="25"/>
        <v>624.32787499999995</v>
      </c>
      <c r="I71" s="514">
        <f t="shared" si="16"/>
        <v>56.532151696305142</v>
      </c>
    </row>
    <row r="72" spans="2:9" s="515" customFormat="1" ht="11.25" customHeight="1">
      <c r="B72" s="205"/>
      <c r="C72" s="284" t="s">
        <v>51</v>
      </c>
      <c r="D72" s="287">
        <f>SUM(D14,D34,D53)</f>
        <v>405.13521100000003</v>
      </c>
      <c r="E72" s="287">
        <f t="shared" ref="E72:H72" si="26">SUM(E14,E34,E53)</f>
        <v>398.24636800000002</v>
      </c>
      <c r="F72" s="287">
        <f t="shared" si="26"/>
        <v>398.24897299999998</v>
      </c>
      <c r="G72" s="287">
        <f t="shared" si="26"/>
        <v>397.04052899999999</v>
      </c>
      <c r="H72" s="287">
        <f t="shared" si="26"/>
        <v>383.93946499999998</v>
      </c>
      <c r="I72" s="514">
        <f t="shared" si="16"/>
        <v>-3.2996792627182914</v>
      </c>
    </row>
    <row r="73" spans="2:9" s="515" customFormat="1" ht="11.25" customHeight="1">
      <c r="B73" s="205"/>
      <c r="C73" s="284" t="s">
        <v>76</v>
      </c>
      <c r="D73" s="287">
        <f>SUM(D15,D35)</f>
        <v>10.752243</v>
      </c>
      <c r="E73" s="287">
        <f t="shared" ref="E73:H73" si="27">SUM(E15,E35)</f>
        <v>10.025174</v>
      </c>
      <c r="F73" s="287">
        <f t="shared" si="27"/>
        <v>10.645490000000011</v>
      </c>
      <c r="G73" s="287">
        <f t="shared" si="27"/>
        <v>11.192</v>
      </c>
      <c r="H73" s="287">
        <f t="shared" si="27"/>
        <v>10.264192</v>
      </c>
      <c r="I73" s="514">
        <f t="shared" si="16"/>
        <v>-8.2899213724088696</v>
      </c>
    </row>
    <row r="74" spans="2:9" s="515" customFormat="1" ht="11.25" customHeight="1">
      <c r="B74" s="205"/>
      <c r="C74" s="284" t="s">
        <v>74</v>
      </c>
      <c r="D74" s="287">
        <f>SUM(D16,D36,D56)</f>
        <v>25.222583999999998</v>
      </c>
      <c r="E74" s="287">
        <f t="shared" ref="E74:H74" si="28">SUM(E16,E36,E56)</f>
        <v>31.549726999999997</v>
      </c>
      <c r="F74" s="287">
        <f t="shared" si="28"/>
        <v>34.701317000000003</v>
      </c>
      <c r="G74" s="287">
        <f t="shared" si="28"/>
        <v>36.244233999999999</v>
      </c>
      <c r="H74" s="287">
        <f t="shared" si="28"/>
        <v>34.974446</v>
      </c>
      <c r="I74" s="514">
        <f t="shared" si="16"/>
        <v>-3.5034207096223846</v>
      </c>
    </row>
    <row r="75" spans="2:9" s="515" customFormat="1" ht="11.25" customHeight="1">
      <c r="B75" s="205"/>
      <c r="C75" s="284" t="s">
        <v>96</v>
      </c>
      <c r="D75" s="287">
        <f>SUM(D17,D54)</f>
        <v>132.53348650000001</v>
      </c>
      <c r="E75" s="287">
        <f t="shared" ref="E75:H75" si="29">SUM(E17,E54)</f>
        <v>155.3942275</v>
      </c>
      <c r="F75" s="287">
        <f t="shared" si="29"/>
        <v>135.65511900000001</v>
      </c>
      <c r="G75" s="287">
        <f t="shared" si="29"/>
        <v>148.85565400000002</v>
      </c>
      <c r="H75" s="287">
        <f t="shared" si="29"/>
        <v>141.10458349999999</v>
      </c>
      <c r="I75" s="514">
        <f t="shared" si="16"/>
        <v>-5.2071052000483782</v>
      </c>
    </row>
    <row r="76" spans="2:9" s="515" customFormat="1" ht="11.25" customHeight="1">
      <c r="B76" s="205"/>
      <c r="C76" s="284" t="s">
        <v>97</v>
      </c>
      <c r="D76" s="287">
        <f>SUM(D18,D55)</f>
        <v>132.53348650000001</v>
      </c>
      <c r="E76" s="287">
        <f t="shared" ref="E76:H76" si="30">SUM(E18,E55)</f>
        <v>155.3942275</v>
      </c>
      <c r="F76" s="287">
        <f t="shared" si="30"/>
        <v>135.65511900000001</v>
      </c>
      <c r="G76" s="287">
        <f t="shared" si="30"/>
        <v>148.85565400000002</v>
      </c>
      <c r="H76" s="287">
        <f t="shared" si="30"/>
        <v>141.10458349999999</v>
      </c>
      <c r="I76" s="514">
        <f t="shared" si="16"/>
        <v>-5.2071052000483782</v>
      </c>
    </row>
    <row r="77" spans="2:9" s="515" customFormat="1" ht="11.25" customHeight="1">
      <c r="B77" s="205"/>
      <c r="C77" s="290" t="s">
        <v>73</v>
      </c>
      <c r="D77" s="293">
        <f>SUM(D62:D63,D67:D76)</f>
        <v>13196.379449000002</v>
      </c>
      <c r="E77" s="293">
        <f t="shared" ref="E77:H77" si="31">SUM(E62:E63,E67:E76)</f>
        <v>13502.614584000001</v>
      </c>
      <c r="F77" s="293">
        <f t="shared" si="31"/>
        <v>13735.676157999998</v>
      </c>
      <c r="G77" s="293">
        <f t="shared" si="31"/>
        <v>14181.458307000001</v>
      </c>
      <c r="H77" s="293">
        <f t="shared" si="31"/>
        <v>14079.217123</v>
      </c>
      <c r="I77" s="396">
        <f t="shared" si="16"/>
        <v>-0.72094972030862792</v>
      </c>
    </row>
    <row r="78" spans="2:9" s="515" customFormat="1" ht="11.25" customHeight="1">
      <c r="B78" s="205"/>
      <c r="C78" s="397" t="s">
        <v>64</v>
      </c>
      <c r="D78" s="287">
        <f>D20</f>
        <v>1298.258934</v>
      </c>
      <c r="E78" s="287">
        <f t="shared" ref="E78:H78" si="32">E20</f>
        <v>1335.7925439999999</v>
      </c>
      <c r="F78" s="287">
        <f t="shared" si="32"/>
        <v>1250.5839680000001</v>
      </c>
      <c r="G78" s="287">
        <f t="shared" si="32"/>
        <v>1179.306642</v>
      </c>
      <c r="H78" s="287">
        <f t="shared" si="32"/>
        <v>1233.358142</v>
      </c>
      <c r="I78" s="514">
        <f t="shared" si="16"/>
        <v>4.5833287183334681</v>
      </c>
    </row>
    <row r="79" spans="2:9" s="515" customFormat="1" ht="11.25" customHeight="1">
      <c r="B79" s="205"/>
      <c r="C79" s="292" t="s">
        <v>40</v>
      </c>
      <c r="D79" s="294">
        <f>SUM(D77:D78)</f>
        <v>14494.638383000001</v>
      </c>
      <c r="E79" s="294">
        <f t="shared" ref="E79:H79" si="33">SUM(E77:E78)</f>
        <v>14838.407128000001</v>
      </c>
      <c r="F79" s="294">
        <f t="shared" si="33"/>
        <v>14986.260125999999</v>
      </c>
      <c r="G79" s="294">
        <f t="shared" si="33"/>
        <v>15360.764949</v>
      </c>
      <c r="H79" s="294">
        <f t="shared" si="33"/>
        <v>15312.575264999999</v>
      </c>
      <c r="I79" s="400">
        <f t="shared" si="16"/>
        <v>-0.31371929822504585</v>
      </c>
    </row>
    <row r="80" spans="2:9" s="515" customFormat="1" ht="11.25" customHeight="1">
      <c r="B80" s="205"/>
      <c r="C80" s="104"/>
      <c r="D80" s="516">
        <f>D79-SUM(D21,D38,D46,D58)</f>
        <v>0</v>
      </c>
      <c r="E80" s="516">
        <f t="shared" ref="E80:H80" si="34">E79-SUM(E21,E38,E46,E58)</f>
        <v>0</v>
      </c>
      <c r="F80" s="516">
        <f t="shared" si="34"/>
        <v>0</v>
      </c>
      <c r="G80" s="516">
        <f t="shared" si="34"/>
        <v>0</v>
      </c>
      <c r="H80" s="516">
        <f t="shared" si="34"/>
        <v>0</v>
      </c>
      <c r="I80" s="389"/>
    </row>
    <row r="81" spans="2:9" s="515" customFormat="1" ht="11.25" customHeight="1">
      <c r="B81" s="205"/>
      <c r="C81" s="288" t="s">
        <v>405</v>
      </c>
      <c r="D81" s="388"/>
      <c r="E81" s="388"/>
      <c r="F81" s="388"/>
      <c r="G81" s="388"/>
      <c r="H81" s="388"/>
      <c r="I81" s="389"/>
    </row>
    <row r="82" spans="2:9" s="515" customFormat="1" ht="11.25" customHeight="1">
      <c r="B82" s="205"/>
      <c r="C82" s="289"/>
      <c r="D82" s="286">
        <v>2014</v>
      </c>
      <c r="E82" s="286">
        <v>2015</v>
      </c>
      <c r="F82" s="286">
        <v>2016</v>
      </c>
      <c r="G82" s="286">
        <v>2017</v>
      </c>
      <c r="H82" s="286">
        <v>2018</v>
      </c>
      <c r="I82" s="286" t="s">
        <v>320</v>
      </c>
    </row>
    <row r="83" spans="2:9" s="515" customFormat="1" ht="11.25" customHeight="1">
      <c r="B83" s="205"/>
      <c r="C83" s="28" t="s">
        <v>26</v>
      </c>
      <c r="D83" s="495">
        <f>SUM('Data 1'!D318,'Data 5'!D62)</f>
        <v>39181.985215203997</v>
      </c>
      <c r="E83" s="495">
        <f>SUM('Data 1'!E318,'Data 5'!E62)</f>
        <v>28382.579963850003</v>
      </c>
      <c r="F83" s="495">
        <f>SUM('Data 1'!F318,'Data 5'!F62)</f>
        <v>36114.888326772001</v>
      </c>
      <c r="G83" s="495">
        <f>SUM('Data 1'!G318,'Data 5'!G62)</f>
        <v>18450.61875066</v>
      </c>
      <c r="H83" s="495">
        <f>SUM('Data 1'!H318,'Data 5'!H62)</f>
        <v>34100.072694872004</v>
      </c>
      <c r="I83" s="514">
        <f>((H83/G83)-1)*100</f>
        <v>84.818044075905078</v>
      </c>
    </row>
    <row r="84" spans="2:9" s="515" customFormat="1" ht="11.25" customHeight="1">
      <c r="B84" s="205"/>
      <c r="C84" s="28" t="s">
        <v>68</v>
      </c>
      <c r="D84" s="495">
        <f>'Data 1'!D319</f>
        <v>3415.996026796</v>
      </c>
      <c r="E84" s="495">
        <f>'Data 1'!E319</f>
        <v>2895.3657881499998</v>
      </c>
      <c r="F84" s="495">
        <f>'Data 1'!F319</f>
        <v>3134.328910228</v>
      </c>
      <c r="G84" s="495">
        <f>'Data 1'!G319</f>
        <v>2248.9644183400001</v>
      </c>
      <c r="H84" s="495">
        <f>'Data 1'!H319</f>
        <v>2009.3771881279999</v>
      </c>
      <c r="I84" s="496">
        <f t="shared" ref="I84:I100" si="35">((H84/G84)-1)*100</f>
        <v>-10.653224580086674</v>
      </c>
    </row>
    <row r="85" spans="2:9" s="515" customFormat="1" ht="11.25" customHeight="1">
      <c r="B85" s="205"/>
      <c r="C85" s="28" t="s">
        <v>27</v>
      </c>
      <c r="D85" s="495">
        <f>'Data 1'!D320</f>
        <v>54781.281335</v>
      </c>
      <c r="E85" s="495">
        <f>'Data 1'!E320</f>
        <v>54661.803305000001</v>
      </c>
      <c r="F85" s="495">
        <f>'Data 1'!F320</f>
        <v>56021.682058999999</v>
      </c>
      <c r="G85" s="495">
        <f>'Data 1'!G320</f>
        <v>55539.351045999996</v>
      </c>
      <c r="H85" s="495">
        <f>'Data 1'!H320</f>
        <v>53197.615882999999</v>
      </c>
      <c r="I85" s="496">
        <f t="shared" si="35"/>
        <v>-4.2163531242208396</v>
      </c>
    </row>
    <row r="86" spans="2:9" s="515" customFormat="1" ht="11.25" customHeight="1">
      <c r="B86" s="205"/>
      <c r="C86" s="28" t="s">
        <v>28</v>
      </c>
      <c r="D86" s="495">
        <f>SUM('Data 1'!D321,'Data 5'!D63)</f>
        <v>43246.056496999998</v>
      </c>
      <c r="E86" s="495">
        <f>SUM('Data 1'!E321,'Data 5'!E63)</f>
        <v>52616.477597999998</v>
      </c>
      <c r="F86" s="495">
        <f>SUM('Data 1'!F321,'Data 5'!F63)</f>
        <v>37313.777751000001</v>
      </c>
      <c r="G86" s="495">
        <f>SUM('Data 1'!G321,'Data 5'!G63)</f>
        <v>45019.420393000008</v>
      </c>
      <c r="H86" s="495">
        <f>SUM('Data 1'!H321,'Data 5'!H63)</f>
        <v>37273.619833999997</v>
      </c>
      <c r="I86" s="496">
        <f t="shared" si="35"/>
        <v>-17.205464866900844</v>
      </c>
    </row>
    <row r="87" spans="2:9" s="515" customFormat="1" ht="11.25" customHeight="1">
      <c r="B87" s="205"/>
      <c r="C87" s="28" t="s">
        <v>115</v>
      </c>
      <c r="D87" s="495">
        <f>SUM('Data 1'!D322,'Data 5'!D67,'Data 5'!D69)</f>
        <v>6241.8218880000013</v>
      </c>
      <c r="E87" s="495">
        <f>SUM('Data 1'!E322,'Data 5'!E67,'Data 5'!E69)</f>
        <v>6483.8134279999995</v>
      </c>
      <c r="F87" s="495">
        <f>SUM('Data 1'!F322,'Data 5'!F67,'Data 5'!F69)</f>
        <v>6754.6440300000013</v>
      </c>
      <c r="G87" s="495">
        <f>SUM('Data 1'!G322,'Data 5'!G67,'Data 5'!G69)</f>
        <v>7001.5774490000003</v>
      </c>
      <c r="H87" s="495">
        <f>SUM('Data 1'!H322,'Data 5'!H67,'Data 5'!H69)</f>
        <v>6683.1698609999994</v>
      </c>
      <c r="I87" s="496">
        <f t="shared" si="35"/>
        <v>-4.5476550151634427</v>
      </c>
    </row>
    <row r="88" spans="2:9" s="515" customFormat="1" ht="11.25" customHeight="1">
      <c r="B88" s="205"/>
      <c r="C88" s="28" t="s">
        <v>44</v>
      </c>
      <c r="D88" s="495">
        <f>SUM('Data 1'!D323,'Data 5'!D68)</f>
        <v>24780.733440999997</v>
      </c>
      <c r="E88" s="495">
        <f>SUM('Data 1'!E323,'Data 5'!E68)</f>
        <v>29027.289334999998</v>
      </c>
      <c r="F88" s="495">
        <f>SUM('Data 1'!F323,'Data 5'!F68)</f>
        <v>29006.482094000003</v>
      </c>
      <c r="G88" s="495">
        <f>SUM('Data 1'!G323,'Data 5'!G68)</f>
        <v>37065.787082999996</v>
      </c>
      <c r="H88" s="495">
        <f>SUM('Data 1'!H323,'Data 5'!H68)</f>
        <v>30044.635531</v>
      </c>
      <c r="I88" s="496">
        <f t="shared" si="35"/>
        <v>-18.942405124914252</v>
      </c>
    </row>
    <row r="89" spans="2:9" s="515" customFormat="1" ht="11.25" customHeight="1">
      <c r="B89" s="205"/>
      <c r="C89" s="28" t="s">
        <v>69</v>
      </c>
      <c r="D89" s="495">
        <f>D70</f>
        <v>0.72883699999999996</v>
      </c>
      <c r="E89" s="495">
        <f t="shared" ref="E89:H89" si="36">E70</f>
        <v>8.2074240000000014</v>
      </c>
      <c r="F89" s="495">
        <f t="shared" si="36"/>
        <v>17.891936000000001</v>
      </c>
      <c r="G89" s="495">
        <f t="shared" si="36"/>
        <v>20.233057000000002</v>
      </c>
      <c r="H89" s="495">
        <f t="shared" si="36"/>
        <v>23.655544000000003</v>
      </c>
      <c r="I89" s="496">
        <f t="shared" si="35"/>
        <v>16.915323275172909</v>
      </c>
    </row>
    <row r="90" spans="2:9" s="515" customFormat="1" ht="11.25" customHeight="1">
      <c r="B90" s="205"/>
      <c r="C90" s="28" t="s">
        <v>50</v>
      </c>
      <c r="D90" s="495">
        <f>SUM('Data 1'!D324,'Data 5'!D71)</f>
        <v>51032.030848000002</v>
      </c>
      <c r="E90" s="495">
        <f>SUM('Data 1'!E324,'Data 5'!E71)</f>
        <v>48117.887516000003</v>
      </c>
      <c r="F90" s="495">
        <f>SUM('Data 1'!F324,'Data 5'!F71)</f>
        <v>47696.660308999999</v>
      </c>
      <c r="G90" s="495">
        <f>SUM('Data 1'!G324,'Data 5'!G71)</f>
        <v>47906.955560999995</v>
      </c>
      <c r="H90" s="495">
        <f>SUM('Data 1'!H324,'Data 5'!H71)</f>
        <v>49526.055933000003</v>
      </c>
      <c r="I90" s="496">
        <f t="shared" si="35"/>
        <v>3.3796770281893762</v>
      </c>
    </row>
    <row r="91" spans="2:9" s="515" customFormat="1" ht="11.25" customHeight="1">
      <c r="B91" s="205"/>
      <c r="C91" s="28" t="s">
        <v>51</v>
      </c>
      <c r="D91" s="495">
        <f>SUM('Data 1'!D325,'Data 5'!D72)</f>
        <v>8207.9261310000111</v>
      </c>
      <c r="E91" s="495">
        <f>SUM('Data 1'!E325,'Data 5'!E72)</f>
        <v>8243.5609049999985</v>
      </c>
      <c r="F91" s="495">
        <f>SUM('Data 1'!F325,'Data 5'!F72)</f>
        <v>7977.4671850000004</v>
      </c>
      <c r="G91" s="495">
        <f>SUM('Data 1'!G325,'Data 5'!G72)</f>
        <v>8397.7526930000004</v>
      </c>
      <c r="H91" s="495">
        <f>SUM('Data 1'!H325,'Data 5'!H72)</f>
        <v>7746.6839170000103</v>
      </c>
      <c r="I91" s="496">
        <f t="shared" si="35"/>
        <v>-7.752892944116974</v>
      </c>
    </row>
    <row r="92" spans="2:9" s="515" customFormat="1" ht="11.25" customHeight="1">
      <c r="B92" s="205"/>
      <c r="C92" s="28" t="s">
        <v>67</v>
      </c>
      <c r="D92" s="495">
        <f>'Data 1'!D326</f>
        <v>4958.9149260000004</v>
      </c>
      <c r="E92" s="495">
        <f>'Data 1'!E326</f>
        <v>5085.2355140000009</v>
      </c>
      <c r="F92" s="495">
        <f>'Data 1'!F326</f>
        <v>5071.2017019999994</v>
      </c>
      <c r="G92" s="495">
        <f>'Data 1'!G326</f>
        <v>5347.9524650000003</v>
      </c>
      <c r="H92" s="495">
        <f>'Data 1'!H326</f>
        <v>4424.3286090000001</v>
      </c>
      <c r="I92" s="496">
        <f t="shared" si="35"/>
        <v>-17.270607060266762</v>
      </c>
    </row>
    <row r="93" spans="2:9" s="515" customFormat="1" ht="11.25" customHeight="1">
      <c r="B93" s="205"/>
      <c r="C93" s="28" t="s">
        <v>76</v>
      </c>
      <c r="D93" s="495">
        <f>SUM('Data 1'!D327,'Data 5'!D73)</f>
        <v>3816.3157169999999</v>
      </c>
      <c r="E93" s="495">
        <f>SUM('Data 1'!E327,'Data 5'!E73)</f>
        <v>3432.5919209999997</v>
      </c>
      <c r="F93" s="495">
        <f>SUM('Data 1'!F327,'Data 5'!F73)</f>
        <v>3425.6648279999999</v>
      </c>
      <c r="G93" s="495">
        <f>SUM('Data 1'!G327,'Data 5'!G73)</f>
        <v>3610.347882</v>
      </c>
      <c r="H93" s="495">
        <f>SUM('Data 1'!H327,'Data 5'!H73)</f>
        <v>3556.3822130000003</v>
      </c>
      <c r="I93" s="496">
        <f t="shared" si="35"/>
        <v>-1.4947498347473553</v>
      </c>
    </row>
    <row r="94" spans="2:9" s="515" customFormat="1" ht="11.25" customHeight="1">
      <c r="B94" s="205"/>
      <c r="C94" s="28" t="s">
        <v>74</v>
      </c>
      <c r="D94" s="495">
        <f>SUM('Data 1'!D328,'Data 5'!D74)</f>
        <v>24153.243881999999</v>
      </c>
      <c r="E94" s="495">
        <f>SUM('Data 1'!E328,'Data 5'!E74)</f>
        <v>25200.877766000001</v>
      </c>
      <c r="F94" s="495">
        <f>SUM('Data 1'!F328,'Data 5'!F74)</f>
        <v>25908.643558999996</v>
      </c>
      <c r="G94" s="495">
        <f>SUM('Data 1'!G328,'Data 5'!G74)</f>
        <v>28211.806703000002</v>
      </c>
      <c r="H94" s="495">
        <f>SUM('Data 1'!H328,'Data 5'!H74)</f>
        <v>29009.746863</v>
      </c>
      <c r="I94" s="496">
        <f t="shared" si="35"/>
        <v>2.8283908521007595</v>
      </c>
    </row>
    <row r="95" spans="2:9" s="515" customFormat="1" ht="11.25" customHeight="1">
      <c r="B95" s="205"/>
      <c r="C95" s="28" t="s">
        <v>96</v>
      </c>
      <c r="D95" s="495">
        <f>SUM('Data 1'!D329,'Data 5'!D75)</f>
        <v>1965.8770434999999</v>
      </c>
      <c r="E95" s="495">
        <f>SUM('Data 1'!E329,'Data 5'!E75)</f>
        <v>2480.1089684999997</v>
      </c>
      <c r="F95" s="495">
        <f>SUM('Data 1'!F329,'Data 5'!F75)</f>
        <v>2606.9637645000003</v>
      </c>
      <c r="G95" s="495">
        <f>SUM('Data 1'!G329,'Data 5'!G75)</f>
        <v>2607.9845150000001</v>
      </c>
      <c r="H95" s="495">
        <f>SUM('Data 1'!H329,'Data 5'!H75)</f>
        <v>2436.79207</v>
      </c>
      <c r="I95" s="496">
        <f t="shared" si="35"/>
        <v>-6.564166467069688</v>
      </c>
    </row>
    <row r="96" spans="2:9" s="515" customFormat="1" ht="11.25" customHeight="1">
      <c r="B96" s="205"/>
      <c r="C96" s="28" t="s">
        <v>97</v>
      </c>
      <c r="D96" s="495">
        <f>SUM('Data 1'!D330,'Data 5'!D76)</f>
        <v>678.0715725</v>
      </c>
      <c r="E96" s="495">
        <f>SUM('Data 1'!E330,'Data 5'!E76)</f>
        <v>818.04970249999997</v>
      </c>
      <c r="F96" s="495">
        <f>SUM('Data 1'!F330,'Data 5'!F76)</f>
        <v>785.39502949999996</v>
      </c>
      <c r="G96" s="495">
        <f>SUM('Data 1'!G330,'Data 5'!G76)</f>
        <v>877.00608699999907</v>
      </c>
      <c r="H96" s="495">
        <f>SUM('Data 1'!H330,'Data 5'!H76)</f>
        <v>874.075245</v>
      </c>
      <c r="I96" s="496">
        <f t="shared" si="35"/>
        <v>-0.33418719019666643</v>
      </c>
    </row>
    <row r="97" spans="2:9" s="515" customFormat="1" ht="11.25" customHeight="1">
      <c r="B97" s="205"/>
      <c r="C97" s="499" t="s">
        <v>73</v>
      </c>
      <c r="D97" s="500">
        <f>SUM(D83:D96)</f>
        <v>266460.98336000001</v>
      </c>
      <c r="E97" s="500">
        <f t="shared" ref="E97:H97" si="37">SUM(E83:E96)</f>
        <v>267453.84913499997</v>
      </c>
      <c r="F97" s="500">
        <f t="shared" si="37"/>
        <v>261835.69148399998</v>
      </c>
      <c r="G97" s="500">
        <f t="shared" si="37"/>
        <v>262305.758103</v>
      </c>
      <c r="H97" s="500">
        <f t="shared" si="37"/>
        <v>260906.21138600004</v>
      </c>
      <c r="I97" s="501">
        <f t="shared" si="35"/>
        <v>-0.53355546867194237</v>
      </c>
    </row>
    <row r="98" spans="2:9" s="515" customFormat="1" ht="11.25" customHeight="1">
      <c r="B98" s="205"/>
      <c r="C98" s="502" t="s">
        <v>191</v>
      </c>
      <c r="D98" s="495">
        <f>'Data 1'!D332</f>
        <v>-5385.7688595580003</v>
      </c>
      <c r="E98" s="495">
        <f>'Data 1'!E332</f>
        <v>-4512.2514306060002</v>
      </c>
      <c r="F98" s="495">
        <f>'Data 1'!F332</f>
        <v>-4827.5850676680002</v>
      </c>
      <c r="G98" s="495">
        <f>'Data 1'!G332</f>
        <v>-3607.5809876580001</v>
      </c>
      <c r="H98" s="495">
        <f>'Data 1'!H332</f>
        <v>-3200.7100749189999</v>
      </c>
      <c r="I98" s="496">
        <f t="shared" si="35"/>
        <v>-11.278219785805454</v>
      </c>
    </row>
    <row r="99" spans="2:9" s="515" customFormat="1" ht="11.25" customHeight="1">
      <c r="B99" s="205"/>
      <c r="C99" s="503" t="s">
        <v>406</v>
      </c>
      <c r="D99" s="504">
        <f>'Data 1'!D334</f>
        <v>-3406.1240240000002</v>
      </c>
      <c r="E99" s="504">
        <f>'Data 1'!E334</f>
        <v>-133.163162999999</v>
      </c>
      <c r="F99" s="504">
        <f>'Data 1'!F334</f>
        <v>7658.0436910000099</v>
      </c>
      <c r="G99" s="504">
        <f>'Data 1'!G334</f>
        <v>9168.9935229999901</v>
      </c>
      <c r="H99" s="504">
        <f>'Data 1'!H334</f>
        <v>11102.311146</v>
      </c>
      <c r="I99" s="505">
        <f t="shared" si="35"/>
        <v>21.085385414989922</v>
      </c>
    </row>
    <row r="100" spans="2:9" s="515" customFormat="1" ht="11.25" customHeight="1">
      <c r="B100" s="205"/>
      <c r="C100" s="506" t="s">
        <v>40</v>
      </c>
      <c r="D100" s="507">
        <f>SUM(D97:D99)</f>
        <v>257669.09047644201</v>
      </c>
      <c r="E100" s="507">
        <f>SUM(E97:E99)</f>
        <v>262808.43454139394</v>
      </c>
      <c r="F100" s="507">
        <f>SUM(F97:F99)</f>
        <v>264666.15010733198</v>
      </c>
      <c r="G100" s="507">
        <f>SUM(G97:G99)</f>
        <v>267867.17063834198</v>
      </c>
      <c r="H100" s="507">
        <f>SUM(H97:H99)</f>
        <v>268807.81245708105</v>
      </c>
      <c r="I100" s="508">
        <f t="shared" si="35"/>
        <v>0.35115979927569096</v>
      </c>
    </row>
    <row r="101" spans="2:9" s="515" customFormat="1" ht="11.25" customHeight="1">
      <c r="B101" s="205"/>
      <c r="C101" s="104"/>
      <c r="D101" s="533">
        <f>D100-SUM('Data 1'!D335,'Data 5'!D21,'Data 5'!D38,'Data 5'!D46,'Data 5'!D58)</f>
        <v>0</v>
      </c>
      <c r="E101" s="533">
        <f>E100-SUM('Data 1'!E335,'Data 5'!E21,'Data 5'!E38,'Data 5'!E46,'Data 5'!E58)</f>
        <v>0</v>
      </c>
      <c r="F101" s="533">
        <f>F100-SUM('Data 1'!F335,'Data 5'!F21,'Data 5'!F38,'Data 5'!F46,'Data 5'!F58)</f>
        <v>0</v>
      </c>
      <c r="G101" s="533">
        <f>G100-SUM('Data 1'!G335,'Data 5'!G21,'Data 5'!G38,'Data 5'!G46,'Data 5'!G58)</f>
        <v>0</v>
      </c>
      <c r="H101" s="533">
        <f>H100-SUM('Data 1'!H335,'Data 5'!H21,'Data 5'!H38,'Data 5'!H46,'Data 5'!H58)</f>
        <v>0</v>
      </c>
      <c r="I101" s="389"/>
    </row>
    <row r="102" spans="2:9" ht="11.25" customHeight="1">
      <c r="C102" s="288" t="s">
        <v>424</v>
      </c>
      <c r="D102" s="389"/>
      <c r="E102" s="388"/>
      <c r="F102" s="388"/>
      <c r="G102" s="389"/>
      <c r="H102" s="388"/>
      <c r="I102" s="388"/>
    </row>
    <row r="103" spans="2:9" ht="11.25" customHeight="1">
      <c r="C103" s="289"/>
      <c r="D103" s="286">
        <v>2014</v>
      </c>
      <c r="E103" s="286">
        <v>2015</v>
      </c>
      <c r="F103" s="286">
        <v>2016</v>
      </c>
      <c r="G103" s="286">
        <v>2017</v>
      </c>
      <c r="H103" s="286">
        <v>2018</v>
      </c>
      <c r="I103" s="286" t="s">
        <v>320</v>
      </c>
    </row>
    <row r="104" spans="2:9" ht="11.25" customHeight="1">
      <c r="C104" s="291" t="s">
        <v>28</v>
      </c>
      <c r="D104" s="390">
        <v>468.4</v>
      </c>
      <c r="E104" s="390">
        <v>468.4</v>
      </c>
      <c r="F104" s="390">
        <v>468.4</v>
      </c>
      <c r="G104" s="390">
        <f>'Data 1'!G52</f>
        <v>468.4</v>
      </c>
      <c r="H104" s="390">
        <f>'Data 1'!G70</f>
        <v>468.4</v>
      </c>
      <c r="I104" s="391">
        <f t="shared" ref="I104:I116" si="38">((H104/G104)-1)*100</f>
        <v>0</v>
      </c>
    </row>
    <row r="105" spans="2:9" ht="11.25" customHeight="1">
      <c r="C105" s="392" t="s">
        <v>321</v>
      </c>
      <c r="D105" s="393">
        <v>182</v>
      </c>
      <c r="E105" s="393">
        <v>182</v>
      </c>
      <c r="F105" s="393">
        <v>182</v>
      </c>
      <c r="G105" s="393">
        <v>182</v>
      </c>
      <c r="H105" s="393">
        <v>182</v>
      </c>
      <c r="I105" s="394">
        <f t="shared" si="38"/>
        <v>0</v>
      </c>
    </row>
    <row r="106" spans="2:9" ht="11.25" customHeight="1">
      <c r="C106" s="392" t="s">
        <v>49</v>
      </c>
      <c r="D106" s="393">
        <v>605.4</v>
      </c>
      <c r="E106" s="393">
        <v>605.4</v>
      </c>
      <c r="F106" s="393">
        <v>605.4</v>
      </c>
      <c r="G106" s="393">
        <v>605.4</v>
      </c>
      <c r="H106" s="393">
        <v>605.4</v>
      </c>
      <c r="I106" s="394">
        <f t="shared" si="38"/>
        <v>0</v>
      </c>
    </row>
    <row r="107" spans="2:9" ht="11.25" customHeight="1">
      <c r="C107" s="291" t="s">
        <v>45</v>
      </c>
      <c r="D107" s="390">
        <f>SUM(D105:D106)</f>
        <v>787.4</v>
      </c>
      <c r="E107" s="390">
        <f t="shared" ref="E107:F107" si="39">SUM(E105:E106)</f>
        <v>787.4</v>
      </c>
      <c r="F107" s="390">
        <f t="shared" si="39"/>
        <v>787.4</v>
      </c>
      <c r="G107" s="390">
        <f>SUM(G105:G106)</f>
        <v>787.4</v>
      </c>
      <c r="H107" s="390">
        <f>SUM(H105:H106)</f>
        <v>787.4</v>
      </c>
      <c r="I107" s="391">
        <f t="shared" si="38"/>
        <v>0</v>
      </c>
    </row>
    <row r="108" spans="2:9" ht="11.25" customHeight="1">
      <c r="C108" s="291" t="s">
        <v>44</v>
      </c>
      <c r="D108" s="390">
        <v>857.95</v>
      </c>
      <c r="E108" s="390">
        <v>857.95</v>
      </c>
      <c r="F108" s="390">
        <v>857.95</v>
      </c>
      <c r="G108" s="390">
        <f>'Data 1'!G54</f>
        <v>857.95</v>
      </c>
      <c r="H108" s="390">
        <f>'Data 1'!G72</f>
        <v>857.95</v>
      </c>
      <c r="I108" s="391">
        <f t="shared" si="38"/>
        <v>0</v>
      </c>
    </row>
    <row r="109" spans="2:9" ht="11.25" customHeight="1">
      <c r="C109" s="291" t="s">
        <v>46</v>
      </c>
      <c r="D109" s="390" t="s">
        <v>0</v>
      </c>
      <c r="E109" s="390" t="s">
        <v>0</v>
      </c>
      <c r="F109" s="390" t="s">
        <v>0</v>
      </c>
      <c r="G109" s="390" t="s">
        <v>0</v>
      </c>
      <c r="H109" s="390" t="s">
        <v>0</v>
      </c>
      <c r="I109" s="390" t="s">
        <v>0</v>
      </c>
    </row>
    <row r="110" spans="2:9" ht="11.25" customHeight="1">
      <c r="C110" s="395" t="s">
        <v>50</v>
      </c>
      <c r="D110" s="390">
        <v>3.6762999999999999</v>
      </c>
      <c r="E110" s="390">
        <v>3.6474999999999906</v>
      </c>
      <c r="F110" s="390">
        <v>3.6474999999999906</v>
      </c>
      <c r="G110" s="390">
        <f>'Data 1'!G56</f>
        <v>3.6474999999999906</v>
      </c>
      <c r="H110" s="390">
        <f>'Data 1'!G74</f>
        <v>3.6374999999999909</v>
      </c>
      <c r="I110" s="391">
        <f t="shared" si="38"/>
        <v>-0.27416038382452879</v>
      </c>
    </row>
    <row r="111" spans="2:9" ht="11.25" customHeight="1">
      <c r="C111" s="395" t="s">
        <v>51</v>
      </c>
      <c r="D111" s="390">
        <v>77.733829999999898</v>
      </c>
      <c r="E111" s="390">
        <v>78.83145999999978</v>
      </c>
      <c r="F111" s="390">
        <v>79.489214999999774</v>
      </c>
      <c r="G111" s="390">
        <f>'Data 1'!G57</f>
        <v>80.078084999999845</v>
      </c>
      <c r="H111" s="390">
        <f>'Data 1'!G75</f>
        <v>80.225044999999852</v>
      </c>
      <c r="I111" s="391">
        <f t="shared" si="38"/>
        <v>0.1835208721587378</v>
      </c>
    </row>
    <row r="112" spans="2:9" ht="11.25" customHeight="1">
      <c r="C112" s="284" t="s">
        <v>76</v>
      </c>
      <c r="D112" s="390">
        <v>2.13</v>
      </c>
      <c r="E112" s="390">
        <v>2.13</v>
      </c>
      <c r="F112" s="390">
        <v>2.13</v>
      </c>
      <c r="G112" s="390">
        <f>'Data 1'!G59</f>
        <v>2.13</v>
      </c>
      <c r="H112" s="390">
        <f>'Data 1'!G77</f>
        <v>2.13</v>
      </c>
      <c r="I112" s="391">
        <f t="shared" si="38"/>
        <v>0</v>
      </c>
    </row>
    <row r="113" spans="3:9" ht="11.25" customHeight="1">
      <c r="C113" s="284" t="s">
        <v>74</v>
      </c>
      <c r="D113" s="390">
        <v>85.625</v>
      </c>
      <c r="E113" s="390">
        <v>10.487000000000002</v>
      </c>
      <c r="F113" s="390">
        <v>10.487000000000002</v>
      </c>
      <c r="G113" s="390">
        <f>'Data 1'!G60</f>
        <v>10.486999999999998</v>
      </c>
      <c r="H113" s="390">
        <f>'Data 1'!G78</f>
        <v>10.486999999999998</v>
      </c>
      <c r="I113" s="391">
        <f t="shared" si="38"/>
        <v>0</v>
      </c>
    </row>
    <row r="114" spans="3:9" ht="11.25" customHeight="1">
      <c r="C114" s="284" t="s">
        <v>96</v>
      </c>
      <c r="D114" s="390" t="s">
        <v>0</v>
      </c>
      <c r="E114" s="390">
        <v>37.400000000000006</v>
      </c>
      <c r="F114" s="390">
        <v>37.400000000000006</v>
      </c>
      <c r="G114" s="390">
        <f>'Data 1'!G61</f>
        <v>37.400000000000006</v>
      </c>
      <c r="H114" s="390">
        <f>'Data 1'!G79</f>
        <v>37.400000000000006</v>
      </c>
      <c r="I114" s="391">
        <f t="shared" si="38"/>
        <v>0</v>
      </c>
    </row>
    <row r="115" spans="3:9" ht="11.25" customHeight="1">
      <c r="C115" s="284" t="s">
        <v>97</v>
      </c>
      <c r="D115" s="390" t="s">
        <v>0</v>
      </c>
      <c r="E115" s="390">
        <v>37.400000000000006</v>
      </c>
      <c r="F115" s="390">
        <v>37.400000000000006</v>
      </c>
      <c r="G115" s="390">
        <f>'Data 1'!G62</f>
        <v>37.400000000000006</v>
      </c>
      <c r="H115" s="390">
        <f>'Data 1'!G80</f>
        <v>37.400000000000006</v>
      </c>
      <c r="I115" s="391">
        <f t="shared" si="38"/>
        <v>0</v>
      </c>
    </row>
    <row r="116" spans="3:9" ht="11.25" customHeight="1">
      <c r="C116" s="292" t="s">
        <v>32</v>
      </c>
      <c r="D116" s="294">
        <f t="shared" ref="D116:H116" si="40">SUM(D104:D104,D107:D115)</f>
        <v>2282.9151300000003</v>
      </c>
      <c r="E116" s="294">
        <f t="shared" si="40"/>
        <v>2283.6459600000003</v>
      </c>
      <c r="F116" s="294">
        <f t="shared" si="40"/>
        <v>2284.303715</v>
      </c>
      <c r="G116" s="294">
        <f t="shared" si="40"/>
        <v>2284.8925850000001</v>
      </c>
      <c r="H116" s="294">
        <f t="shared" si="40"/>
        <v>2285.0295449999999</v>
      </c>
      <c r="I116" s="400">
        <f t="shared" si="38"/>
        <v>5.9941548630648711E-3</v>
      </c>
    </row>
    <row r="117" spans="3:9" ht="11.25" customHeight="1"/>
    <row r="118" spans="3:9" ht="11.25" customHeight="1">
      <c r="C118" s="288" t="s">
        <v>425</v>
      </c>
      <c r="D118" s="389"/>
      <c r="E118" s="388"/>
      <c r="F118" s="388"/>
      <c r="G118" s="389"/>
      <c r="H118" s="388"/>
      <c r="I118" s="388"/>
    </row>
    <row r="119" spans="3:9" ht="11.25" customHeight="1">
      <c r="C119" s="289"/>
      <c r="D119" s="286">
        <v>2014</v>
      </c>
      <c r="E119" s="286">
        <v>2015</v>
      </c>
      <c r="F119" s="286">
        <v>2016</v>
      </c>
      <c r="G119" s="286">
        <v>2017</v>
      </c>
      <c r="H119" s="286">
        <v>2018</v>
      </c>
      <c r="I119" s="286" t="s">
        <v>320</v>
      </c>
    </row>
    <row r="120" spans="3:9" ht="11.25" customHeight="1">
      <c r="C120" s="291" t="s">
        <v>26</v>
      </c>
      <c r="D120" s="390">
        <v>1.2630000000000001</v>
      </c>
      <c r="E120" s="390">
        <v>2.02</v>
      </c>
      <c r="F120" s="390">
        <v>2.02</v>
      </c>
      <c r="G120" s="390">
        <f>'Data 1'!I49</f>
        <v>2.02</v>
      </c>
      <c r="H120" s="390">
        <f>'Data 1'!I67</f>
        <v>2.02</v>
      </c>
      <c r="I120" s="391">
        <f t="shared" ref="I120:I125" si="41">((H120/G120)-1)*100</f>
        <v>0</v>
      </c>
    </row>
    <row r="121" spans="3:9" ht="11.25" customHeight="1">
      <c r="C121" s="392" t="s">
        <v>321</v>
      </c>
      <c r="D121" s="393">
        <v>495.92000000000013</v>
      </c>
      <c r="E121" s="393">
        <v>495.92000000000013</v>
      </c>
      <c r="F121" s="393">
        <v>495.92000000000013</v>
      </c>
      <c r="G121" s="393">
        <v>495.92000000000013</v>
      </c>
      <c r="H121" s="393">
        <v>495.92</v>
      </c>
      <c r="I121" s="394">
        <f t="shared" si="41"/>
        <v>-2.2204460492503131E-14</v>
      </c>
    </row>
    <row r="122" spans="3:9" ht="11.25" customHeight="1">
      <c r="C122" s="392" t="s">
        <v>49</v>
      </c>
      <c r="D122" s="393">
        <v>557.16000000000008</v>
      </c>
      <c r="E122" s="393">
        <v>557.1400000000001</v>
      </c>
      <c r="F122" s="393">
        <v>557.1400000000001</v>
      </c>
      <c r="G122" s="393">
        <v>557.1400000000001</v>
      </c>
      <c r="H122" s="393">
        <v>557.1400000000001</v>
      </c>
      <c r="I122" s="394">
        <f t="shared" si="41"/>
        <v>0</v>
      </c>
    </row>
    <row r="123" spans="3:9" ht="11.25" customHeight="1">
      <c r="C123" s="392" t="s">
        <v>53</v>
      </c>
      <c r="D123" s="393">
        <v>482.64</v>
      </c>
      <c r="E123" s="393">
        <v>482.64</v>
      </c>
      <c r="F123" s="393">
        <v>482.64</v>
      </c>
      <c r="G123" s="393">
        <v>482.64</v>
      </c>
      <c r="H123" s="393">
        <v>482.64</v>
      </c>
      <c r="I123" s="394">
        <f t="shared" si="41"/>
        <v>0</v>
      </c>
    </row>
    <row r="124" spans="3:9" ht="11.25" customHeight="1">
      <c r="C124" s="291" t="s">
        <v>45</v>
      </c>
      <c r="D124" s="390">
        <f t="shared" ref="D124:F124" si="42">SUM(D121:D123)</f>
        <v>1535.7200000000003</v>
      </c>
      <c r="E124" s="390">
        <f t="shared" si="42"/>
        <v>1535.7000000000003</v>
      </c>
      <c r="F124" s="390">
        <f t="shared" si="42"/>
        <v>1535.7000000000003</v>
      </c>
      <c r="G124" s="390">
        <f>SUM(G121:G123)</f>
        <v>1535.7000000000003</v>
      </c>
      <c r="H124" s="390">
        <f>SUM(H121:H123)</f>
        <v>1535.7000000000003</v>
      </c>
      <c r="I124" s="391">
        <f t="shared" si="41"/>
        <v>0</v>
      </c>
    </row>
    <row r="125" spans="3:9" ht="11.25" customHeight="1">
      <c r="C125" s="291" t="s">
        <v>44</v>
      </c>
      <c r="D125" s="390">
        <v>864.2</v>
      </c>
      <c r="E125" s="390">
        <v>864.2</v>
      </c>
      <c r="F125" s="390">
        <v>864.2</v>
      </c>
      <c r="G125" s="390">
        <v>864.2</v>
      </c>
      <c r="H125" s="390">
        <f>'Data 1'!I72</f>
        <v>864.2</v>
      </c>
      <c r="I125" s="391">
        <f t="shared" si="41"/>
        <v>0</v>
      </c>
    </row>
    <row r="126" spans="3:9" ht="11.25" customHeight="1">
      <c r="C126" s="291" t="s">
        <v>46</v>
      </c>
      <c r="D126" s="390" t="s">
        <v>0</v>
      </c>
      <c r="E126" s="390" t="s">
        <v>0</v>
      </c>
      <c r="F126" s="390" t="s">
        <v>0</v>
      </c>
      <c r="G126" s="390" t="s">
        <v>0</v>
      </c>
      <c r="H126" s="390" t="s">
        <v>0</v>
      </c>
      <c r="I126" s="391" t="s">
        <v>0</v>
      </c>
    </row>
    <row r="127" spans="3:9" ht="11.25" customHeight="1">
      <c r="C127" s="291" t="s">
        <v>69</v>
      </c>
      <c r="D127" s="390">
        <v>11.39</v>
      </c>
      <c r="E127" s="390">
        <v>11.39</v>
      </c>
      <c r="F127" s="390">
        <v>11.39</v>
      </c>
      <c r="G127" s="390">
        <v>11.39</v>
      </c>
      <c r="H127" s="390">
        <f>'Data 1'!I73</f>
        <v>11.39</v>
      </c>
      <c r="I127" s="391">
        <f>((H127/G127)-1)*100</f>
        <v>0</v>
      </c>
    </row>
    <row r="128" spans="3:9" ht="11.25" customHeight="1">
      <c r="C128" s="395" t="s">
        <v>50</v>
      </c>
      <c r="D128" s="390">
        <v>152.59</v>
      </c>
      <c r="E128" s="390">
        <v>152.05499999999998</v>
      </c>
      <c r="F128" s="390">
        <v>152.05499999999998</v>
      </c>
      <c r="G128" s="390">
        <f>'Data 1'!I56</f>
        <v>206.89999999999995</v>
      </c>
      <c r="H128" s="390">
        <f>'Data 1'!I74</f>
        <v>421.71499999999997</v>
      </c>
      <c r="I128" s="391">
        <f>((H128/G128)-1)*100</f>
        <v>103.82551957467379</v>
      </c>
    </row>
    <row r="129" spans="2:9" ht="11.25" customHeight="1">
      <c r="C129" s="395" t="s">
        <v>51</v>
      </c>
      <c r="D129" s="390">
        <v>165.24327999999801</v>
      </c>
      <c r="E129" s="390">
        <v>167.26166999999847</v>
      </c>
      <c r="F129" s="390">
        <v>167.26666999999847</v>
      </c>
      <c r="G129" s="390">
        <f>'Data 1'!I57</f>
        <v>167.32556999999963</v>
      </c>
      <c r="H129" s="390">
        <f>'Data 1'!I75</f>
        <v>167.32556999999963</v>
      </c>
      <c r="I129" s="391">
        <f>((H129/G129)-1)*100</f>
        <v>0</v>
      </c>
    </row>
    <row r="130" spans="2:9" ht="11.25" customHeight="1">
      <c r="C130" s="284" t="s">
        <v>76</v>
      </c>
      <c r="D130" s="390">
        <v>3.3679999999999999</v>
      </c>
      <c r="E130" s="390">
        <v>3.6960000000000002</v>
      </c>
      <c r="F130" s="390">
        <v>3.6960000000000002</v>
      </c>
      <c r="G130" s="390">
        <f>'Data 1'!I59</f>
        <v>3.6960000000000002</v>
      </c>
      <c r="H130" s="390">
        <f>'Data 1'!I77</f>
        <v>3.6960000000000002</v>
      </c>
      <c r="I130" s="391">
        <f>((H130/G130)-1)*100</f>
        <v>0</v>
      </c>
    </row>
    <row r="131" spans="2:9" ht="11.25" customHeight="1">
      <c r="C131" s="284" t="s">
        <v>74</v>
      </c>
      <c r="D131" s="390">
        <v>33.268000000000001</v>
      </c>
      <c r="E131" s="390">
        <v>0</v>
      </c>
      <c r="F131" s="390">
        <v>0</v>
      </c>
      <c r="G131" s="390" t="s">
        <v>0</v>
      </c>
      <c r="H131" s="390" t="s">
        <v>0</v>
      </c>
      <c r="I131" s="391" t="s">
        <v>0</v>
      </c>
    </row>
    <row r="132" spans="2:9" ht="11.25" customHeight="1">
      <c r="C132" s="292" t="s">
        <v>32</v>
      </c>
      <c r="D132" s="294">
        <f t="shared" ref="D132:G132" si="43">SUM(D120:D120,D124:D131)</f>
        <v>2767.0422799999978</v>
      </c>
      <c r="E132" s="294">
        <f t="shared" si="43"/>
        <v>2736.3226699999982</v>
      </c>
      <c r="F132" s="294">
        <f t="shared" si="43"/>
        <v>2736.3276699999983</v>
      </c>
      <c r="G132" s="294">
        <f t="shared" si="43"/>
        <v>2791.2315699999995</v>
      </c>
      <c r="H132" s="294">
        <f>SUM(H120:H120,H124:H131)</f>
        <v>3006.0465699999995</v>
      </c>
      <c r="I132" s="400">
        <f>((H132/G132)-1)*100</f>
        <v>7.6960651458954477</v>
      </c>
    </row>
    <row r="133" spans="2:9" s="515" customFormat="1" ht="11.25" customHeight="1">
      <c r="B133" s="69"/>
      <c r="C133" s="104"/>
      <c r="D133" s="388"/>
      <c r="E133" s="388"/>
      <c r="F133" s="388"/>
      <c r="G133" s="388"/>
      <c r="H133" s="388"/>
      <c r="I133" s="389"/>
    </row>
    <row r="134" spans="2:9" ht="11.25" customHeight="1">
      <c r="C134" s="288" t="s">
        <v>426</v>
      </c>
      <c r="D134" s="389"/>
      <c r="E134" s="388"/>
      <c r="F134" s="388"/>
      <c r="G134" s="389"/>
      <c r="H134" s="388"/>
      <c r="I134" s="388"/>
    </row>
    <row r="135" spans="2:9" ht="11.25" customHeight="1">
      <c r="C135" s="289"/>
      <c r="D135" s="286">
        <v>2014</v>
      </c>
      <c r="E135" s="286">
        <v>2015</v>
      </c>
      <c r="F135" s="286">
        <v>2016</v>
      </c>
      <c r="G135" s="286">
        <v>2017</v>
      </c>
      <c r="H135" s="286">
        <v>2018</v>
      </c>
      <c r="I135" s="286" t="s">
        <v>320</v>
      </c>
    </row>
    <row r="136" spans="2:9" ht="11.25" customHeight="1">
      <c r="C136" s="392" t="s">
        <v>321</v>
      </c>
      <c r="D136" s="393">
        <v>77.52</v>
      </c>
      <c r="E136" s="393">
        <v>77.52</v>
      </c>
      <c r="F136" s="393">
        <v>77.52</v>
      </c>
      <c r="G136" s="393">
        <v>77.52</v>
      </c>
      <c r="H136" s="393">
        <v>77.52</v>
      </c>
      <c r="I136" s="394">
        <f>((H136/G136)-1)*100</f>
        <v>0</v>
      </c>
    </row>
    <row r="137" spans="2:9" ht="11.25" customHeight="1">
      <c r="C137" s="392" t="s">
        <v>49</v>
      </c>
      <c r="D137" s="393">
        <v>13.3</v>
      </c>
      <c r="E137" s="393">
        <v>13.3</v>
      </c>
      <c r="F137" s="393">
        <v>13.3</v>
      </c>
      <c r="G137" s="393">
        <v>13.3</v>
      </c>
      <c r="H137" s="393">
        <v>13.3</v>
      </c>
      <c r="I137" s="394">
        <f>((H137/G137)-1)*100</f>
        <v>0</v>
      </c>
    </row>
    <row r="138" spans="2:9" ht="11.25" customHeight="1">
      <c r="C138" s="291" t="s">
        <v>45</v>
      </c>
      <c r="D138" s="390">
        <f t="shared" ref="D138:F138" si="44">SUM(D136:D137)</f>
        <v>90.82</v>
      </c>
      <c r="E138" s="390">
        <f t="shared" si="44"/>
        <v>90.82</v>
      </c>
      <c r="F138" s="390">
        <f t="shared" si="44"/>
        <v>90.82</v>
      </c>
      <c r="G138" s="390">
        <f>SUM(G136:G137)</f>
        <v>90.82</v>
      </c>
      <c r="H138" s="390">
        <f>SUM(H136:H137)</f>
        <v>90.82</v>
      </c>
      <c r="I138" s="391">
        <f>((H138/G138)-1)*100</f>
        <v>0</v>
      </c>
    </row>
    <row r="139" spans="2:9" ht="11.25" customHeight="1">
      <c r="C139" s="292" t="s">
        <v>32</v>
      </c>
      <c r="D139" s="294">
        <f>D138</f>
        <v>90.82</v>
      </c>
      <c r="E139" s="294">
        <f t="shared" ref="E139:H139" si="45">E138</f>
        <v>90.82</v>
      </c>
      <c r="F139" s="294">
        <f t="shared" si="45"/>
        <v>90.82</v>
      </c>
      <c r="G139" s="294">
        <f t="shared" si="45"/>
        <v>90.82</v>
      </c>
      <c r="H139" s="294">
        <f t="shared" si="45"/>
        <v>90.82</v>
      </c>
      <c r="I139" s="400">
        <f>((H139/G139)-1)*100</f>
        <v>0</v>
      </c>
    </row>
    <row r="140" spans="2:9" ht="11.25" customHeight="1">
      <c r="C140" s="104"/>
      <c r="D140" s="389"/>
      <c r="E140" s="388"/>
      <c r="F140" s="388"/>
      <c r="G140" s="389"/>
      <c r="H140" s="388"/>
      <c r="I140" s="388"/>
    </row>
    <row r="141" spans="2:9" ht="11.25" customHeight="1">
      <c r="C141" s="288" t="s">
        <v>427</v>
      </c>
      <c r="D141" s="389"/>
      <c r="E141" s="388"/>
      <c r="F141" s="388"/>
      <c r="G141" s="389"/>
      <c r="H141" s="388"/>
      <c r="I141" s="388"/>
    </row>
    <row r="142" spans="2:9" ht="11.25" customHeight="1">
      <c r="C142" s="289"/>
      <c r="D142" s="286">
        <v>2014</v>
      </c>
      <c r="E142" s="286">
        <v>2015</v>
      </c>
      <c r="F142" s="286">
        <v>2016</v>
      </c>
      <c r="G142" s="286">
        <v>2017</v>
      </c>
      <c r="H142" s="286">
        <v>2018</v>
      </c>
      <c r="I142" s="286" t="s">
        <v>320</v>
      </c>
    </row>
    <row r="143" spans="2:9" ht="11.25" customHeight="1">
      <c r="C143" s="392" t="s">
        <v>321</v>
      </c>
      <c r="D143" s="393">
        <v>64.64</v>
      </c>
      <c r="E143" s="393">
        <v>64.64</v>
      </c>
      <c r="F143" s="393">
        <v>64.64</v>
      </c>
      <c r="G143" s="393">
        <v>64.64</v>
      </c>
      <c r="H143" s="393">
        <v>64.64</v>
      </c>
      <c r="I143" s="394">
        <f t="shared" ref="I143:I148" si="46">((H143/G143)-1)*100</f>
        <v>0</v>
      </c>
    </row>
    <row r="144" spans="2:9" ht="11.25" customHeight="1">
      <c r="C144" s="392" t="s">
        <v>49</v>
      </c>
      <c r="D144" s="393">
        <v>11.5</v>
      </c>
      <c r="E144" s="393">
        <v>11.5</v>
      </c>
      <c r="F144" s="393">
        <v>11.5</v>
      </c>
      <c r="G144" s="393">
        <v>11.5</v>
      </c>
      <c r="H144" s="393">
        <v>11.5</v>
      </c>
      <c r="I144" s="394">
        <f t="shared" si="46"/>
        <v>0</v>
      </c>
    </row>
    <row r="145" spans="2:9" ht="11.25" customHeight="1">
      <c r="B145" s="205"/>
      <c r="C145" s="291" t="s">
        <v>45</v>
      </c>
      <c r="D145" s="390">
        <f t="shared" ref="D145:F145" si="47">SUM(D143:D144)</f>
        <v>76.14</v>
      </c>
      <c r="E145" s="390">
        <f t="shared" si="47"/>
        <v>76.14</v>
      </c>
      <c r="F145" s="390">
        <f t="shared" si="47"/>
        <v>76.14</v>
      </c>
      <c r="G145" s="390">
        <f>SUM(G143:G144)</f>
        <v>76.14</v>
      </c>
      <c r="H145" s="390">
        <f>SUM(H143:H144)</f>
        <v>76.14</v>
      </c>
      <c r="I145" s="391">
        <f t="shared" si="46"/>
        <v>0</v>
      </c>
    </row>
    <row r="146" spans="2:9" ht="11.25" customHeight="1">
      <c r="B146" s="205"/>
      <c r="C146" s="395" t="s">
        <v>51</v>
      </c>
      <c r="D146" s="390">
        <v>5.79E-2</v>
      </c>
      <c r="E146" s="390">
        <v>5.9700000000000003E-2</v>
      </c>
      <c r="F146" s="390">
        <v>5.9700000000000003E-2</v>
      </c>
      <c r="G146" s="390">
        <f>'Data 1'!S57</f>
        <v>5.9700000000000003E-2</v>
      </c>
      <c r="H146" s="390">
        <f>'Data 1'!S75</f>
        <v>5.9700000000000003E-2</v>
      </c>
      <c r="I146" s="391">
        <f t="shared" si="46"/>
        <v>0</v>
      </c>
    </row>
    <row r="147" spans="2:9" ht="11.25" customHeight="1">
      <c r="B147" s="205"/>
      <c r="C147" s="284" t="s">
        <v>96</v>
      </c>
      <c r="D147" s="390" t="s">
        <v>0</v>
      </c>
      <c r="E147" s="390">
        <v>1.0840000000000001</v>
      </c>
      <c r="F147" s="390">
        <v>1.0840000000000001</v>
      </c>
      <c r="G147" s="390">
        <f>'Data 1'!S61</f>
        <v>1.0840000000000001</v>
      </c>
      <c r="H147" s="390">
        <f>'Data 1'!S79</f>
        <v>1.0840000000000001</v>
      </c>
      <c r="I147" s="391">
        <f t="shared" si="46"/>
        <v>0</v>
      </c>
    </row>
    <row r="148" spans="2:9" ht="11.25" customHeight="1">
      <c r="B148" s="205"/>
      <c r="C148" s="284" t="s">
        <v>97</v>
      </c>
      <c r="D148" s="390" t="s">
        <v>0</v>
      </c>
      <c r="E148" s="390">
        <v>1.0840000000000001</v>
      </c>
      <c r="F148" s="390">
        <v>1.0840000000000001</v>
      </c>
      <c r="G148" s="390">
        <f>'Data 1'!S62</f>
        <v>1.0840000000000001</v>
      </c>
      <c r="H148" s="390">
        <f>'Data 1'!S80</f>
        <v>1.0840000000000001</v>
      </c>
      <c r="I148" s="391">
        <f t="shared" si="46"/>
        <v>0</v>
      </c>
    </row>
    <row r="149" spans="2:9" ht="11.25" customHeight="1">
      <c r="B149" s="205"/>
      <c r="C149" s="284" t="s">
        <v>74</v>
      </c>
      <c r="D149" s="390">
        <v>2.1680000000000001</v>
      </c>
      <c r="E149" s="390" t="s">
        <v>0</v>
      </c>
      <c r="F149" s="390" t="s">
        <v>0</v>
      </c>
      <c r="G149" s="390" t="s">
        <v>0</v>
      </c>
      <c r="H149" s="390" t="s">
        <v>0</v>
      </c>
      <c r="I149" s="390" t="s">
        <v>0</v>
      </c>
    </row>
    <row r="150" spans="2:9" ht="11.25" customHeight="1">
      <c r="B150" s="205"/>
      <c r="C150" s="292" t="s">
        <v>32</v>
      </c>
      <c r="D150" s="294">
        <f>SUM(D145:D149)</f>
        <v>78.365900000000011</v>
      </c>
      <c r="E150" s="294">
        <f t="shared" ref="E150:H150" si="48">SUM(E145:E149)</f>
        <v>78.367700000000013</v>
      </c>
      <c r="F150" s="294">
        <f t="shared" si="48"/>
        <v>78.367700000000013</v>
      </c>
      <c r="G150" s="294">
        <f t="shared" si="48"/>
        <v>78.367700000000013</v>
      </c>
      <c r="H150" s="294">
        <f t="shared" si="48"/>
        <v>78.367700000000013</v>
      </c>
      <c r="I150" s="400">
        <f>((H150/G150)-1)*100</f>
        <v>0</v>
      </c>
    </row>
    <row r="151" spans="2:9" s="515" customFormat="1" ht="11.25" customHeight="1">
      <c r="B151" s="205"/>
      <c r="C151" s="104"/>
      <c r="D151" s="388"/>
      <c r="E151" s="388"/>
      <c r="F151" s="388"/>
      <c r="G151" s="388"/>
      <c r="H151" s="388"/>
      <c r="I151" s="389"/>
    </row>
    <row r="152" spans="2:9" s="515" customFormat="1" ht="11.25" customHeight="1">
      <c r="B152" s="205"/>
      <c r="C152" s="288" t="s">
        <v>428</v>
      </c>
      <c r="D152" s="388"/>
      <c r="E152" s="388"/>
      <c r="F152" s="388"/>
      <c r="G152" s="388"/>
      <c r="H152" s="388"/>
      <c r="I152" s="389"/>
    </row>
    <row r="153" spans="2:9" s="515" customFormat="1" ht="11.25" customHeight="1">
      <c r="B153" s="205"/>
      <c r="C153" s="289"/>
      <c r="D153" s="286">
        <v>2014</v>
      </c>
      <c r="E153" s="286">
        <v>2015</v>
      </c>
      <c r="F153" s="286">
        <v>2016</v>
      </c>
      <c r="G153" s="286">
        <v>2017</v>
      </c>
      <c r="H153" s="286">
        <v>2018</v>
      </c>
      <c r="I153" s="286" t="s">
        <v>320</v>
      </c>
    </row>
    <row r="154" spans="2:9" s="515" customFormat="1" ht="11.25" customHeight="1">
      <c r="B154" s="205"/>
      <c r="C154" s="284" t="s">
        <v>26</v>
      </c>
      <c r="D154" s="287">
        <f>D120</f>
        <v>1.2630000000000001</v>
      </c>
      <c r="E154" s="287">
        <f t="shared" ref="E154:H154" si="49">E120</f>
        <v>2.02</v>
      </c>
      <c r="F154" s="287">
        <f t="shared" si="49"/>
        <v>2.02</v>
      </c>
      <c r="G154" s="287">
        <f t="shared" si="49"/>
        <v>2.02</v>
      </c>
      <c r="H154" s="287">
        <f t="shared" si="49"/>
        <v>2.02</v>
      </c>
      <c r="I154" s="514">
        <f t="shared" ref="I154:I169" si="50">((H154/G154)-1)*100</f>
        <v>0</v>
      </c>
    </row>
    <row r="155" spans="2:9" s="515" customFormat="1" ht="11.25" customHeight="1">
      <c r="B155" s="205"/>
      <c r="C155" s="284" t="s">
        <v>28</v>
      </c>
      <c r="D155" s="287">
        <f>D104</f>
        <v>468.4</v>
      </c>
      <c r="E155" s="287">
        <f t="shared" ref="E155:H155" si="51">E104</f>
        <v>468.4</v>
      </c>
      <c r="F155" s="287">
        <f t="shared" si="51"/>
        <v>468.4</v>
      </c>
      <c r="G155" s="287">
        <f t="shared" si="51"/>
        <v>468.4</v>
      </c>
      <c r="H155" s="287">
        <f t="shared" si="51"/>
        <v>468.4</v>
      </c>
      <c r="I155" s="514">
        <f t="shared" si="50"/>
        <v>0</v>
      </c>
    </row>
    <row r="156" spans="2:9" s="515" customFormat="1" ht="11.25" customHeight="1">
      <c r="B156" s="205"/>
      <c r="C156" s="392" t="s">
        <v>321</v>
      </c>
      <c r="D156" s="393">
        <f>SUM(D105,D121,D136,D143)</f>
        <v>820.08</v>
      </c>
      <c r="E156" s="393">
        <f t="shared" ref="E156:H156" si="52">SUM(E105,E121,E136,E143)</f>
        <v>820.08</v>
      </c>
      <c r="F156" s="393">
        <f t="shared" si="52"/>
        <v>820.08</v>
      </c>
      <c r="G156" s="393">
        <f t="shared" si="52"/>
        <v>820.08</v>
      </c>
      <c r="H156" s="393">
        <f t="shared" si="52"/>
        <v>820.08</v>
      </c>
      <c r="I156" s="394">
        <f t="shared" si="50"/>
        <v>0</v>
      </c>
    </row>
    <row r="157" spans="2:9" s="515" customFormat="1" ht="11.25" customHeight="1">
      <c r="B157" s="205"/>
      <c r="C157" s="392" t="s">
        <v>49</v>
      </c>
      <c r="D157" s="393">
        <f>SUM(D106,D122,D137,D144)</f>
        <v>1187.3599999999999</v>
      </c>
      <c r="E157" s="393">
        <f t="shared" ref="E157:H157" si="53">SUM(E106,E122,E137,E144)</f>
        <v>1187.3399999999999</v>
      </c>
      <c r="F157" s="393">
        <f t="shared" si="53"/>
        <v>1187.3399999999999</v>
      </c>
      <c r="G157" s="393">
        <f t="shared" si="53"/>
        <v>1187.3399999999999</v>
      </c>
      <c r="H157" s="393">
        <f t="shared" si="53"/>
        <v>1187.3399999999999</v>
      </c>
      <c r="I157" s="394">
        <f t="shared" si="50"/>
        <v>0</v>
      </c>
    </row>
    <row r="158" spans="2:9" s="515" customFormat="1" ht="11.25" customHeight="1">
      <c r="B158" s="205"/>
      <c r="C158" s="392" t="s">
        <v>53</v>
      </c>
      <c r="D158" s="393">
        <f>D123</f>
        <v>482.64</v>
      </c>
      <c r="E158" s="393">
        <f t="shared" ref="E158:H158" si="54">E123</f>
        <v>482.64</v>
      </c>
      <c r="F158" s="393">
        <f t="shared" si="54"/>
        <v>482.64</v>
      </c>
      <c r="G158" s="393">
        <f t="shared" si="54"/>
        <v>482.64</v>
      </c>
      <c r="H158" s="393">
        <f t="shared" si="54"/>
        <v>482.64</v>
      </c>
      <c r="I158" s="394">
        <f t="shared" si="50"/>
        <v>0</v>
      </c>
    </row>
    <row r="159" spans="2:9" s="515" customFormat="1" ht="11.25" customHeight="1">
      <c r="B159" s="205"/>
      <c r="C159" s="284" t="s">
        <v>115</v>
      </c>
      <c r="D159" s="287">
        <f>SUM(D156:D158)</f>
        <v>2490.08</v>
      </c>
      <c r="E159" s="287">
        <f t="shared" ref="E159:H159" si="55">SUM(E156:E158)</f>
        <v>2490.06</v>
      </c>
      <c r="F159" s="287">
        <f t="shared" si="55"/>
        <v>2490.06</v>
      </c>
      <c r="G159" s="287">
        <f t="shared" si="55"/>
        <v>2490.06</v>
      </c>
      <c r="H159" s="287">
        <f t="shared" si="55"/>
        <v>2490.06</v>
      </c>
      <c r="I159" s="514">
        <f t="shared" si="50"/>
        <v>0</v>
      </c>
    </row>
    <row r="160" spans="2:9" s="515" customFormat="1" ht="11.25" customHeight="1">
      <c r="B160" s="205"/>
      <c r="C160" s="284" t="s">
        <v>44</v>
      </c>
      <c r="D160" s="287">
        <f>SUM(D108,D125)</f>
        <v>1722.15</v>
      </c>
      <c r="E160" s="287">
        <f t="shared" ref="E160:H160" si="56">SUM(E108,E125)</f>
        <v>1722.15</v>
      </c>
      <c r="F160" s="287">
        <f t="shared" si="56"/>
        <v>1722.15</v>
      </c>
      <c r="G160" s="287">
        <f t="shared" si="56"/>
        <v>1722.15</v>
      </c>
      <c r="H160" s="287">
        <f t="shared" si="56"/>
        <v>1722.15</v>
      </c>
      <c r="I160" s="514">
        <f t="shared" si="50"/>
        <v>0</v>
      </c>
    </row>
    <row r="161" spans="2:9" s="515" customFormat="1" ht="11.25" customHeight="1">
      <c r="B161" s="205"/>
      <c r="C161" s="291" t="s">
        <v>46</v>
      </c>
      <c r="D161" s="287">
        <f>SUM(D109,D126)</f>
        <v>0</v>
      </c>
      <c r="E161" s="287">
        <f t="shared" ref="E161:H161" si="57">SUM(E109,E126)</f>
        <v>0</v>
      </c>
      <c r="F161" s="287">
        <f t="shared" si="57"/>
        <v>0</v>
      </c>
      <c r="G161" s="287">
        <f t="shared" si="57"/>
        <v>0</v>
      </c>
      <c r="H161" s="287">
        <f t="shared" si="57"/>
        <v>0</v>
      </c>
      <c r="I161" s="514" t="s">
        <v>0</v>
      </c>
    </row>
    <row r="162" spans="2:9" s="515" customFormat="1" ht="11.25" customHeight="1">
      <c r="B162" s="205"/>
      <c r="C162" s="284" t="s">
        <v>69</v>
      </c>
      <c r="D162" s="287">
        <f>D127</f>
        <v>11.39</v>
      </c>
      <c r="E162" s="287">
        <f t="shared" ref="E162:H162" si="58">E127</f>
        <v>11.39</v>
      </c>
      <c r="F162" s="287">
        <f t="shared" si="58"/>
        <v>11.39</v>
      </c>
      <c r="G162" s="287">
        <f t="shared" si="58"/>
        <v>11.39</v>
      </c>
      <c r="H162" s="287">
        <f t="shared" si="58"/>
        <v>11.39</v>
      </c>
      <c r="I162" s="514">
        <f t="shared" si="50"/>
        <v>0</v>
      </c>
    </row>
    <row r="163" spans="2:9" s="515" customFormat="1" ht="11.25" customHeight="1">
      <c r="B163" s="205"/>
      <c r="C163" s="284" t="s">
        <v>50</v>
      </c>
      <c r="D163" s="287">
        <f>SUM(D110,D128)</f>
        <v>156.2663</v>
      </c>
      <c r="E163" s="287">
        <f t="shared" ref="E163:H163" si="59">SUM(E110,E128)</f>
        <v>155.70249999999996</v>
      </c>
      <c r="F163" s="287">
        <f t="shared" si="59"/>
        <v>155.70249999999996</v>
      </c>
      <c r="G163" s="287">
        <f t="shared" si="59"/>
        <v>210.54749999999993</v>
      </c>
      <c r="H163" s="287">
        <f t="shared" si="59"/>
        <v>425.35249999999996</v>
      </c>
      <c r="I163" s="514">
        <f t="shared" si="50"/>
        <v>102.02210902527939</v>
      </c>
    </row>
    <row r="164" spans="2:9" s="515" customFormat="1" ht="11.25" customHeight="1">
      <c r="B164" s="205"/>
      <c r="C164" s="284" t="s">
        <v>51</v>
      </c>
      <c r="D164" s="287">
        <f>SUM(D111,D129,D146)</f>
        <v>243.0350099999979</v>
      </c>
      <c r="E164" s="287">
        <f t="shared" ref="E164:H164" si="60">SUM(E111,E129,E146)</f>
        <v>246.15282999999826</v>
      </c>
      <c r="F164" s="287">
        <f t="shared" si="60"/>
        <v>246.81558499999824</v>
      </c>
      <c r="G164" s="287">
        <f t="shared" si="60"/>
        <v>247.46335499999947</v>
      </c>
      <c r="H164" s="287">
        <f t="shared" si="60"/>
        <v>247.61031499999947</v>
      </c>
      <c r="I164" s="514">
        <f t="shared" si="50"/>
        <v>5.9386570589414767E-2</v>
      </c>
    </row>
    <row r="165" spans="2:9" s="515" customFormat="1" ht="11.25" customHeight="1">
      <c r="B165" s="205"/>
      <c r="C165" s="284" t="s">
        <v>76</v>
      </c>
      <c r="D165" s="287">
        <f>SUM(D112,D130)</f>
        <v>5.4979999999999993</v>
      </c>
      <c r="E165" s="287">
        <f t="shared" ref="E165:H165" si="61">SUM(E112,E130)</f>
        <v>5.8260000000000005</v>
      </c>
      <c r="F165" s="287">
        <f t="shared" si="61"/>
        <v>5.8260000000000005</v>
      </c>
      <c r="G165" s="287">
        <f t="shared" si="61"/>
        <v>5.8260000000000005</v>
      </c>
      <c r="H165" s="287">
        <f t="shared" si="61"/>
        <v>5.8260000000000005</v>
      </c>
      <c r="I165" s="514">
        <f t="shared" si="50"/>
        <v>0</v>
      </c>
    </row>
    <row r="166" spans="2:9" s="515" customFormat="1" ht="11.25" customHeight="1">
      <c r="B166" s="205"/>
      <c r="C166" s="284" t="s">
        <v>74</v>
      </c>
      <c r="D166" s="287">
        <f>SUM(D113,D131,D149)</f>
        <v>121.06100000000001</v>
      </c>
      <c r="E166" s="287">
        <f t="shared" ref="E166:H166" si="62">SUM(E113,E131,E149)</f>
        <v>10.487000000000002</v>
      </c>
      <c r="F166" s="287">
        <f t="shared" si="62"/>
        <v>10.487000000000002</v>
      </c>
      <c r="G166" s="287">
        <f t="shared" si="62"/>
        <v>10.486999999999998</v>
      </c>
      <c r="H166" s="287">
        <f t="shared" si="62"/>
        <v>10.486999999999998</v>
      </c>
      <c r="I166" s="514">
        <f t="shared" si="50"/>
        <v>0</v>
      </c>
    </row>
    <row r="167" spans="2:9" s="515" customFormat="1" ht="11.25" customHeight="1">
      <c r="B167" s="205"/>
      <c r="C167" s="284" t="s">
        <v>96</v>
      </c>
      <c r="D167" s="287">
        <f>SUM(D114,D148)</f>
        <v>0</v>
      </c>
      <c r="E167" s="287">
        <f t="shared" ref="E167:H167" si="63">SUM(E114,E148)</f>
        <v>38.484000000000009</v>
      </c>
      <c r="F167" s="287">
        <f t="shared" si="63"/>
        <v>38.484000000000009</v>
      </c>
      <c r="G167" s="287">
        <f t="shared" si="63"/>
        <v>38.484000000000009</v>
      </c>
      <c r="H167" s="287">
        <f t="shared" si="63"/>
        <v>38.484000000000009</v>
      </c>
      <c r="I167" s="514">
        <f t="shared" si="50"/>
        <v>0</v>
      </c>
    </row>
    <row r="168" spans="2:9" s="515" customFormat="1" ht="11.25" customHeight="1">
      <c r="B168" s="205"/>
      <c r="C168" s="284" t="s">
        <v>97</v>
      </c>
      <c r="D168" s="287">
        <f>SUM(D115,D148)</f>
        <v>0</v>
      </c>
      <c r="E168" s="287">
        <f t="shared" ref="E168:H168" si="64">SUM(E115,E148)</f>
        <v>38.484000000000009</v>
      </c>
      <c r="F168" s="287">
        <f t="shared" si="64"/>
        <v>38.484000000000009</v>
      </c>
      <c r="G168" s="287">
        <f t="shared" si="64"/>
        <v>38.484000000000009</v>
      </c>
      <c r="H168" s="287">
        <f t="shared" si="64"/>
        <v>38.484000000000009</v>
      </c>
      <c r="I168" s="514">
        <f t="shared" si="50"/>
        <v>0</v>
      </c>
    </row>
    <row r="169" spans="2:9" s="515" customFormat="1" ht="11.25" customHeight="1">
      <c r="B169" s="205"/>
      <c r="C169" s="292" t="s">
        <v>32</v>
      </c>
      <c r="D169" s="294">
        <f>SUM(D154:D155,D159:D168)</f>
        <v>5219.1433099999977</v>
      </c>
      <c r="E169" s="294">
        <f t="shared" ref="E169:H169" si="65">SUM(E154:E155,E159:E168)</f>
        <v>5189.1563299999998</v>
      </c>
      <c r="F169" s="294">
        <f t="shared" si="65"/>
        <v>5189.8190850000001</v>
      </c>
      <c r="G169" s="294">
        <f t="shared" si="65"/>
        <v>5245.3118550000008</v>
      </c>
      <c r="H169" s="294">
        <f t="shared" si="65"/>
        <v>5460.2638150000012</v>
      </c>
      <c r="I169" s="400">
        <f t="shared" si="50"/>
        <v>4.0979824639997497</v>
      </c>
    </row>
    <row r="170" spans="2:9" s="515" customFormat="1" ht="11.25" customHeight="1">
      <c r="B170" s="205"/>
      <c r="C170" s="104"/>
      <c r="D170" s="388"/>
      <c r="E170" s="388"/>
      <c r="F170" s="388"/>
      <c r="G170" s="388"/>
      <c r="H170" s="388"/>
      <c r="I170" s="389"/>
    </row>
    <row r="171" spans="2:9" ht="11.25" customHeight="1">
      <c r="B171" s="73"/>
      <c r="C171" s="217" t="s">
        <v>326</v>
      </c>
      <c r="D171" s="73"/>
      <c r="E171" s="73"/>
    </row>
    <row r="172" spans="2:9" ht="11.25" customHeight="1">
      <c r="B172" s="73"/>
      <c r="C172" s="215"/>
      <c r="D172" s="216" t="s">
        <v>48</v>
      </c>
      <c r="E172" s="216" t="s">
        <v>78</v>
      </c>
    </row>
    <row r="173" spans="2:9" ht="11.25" customHeight="1">
      <c r="B173" s="89">
        <v>2014</v>
      </c>
      <c r="C173" s="210" t="s">
        <v>17</v>
      </c>
      <c r="D173" s="218">
        <v>-2.7678044553192671</v>
      </c>
      <c r="E173" s="218">
        <v>-1.9877928597922923</v>
      </c>
    </row>
    <row r="174" spans="2:9" ht="11.25" customHeight="1">
      <c r="B174" s="89"/>
      <c r="C174" s="210" t="s">
        <v>18</v>
      </c>
      <c r="D174" s="218">
        <v>-2.0567373359304808</v>
      </c>
      <c r="E174" s="218">
        <v>-1.5379430571486941</v>
      </c>
    </row>
    <row r="175" spans="2:9" ht="11.25" customHeight="1">
      <c r="B175" s="89"/>
      <c r="C175" s="210" t="s">
        <v>19</v>
      </c>
      <c r="D175" s="218">
        <v>-2.0426861683590536</v>
      </c>
      <c r="E175" s="218">
        <v>-1.6845754523786782</v>
      </c>
    </row>
    <row r="176" spans="2:9" ht="11.25" customHeight="1">
      <c r="B176" s="89"/>
      <c r="C176" s="210" t="s">
        <v>20</v>
      </c>
      <c r="D176" s="218">
        <v>-2.1125720512109258</v>
      </c>
      <c r="E176" s="218">
        <v>-1.6914465113078259</v>
      </c>
    </row>
    <row r="177" spans="2:5" ht="11.25" customHeight="1">
      <c r="B177" s="89"/>
      <c r="C177" s="210" t="s">
        <v>19</v>
      </c>
      <c r="D177" s="218">
        <v>-2.0482552623004135</v>
      </c>
      <c r="E177" s="218">
        <v>-1.5490156457765747</v>
      </c>
    </row>
    <row r="178" spans="2:5" ht="11.25" customHeight="1">
      <c r="B178" s="89"/>
      <c r="C178" s="210" t="s">
        <v>21</v>
      </c>
      <c r="D178" s="218">
        <v>-0.60095543434753873</v>
      </c>
      <c r="E178" s="218">
        <v>-1.0318833561478447</v>
      </c>
    </row>
    <row r="179" spans="2:5" ht="11.25" customHeight="1">
      <c r="B179" s="89"/>
      <c r="C179" s="210" t="s">
        <v>21</v>
      </c>
      <c r="D179" s="218">
        <v>-1.1393834328670249</v>
      </c>
      <c r="E179" s="218">
        <v>-1.8197384051003129</v>
      </c>
    </row>
    <row r="180" spans="2:5" ht="11.25" customHeight="1">
      <c r="B180" s="89"/>
      <c r="C180" s="210" t="s">
        <v>20</v>
      </c>
      <c r="D180" s="218">
        <v>-0.44739471876715786</v>
      </c>
      <c r="E180" s="218">
        <v>-1.6720458926473891</v>
      </c>
    </row>
    <row r="181" spans="2:5" ht="11.25" customHeight="1">
      <c r="B181" s="480"/>
      <c r="C181" s="210" t="s">
        <v>22</v>
      </c>
      <c r="D181" s="218">
        <v>0.57596744236949604</v>
      </c>
      <c r="E181" s="218">
        <v>-1.0811476991326008</v>
      </c>
    </row>
    <row r="182" spans="2:5" ht="11.25" customHeight="1">
      <c r="B182" s="89"/>
      <c r="C182" s="210" t="s">
        <v>23</v>
      </c>
      <c r="D182" s="218">
        <v>0.20790645374884065</v>
      </c>
      <c r="E182" s="218">
        <v>-1.3570224478673953</v>
      </c>
    </row>
    <row r="183" spans="2:5" ht="11.25" customHeight="1">
      <c r="B183" s="89"/>
      <c r="C183" s="210" t="s">
        <v>24</v>
      </c>
      <c r="D183" s="218">
        <v>-0.94332039050143424</v>
      </c>
      <c r="E183" s="218">
        <v>-1.7949560648286567</v>
      </c>
    </row>
    <row r="184" spans="2:5" ht="11.25" customHeight="1">
      <c r="B184" s="89"/>
      <c r="C184" s="210" t="s">
        <v>25</v>
      </c>
      <c r="D184" s="218">
        <v>-1.5775032119824006</v>
      </c>
      <c r="E184" s="218">
        <v>-2.0027512730451891</v>
      </c>
    </row>
    <row r="185" spans="2:5" ht="11.25" customHeight="1">
      <c r="B185" s="89">
        <v>2015</v>
      </c>
      <c r="C185" s="210" t="s">
        <v>17</v>
      </c>
      <c r="D185" s="218">
        <v>-0.76905152031162549</v>
      </c>
      <c r="E185" s="218">
        <v>-1.3708716573239799</v>
      </c>
    </row>
    <row r="186" spans="2:5" ht="11.25" customHeight="1">
      <c r="B186" s="89"/>
      <c r="C186" s="210" t="s">
        <v>18</v>
      </c>
      <c r="D186" s="218">
        <v>0.77184455623355852</v>
      </c>
      <c r="E186" s="218">
        <v>-0.71414629242013694</v>
      </c>
    </row>
    <row r="187" spans="2:5" ht="11.25" customHeight="1">
      <c r="B187" s="89"/>
      <c r="C187" s="210" t="s">
        <v>19</v>
      </c>
      <c r="D187" s="218">
        <v>1.3769815796842888</v>
      </c>
      <c r="E187" s="218">
        <v>-0.25064654445208223</v>
      </c>
    </row>
    <row r="188" spans="2:5" ht="11.25" customHeight="1">
      <c r="B188" s="89"/>
      <c r="C188" s="210" t="s">
        <v>20</v>
      </c>
      <c r="D188" s="218">
        <v>1.6605539713850481</v>
      </c>
      <c r="E188" s="218">
        <v>-5.6250521041933954E-2</v>
      </c>
    </row>
    <row r="189" spans="2:5" ht="11.25" customHeight="1">
      <c r="B189" s="89"/>
      <c r="C189" s="210" t="s">
        <v>19</v>
      </c>
      <c r="D189" s="218">
        <v>1.9853383277772751</v>
      </c>
      <c r="E189" s="218">
        <v>-1.0670959675662672E-3</v>
      </c>
    </row>
    <row r="190" spans="2:5" ht="11.25" customHeight="1">
      <c r="B190" s="89"/>
      <c r="C190" s="210" t="s">
        <v>21</v>
      </c>
      <c r="D190" s="218">
        <v>1.7365567169467022</v>
      </c>
      <c r="E190" s="218">
        <v>6.995665749687241E-2</v>
      </c>
    </row>
    <row r="191" spans="2:5" ht="11.25" customHeight="1">
      <c r="B191" s="89"/>
      <c r="C191" s="210" t="s">
        <v>21</v>
      </c>
      <c r="D191" s="218">
        <v>3.8436579463451359</v>
      </c>
      <c r="E191" s="218">
        <v>1.6303550805056632</v>
      </c>
    </row>
    <row r="192" spans="2:5" ht="11.25" customHeight="1">
      <c r="B192" s="89"/>
      <c r="C192" s="210" t="s">
        <v>20</v>
      </c>
      <c r="D192" s="218">
        <v>4.429505674012546</v>
      </c>
      <c r="E192" s="218">
        <v>2.2186718429588526</v>
      </c>
    </row>
    <row r="193" spans="2:5" ht="11.25" customHeight="1">
      <c r="B193" s="89"/>
      <c r="C193" s="210" t="s">
        <v>22</v>
      </c>
      <c r="D193" s="218">
        <v>2.5579716960821397</v>
      </c>
      <c r="E193" s="218">
        <v>1.0330591316036086</v>
      </c>
    </row>
    <row r="194" spans="2:5" ht="11.25" customHeight="1">
      <c r="B194" s="89"/>
      <c r="C194" s="210" t="s">
        <v>23</v>
      </c>
      <c r="D194" s="218">
        <v>2.556139650053102</v>
      </c>
      <c r="E194" s="218">
        <v>1.479852178677965</v>
      </c>
    </row>
    <row r="195" spans="2:5" ht="11.25" customHeight="1">
      <c r="B195" s="89"/>
      <c r="C195" s="210" t="s">
        <v>24</v>
      </c>
      <c r="D195" s="218">
        <v>3.5441113398472446</v>
      </c>
      <c r="E195" s="218">
        <v>1.9548362884066917</v>
      </c>
    </row>
    <row r="196" spans="2:5" ht="11.25" customHeight="1">
      <c r="B196" s="89"/>
      <c r="C196" s="210" t="s">
        <v>25</v>
      </c>
      <c r="D196" s="218">
        <v>3.7739580046013632</v>
      </c>
      <c r="E196" s="218">
        <v>2.6606491598777815</v>
      </c>
    </row>
    <row r="197" spans="2:5" ht="11.25" customHeight="1">
      <c r="B197" s="89">
        <v>2016</v>
      </c>
      <c r="C197" s="210" t="s">
        <v>17</v>
      </c>
      <c r="D197" s="218">
        <v>2.5792162036990751</v>
      </c>
      <c r="E197" s="218">
        <v>2.1693406457583331</v>
      </c>
    </row>
    <row r="198" spans="2:5" ht="11.25" customHeight="1">
      <c r="B198" s="89"/>
      <c r="C198" s="210" t="s">
        <v>18</v>
      </c>
      <c r="D198" s="218">
        <v>1.1914378864707809</v>
      </c>
      <c r="E198" s="218">
        <v>1.7914521349756907</v>
      </c>
    </row>
    <row r="199" spans="2:5" ht="11.25" customHeight="1">
      <c r="B199" s="89"/>
      <c r="C199" s="210" t="s">
        <v>19</v>
      </c>
      <c r="D199" s="218">
        <v>0.95305602482445018</v>
      </c>
      <c r="E199" s="218">
        <v>1.9083504425527531</v>
      </c>
    </row>
    <row r="200" spans="2:5" ht="11.25" customHeight="1">
      <c r="B200" s="89"/>
      <c r="C200" s="210" t="s">
        <v>20</v>
      </c>
      <c r="D200" s="218">
        <v>1.1150225654303236</v>
      </c>
      <c r="E200" s="218">
        <v>1.9524374706652914</v>
      </c>
    </row>
    <row r="201" spans="2:5" ht="11.25" customHeight="1">
      <c r="B201" s="89"/>
      <c r="C201" s="210" t="s">
        <v>19</v>
      </c>
      <c r="D201" s="218">
        <v>1.2519054615300673</v>
      </c>
      <c r="E201" s="218">
        <v>2.5040493881214543</v>
      </c>
    </row>
    <row r="202" spans="2:5" ht="11.25" customHeight="1">
      <c r="B202" s="89"/>
      <c r="C202" s="210" t="s">
        <v>21</v>
      </c>
      <c r="D202" s="218">
        <v>1.1664258383201176</v>
      </c>
      <c r="E202" s="218">
        <v>2.717104974562834</v>
      </c>
    </row>
    <row r="203" spans="2:5" ht="11.25" customHeight="1">
      <c r="B203" s="89"/>
      <c r="C203" s="210" t="s">
        <v>21</v>
      </c>
      <c r="D203" s="218">
        <v>-1.4248702092289012</v>
      </c>
      <c r="E203" s="218">
        <v>1.171300608586634</v>
      </c>
    </row>
    <row r="204" spans="2:5" ht="11.25" customHeight="1">
      <c r="B204" s="89"/>
      <c r="C204" s="210" t="s">
        <v>20</v>
      </c>
      <c r="D204" s="218">
        <v>-2.0029804641334414</v>
      </c>
      <c r="E204" s="218">
        <v>0.89301749654175921</v>
      </c>
    </row>
    <row r="205" spans="2:5" ht="11.25" customHeight="1">
      <c r="B205" s="89"/>
      <c r="C205" s="210" t="s">
        <v>22</v>
      </c>
      <c r="D205" s="218">
        <v>-0.4374080067517272</v>
      </c>
      <c r="E205" s="218">
        <v>2.2034552995042755</v>
      </c>
    </row>
    <row r="206" spans="2:5" ht="11.25" customHeight="1">
      <c r="B206" s="89"/>
      <c r="C206" s="210" t="s">
        <v>23</v>
      </c>
      <c r="D206" s="218">
        <v>0.22281736298095378</v>
      </c>
      <c r="E206" s="218">
        <v>2.5177102737833357</v>
      </c>
    </row>
    <row r="207" spans="2:5" ht="11.25" customHeight="1">
      <c r="B207" s="89"/>
      <c r="C207" s="210" t="s">
        <v>24</v>
      </c>
      <c r="D207" s="218">
        <v>0.25976332430539539</v>
      </c>
      <c r="E207" s="218">
        <v>2.622617795911375</v>
      </c>
    </row>
    <row r="208" spans="2:5" ht="11.25" customHeight="1">
      <c r="B208" s="89"/>
      <c r="C208" s="210" t="s">
        <v>25</v>
      </c>
      <c r="D208" s="218">
        <v>0.60853033473056151</v>
      </c>
      <c r="E208" s="218">
        <v>2.0674102278299467</v>
      </c>
    </row>
    <row r="209" spans="2:5" ht="11.25" customHeight="1">
      <c r="B209" s="89">
        <v>2017</v>
      </c>
      <c r="C209" s="210" t="s">
        <v>17</v>
      </c>
      <c r="D209" s="218">
        <v>2.4909320407970004</v>
      </c>
      <c r="E209" s="218">
        <v>2.7766719820308428</v>
      </c>
    </row>
    <row r="210" spans="2:5" ht="11.25" customHeight="1">
      <c r="B210" s="89"/>
      <c r="C210" s="210" t="s">
        <v>18</v>
      </c>
      <c r="D210" s="218">
        <v>2.878629655762488</v>
      </c>
      <c r="E210" s="218">
        <v>2.7403404352586591</v>
      </c>
    </row>
    <row r="211" spans="2:5" ht="11.25" customHeight="1">
      <c r="B211" s="89"/>
      <c r="C211" s="210" t="s">
        <v>19</v>
      </c>
      <c r="D211" s="218">
        <v>1.9919037972097486</v>
      </c>
      <c r="E211" s="218">
        <v>1.7841094935681756</v>
      </c>
    </row>
    <row r="212" spans="2:5" ht="11.25" customHeight="1">
      <c r="B212" s="89"/>
      <c r="C212" s="210" t="s">
        <v>20</v>
      </c>
      <c r="D212" s="218">
        <v>1.7292350167882109</v>
      </c>
      <c r="E212" s="218">
        <v>1.7588019628439699</v>
      </c>
    </row>
    <row r="213" spans="2:5" ht="11.25" customHeight="1">
      <c r="B213" s="89"/>
      <c r="C213" s="210" t="s">
        <v>19</v>
      </c>
      <c r="D213" s="218">
        <v>1.5432252763127208</v>
      </c>
      <c r="E213" s="218">
        <v>1.1765127372048934</v>
      </c>
    </row>
    <row r="214" spans="2:5" ht="11.25" customHeight="1">
      <c r="B214" s="89"/>
      <c r="C214" s="210" t="s">
        <v>21</v>
      </c>
      <c r="D214" s="218">
        <v>2.1371466444674692</v>
      </c>
      <c r="E214" s="218">
        <v>1.3492696718094166</v>
      </c>
    </row>
    <row r="215" spans="2:5" ht="11.25" customHeight="1">
      <c r="B215" s="89"/>
      <c r="C215" s="210" t="s">
        <v>21</v>
      </c>
      <c r="D215" s="218">
        <v>3.7022427815062819</v>
      </c>
      <c r="E215" s="218">
        <v>2.3783462923388399</v>
      </c>
    </row>
    <row r="216" spans="2:5" ht="11.25" customHeight="1">
      <c r="B216" s="89"/>
      <c r="C216" s="210" t="s">
        <v>20</v>
      </c>
      <c r="D216" s="218">
        <v>4.7843256248543131</v>
      </c>
      <c r="E216" s="218">
        <v>2.8526758539400232</v>
      </c>
    </row>
    <row r="217" spans="2:5" ht="11.25" customHeight="1">
      <c r="B217" s="89"/>
      <c r="C217" s="210" t="s">
        <v>22</v>
      </c>
      <c r="D217" s="218">
        <v>3.3864144657328454</v>
      </c>
      <c r="E217" s="218">
        <v>1.995916650915186</v>
      </c>
    </row>
    <row r="218" spans="2:5" ht="11.25" customHeight="1">
      <c r="B218" s="89"/>
      <c r="C218" s="210" t="s">
        <v>23</v>
      </c>
      <c r="D218" s="218">
        <v>2.7906249815841777</v>
      </c>
      <c r="E218" s="218">
        <v>1.6571465004429076</v>
      </c>
    </row>
    <row r="219" spans="2:5" ht="11.25" customHeight="1">
      <c r="B219" s="89"/>
      <c r="C219" s="210" t="s">
        <v>24</v>
      </c>
      <c r="D219" s="218">
        <v>2.8288905023256206</v>
      </c>
      <c r="E219" s="218">
        <v>1.7070674110775563</v>
      </c>
    </row>
    <row r="220" spans="2:5" ht="11.25" customHeight="1">
      <c r="B220" s="89"/>
      <c r="C220" s="210" t="s">
        <v>25</v>
      </c>
      <c r="D220" s="218">
        <v>3.3182036318789576</v>
      </c>
      <c r="E220" s="218">
        <v>2.4261755140702723</v>
      </c>
    </row>
    <row r="221" spans="2:5" ht="11.25" customHeight="1">
      <c r="B221" s="89">
        <v>2018</v>
      </c>
      <c r="C221" s="210" t="s">
        <v>17</v>
      </c>
      <c r="D221" s="218">
        <v>1.4413415990873535</v>
      </c>
      <c r="E221" s="218">
        <v>1.6468567926183786</v>
      </c>
    </row>
    <row r="222" spans="2:5" ht="11.25" customHeight="1">
      <c r="B222" s="480"/>
      <c r="C222" s="210" t="s">
        <v>18</v>
      </c>
      <c r="D222" s="218">
        <v>2.6289274298229692</v>
      </c>
      <c r="E222" s="218">
        <v>1.753865209793859</v>
      </c>
    </row>
    <row r="223" spans="2:5" ht="11.25" customHeight="1">
      <c r="B223" s="480"/>
      <c r="C223" s="210" t="s">
        <v>19</v>
      </c>
      <c r="D223" s="218">
        <v>4.2330429477813958</v>
      </c>
      <c r="E223" s="218">
        <v>2.6909000591015753</v>
      </c>
    </row>
    <row r="224" spans="2:5" ht="11.25" customHeight="1">
      <c r="B224" s="480"/>
      <c r="C224" s="210" t="s">
        <v>20</v>
      </c>
      <c r="D224" s="218">
        <v>4.3932178475195816</v>
      </c>
      <c r="E224" s="218">
        <v>2.434686492721716</v>
      </c>
    </row>
    <row r="225" spans="1:5" ht="11.25" customHeight="1">
      <c r="B225" s="480"/>
      <c r="C225" s="210" t="s">
        <v>19</v>
      </c>
      <c r="D225" s="218">
        <v>4.0871698317812344</v>
      </c>
      <c r="E225" s="218">
        <v>2.3962866121397974</v>
      </c>
    </row>
    <row r="226" spans="1:5" ht="11.25" customHeight="1">
      <c r="B226" s="480"/>
      <c r="C226" s="210" t="s">
        <v>21</v>
      </c>
      <c r="D226" s="218">
        <v>2.5362767809007369</v>
      </c>
      <c r="E226" s="218">
        <v>1.3856636828948998</v>
      </c>
    </row>
    <row r="227" spans="1:5" ht="11.25" customHeight="1">
      <c r="B227" s="89"/>
      <c r="C227" s="210" t="s">
        <v>21</v>
      </c>
      <c r="D227" s="218">
        <v>2.0579460812780725</v>
      </c>
      <c r="E227" s="218">
        <v>0.84822023819894898</v>
      </c>
    </row>
    <row r="228" spans="1:5" ht="11.25" customHeight="1">
      <c r="B228" s="89"/>
      <c r="C228" s="210" t="s">
        <v>20</v>
      </c>
      <c r="D228" s="218">
        <v>1.0532016207734474</v>
      </c>
      <c r="E228" s="218">
        <v>0.50386502609942596</v>
      </c>
    </row>
    <row r="229" spans="1:5" ht="11.25" customHeight="1">
      <c r="B229" s="89"/>
      <c r="C229" s="210" t="s">
        <v>22</v>
      </c>
      <c r="D229" s="218">
        <v>2.2939579649811748</v>
      </c>
      <c r="E229" s="218">
        <v>1.264541461889368</v>
      </c>
    </row>
    <row r="230" spans="1:5" ht="11.25" customHeight="1">
      <c r="B230" s="89"/>
      <c r="C230" s="210" t="s">
        <v>23</v>
      </c>
      <c r="D230" s="218">
        <v>2.3461634607837567</v>
      </c>
      <c r="E230" s="218">
        <v>1.1682334683255302</v>
      </c>
    </row>
    <row r="231" spans="1:5" ht="11.25" customHeight="1">
      <c r="B231" s="89"/>
      <c r="C231" s="210" t="s">
        <v>24</v>
      </c>
      <c r="D231" s="218">
        <v>1.9029477275922746</v>
      </c>
      <c r="E231" s="218">
        <v>0.80545169735648514</v>
      </c>
    </row>
    <row r="232" spans="1:5" ht="11.25" customHeight="1">
      <c r="B232" s="89"/>
      <c r="C232" s="212" t="s">
        <v>25</v>
      </c>
      <c r="D232" s="219">
        <v>0.59562383825699783</v>
      </c>
      <c r="E232" s="219">
        <v>0.22327882818879985</v>
      </c>
    </row>
    <row r="233" spans="1:5" ht="11.25" customHeight="1">
      <c r="B233" s="73"/>
    </row>
    <row r="234" spans="1:5" ht="11.25" customHeight="1">
      <c r="B234" s="73"/>
      <c r="C234" s="217" t="s">
        <v>327</v>
      </c>
      <c r="D234" s="73"/>
      <c r="E234" s="73"/>
    </row>
    <row r="235" spans="1:5" ht="11.25" customHeight="1">
      <c r="B235" s="73"/>
      <c r="C235" s="215"/>
      <c r="D235" s="216" t="s">
        <v>48</v>
      </c>
      <c r="E235" s="216" t="s">
        <v>78</v>
      </c>
    </row>
    <row r="236" spans="1:5" ht="11.25" customHeight="1">
      <c r="A236" s="479"/>
      <c r="B236" s="89">
        <v>2014</v>
      </c>
      <c r="C236" s="210" t="s">
        <v>17</v>
      </c>
      <c r="D236" s="218">
        <v>-4.125593584379283</v>
      </c>
      <c r="E236" s="218">
        <v>-3.8688781314440979</v>
      </c>
    </row>
    <row r="237" spans="1:5" ht="11.25" customHeight="1">
      <c r="A237" s="479"/>
      <c r="B237" s="89"/>
      <c r="C237" s="210" t="s">
        <v>18</v>
      </c>
      <c r="D237" s="218">
        <v>-3.6417026058097934</v>
      </c>
      <c r="E237" s="218">
        <v>-3.442022254507604</v>
      </c>
    </row>
    <row r="238" spans="1:5" ht="11.25" customHeight="1">
      <c r="A238" s="479"/>
      <c r="B238" s="89"/>
      <c r="C238" s="210" t="s">
        <v>19</v>
      </c>
      <c r="D238" s="218">
        <v>-3.342748696436959</v>
      </c>
      <c r="E238" s="218">
        <v>-3.2923835535842105</v>
      </c>
    </row>
    <row r="239" spans="1:5" ht="11.25" customHeight="1">
      <c r="A239" s="479"/>
      <c r="B239" s="89"/>
      <c r="C239" s="210" t="s">
        <v>20</v>
      </c>
      <c r="D239" s="218">
        <v>-3.6715674957040978</v>
      </c>
      <c r="E239" s="218">
        <v>-3.3220574240868439</v>
      </c>
    </row>
    <row r="240" spans="1:5" ht="11.25" customHeight="1">
      <c r="A240" s="479"/>
      <c r="B240" s="89"/>
      <c r="C240" s="210" t="s">
        <v>19</v>
      </c>
      <c r="D240" s="218">
        <v>-3.5408536439197724</v>
      </c>
      <c r="E240" s="218">
        <v>-3.2199388844695753</v>
      </c>
    </row>
    <row r="241" spans="1:5" ht="11.25" customHeight="1">
      <c r="A241" s="479"/>
      <c r="B241" s="89"/>
      <c r="C241" s="210" t="s">
        <v>21</v>
      </c>
      <c r="D241" s="218">
        <v>-3.0232547199024684</v>
      </c>
      <c r="E241" s="218">
        <v>-2.8092950277677331</v>
      </c>
    </row>
    <row r="242" spans="1:5" ht="11.25" customHeight="1">
      <c r="A242" s="479"/>
      <c r="B242" s="89"/>
      <c r="C242" s="210" t="s">
        <v>21</v>
      </c>
      <c r="D242" s="218">
        <v>-2.9911437656253814</v>
      </c>
      <c r="E242" s="218">
        <v>-2.4992818008724771</v>
      </c>
    </row>
    <row r="243" spans="1:5" ht="11.25" customHeight="1">
      <c r="A243" s="479"/>
      <c r="B243" s="89"/>
      <c r="C243" s="210" t="s">
        <v>20</v>
      </c>
      <c r="D243" s="218">
        <v>-2.9489885015762995</v>
      </c>
      <c r="E243" s="218">
        <v>-2.0804822016042168</v>
      </c>
    </row>
    <row r="244" spans="1:5" ht="11.25" customHeight="1">
      <c r="A244" s="479"/>
      <c r="B244" s="480"/>
      <c r="C244" s="210" t="s">
        <v>22</v>
      </c>
      <c r="D244" s="218">
        <v>-2.1763031257299614</v>
      </c>
      <c r="E244" s="218">
        <v>-1.1350814671771681</v>
      </c>
    </row>
    <row r="245" spans="1:5" ht="11.25" customHeight="1">
      <c r="A245" s="479"/>
      <c r="B245" s="89"/>
      <c r="C245" s="210" t="s">
        <v>23</v>
      </c>
      <c r="D245" s="218">
        <v>-2.0520903887826236</v>
      </c>
      <c r="E245" s="218">
        <v>-0.85527119438141286</v>
      </c>
    </row>
    <row r="246" spans="1:5" ht="11.25" customHeight="1">
      <c r="A246" s="479"/>
      <c r="B246" s="89"/>
      <c r="C246" s="210" t="s">
        <v>24</v>
      </c>
      <c r="D246" s="218">
        <v>-1.263665907506617</v>
      </c>
      <c r="E246" s="218">
        <v>-5.8486555589021272E-2</v>
      </c>
    </row>
    <row r="247" spans="1:5" ht="11.25" customHeight="1">
      <c r="A247" s="479"/>
      <c r="B247" s="89"/>
      <c r="C247" s="210" t="s">
        <v>25</v>
      </c>
      <c r="D247" s="218">
        <v>-0.13168015884177375</v>
      </c>
      <c r="E247" s="218">
        <v>1.0003216661532255</v>
      </c>
    </row>
    <row r="248" spans="1:5" ht="11.25" customHeight="1">
      <c r="A248" s="479"/>
      <c r="B248" s="89">
        <v>2015</v>
      </c>
      <c r="C248" s="210" t="s">
        <v>17</v>
      </c>
      <c r="D248" s="218">
        <v>7.5574374818332402E-2</v>
      </c>
      <c r="E248" s="218">
        <v>1.2038096100722373</v>
      </c>
    </row>
    <row r="249" spans="1:5" ht="11.25" customHeight="1">
      <c r="A249" s="479"/>
      <c r="B249" s="89"/>
      <c r="C249" s="210" t="s">
        <v>18</v>
      </c>
      <c r="D249" s="218">
        <v>0.14642843888181822</v>
      </c>
      <c r="E249" s="218">
        <v>1.3320447844927918</v>
      </c>
    </row>
    <row r="250" spans="1:5" ht="11.25" customHeight="1">
      <c r="A250" s="479"/>
      <c r="B250" s="89"/>
      <c r="C250" s="210" t="s">
        <v>19</v>
      </c>
      <c r="D250" s="218">
        <v>0.28925066079532602</v>
      </c>
      <c r="E250" s="218">
        <v>1.4633939618104774</v>
      </c>
    </row>
    <row r="251" spans="1:5" ht="11.25" customHeight="1">
      <c r="A251" s="479"/>
      <c r="B251" s="89"/>
      <c r="C251" s="210" t="s">
        <v>20</v>
      </c>
      <c r="D251" s="218">
        <v>0.52558072809270051</v>
      </c>
      <c r="E251" s="218">
        <v>1.5383684865416969</v>
      </c>
    </row>
    <row r="252" spans="1:5" ht="11.25" customHeight="1">
      <c r="A252" s="479"/>
      <c r="B252" s="89"/>
      <c r="C252" s="210" t="s">
        <v>19</v>
      </c>
      <c r="D252" s="218">
        <v>0.69205655322515103</v>
      </c>
      <c r="E252" s="218">
        <v>1.6634545246916765</v>
      </c>
    </row>
    <row r="253" spans="1:5" ht="11.25" customHeight="1">
      <c r="A253" s="479"/>
      <c r="B253" s="89"/>
      <c r="C253" s="210" t="s">
        <v>21</v>
      </c>
      <c r="D253" s="218">
        <v>0.60727934191118216</v>
      </c>
      <c r="E253" s="218">
        <v>1.4729511672068707</v>
      </c>
    </row>
    <row r="254" spans="1:5" ht="11.25" customHeight="1">
      <c r="A254" s="479"/>
      <c r="B254" s="89"/>
      <c r="C254" s="210" t="s">
        <v>21</v>
      </c>
      <c r="D254" s="218">
        <v>1.2207735861220481</v>
      </c>
      <c r="E254" s="218">
        <v>1.74045071556308</v>
      </c>
    </row>
    <row r="255" spans="1:5" ht="11.25" customHeight="1">
      <c r="A255" s="479"/>
      <c r="B255" s="89"/>
      <c r="C255" s="210" t="s">
        <v>20</v>
      </c>
      <c r="D255" s="218">
        <v>1.7129019808755253</v>
      </c>
      <c r="E255" s="218">
        <v>1.8144308190362946</v>
      </c>
    </row>
    <row r="256" spans="1:5" ht="11.25" customHeight="1">
      <c r="A256" s="479"/>
      <c r="B256" s="89"/>
      <c r="C256" s="210" t="s">
        <v>22</v>
      </c>
      <c r="D256" s="218">
        <v>1.4256168306175487</v>
      </c>
      <c r="E256" s="218">
        <v>1.3180264029020394</v>
      </c>
    </row>
    <row r="257" spans="1:5" ht="11.25" customHeight="1">
      <c r="A257" s="479"/>
      <c r="B257" s="89"/>
      <c r="C257" s="210" t="s">
        <v>23</v>
      </c>
      <c r="D257" s="218">
        <v>2.262256823806319</v>
      </c>
      <c r="E257" s="218">
        <v>2.0820409205046131</v>
      </c>
    </row>
    <row r="258" spans="1:5" ht="11.25" customHeight="1">
      <c r="A258" s="479"/>
      <c r="B258" s="89"/>
      <c r="C258" s="210" t="s">
        <v>24</v>
      </c>
      <c r="D258" s="218">
        <v>2.0072523249145435</v>
      </c>
      <c r="E258" s="218">
        <v>1.7278606257014051</v>
      </c>
    </row>
    <row r="259" spans="1:5" ht="11.25" customHeight="1">
      <c r="A259" s="479"/>
      <c r="B259" s="89"/>
      <c r="C259" s="210" t="s">
        <v>25</v>
      </c>
      <c r="D259" s="218">
        <v>1.6255987507709735</v>
      </c>
      <c r="E259" s="218">
        <v>1.4376884169812643</v>
      </c>
    </row>
    <row r="260" spans="1:5" ht="11.25" customHeight="1">
      <c r="A260" s="479"/>
      <c r="B260" s="89">
        <v>2016</v>
      </c>
      <c r="C260" s="210" t="s">
        <v>17</v>
      </c>
      <c r="D260" s="218">
        <v>1.5036129533038123</v>
      </c>
      <c r="E260" s="218">
        <v>1.3763469708526488</v>
      </c>
    </row>
    <row r="261" spans="1:5" ht="11.25" customHeight="1">
      <c r="A261" s="479"/>
      <c r="B261" s="89"/>
      <c r="C261" s="210" t="s">
        <v>18</v>
      </c>
      <c r="D261" s="218">
        <v>1.7082349992504131</v>
      </c>
      <c r="E261" s="218">
        <v>1.3192950966427475</v>
      </c>
    </row>
    <row r="262" spans="1:5" ht="11.25" customHeight="1">
      <c r="A262" s="479"/>
      <c r="B262" s="89"/>
      <c r="C262" s="210" t="s">
        <v>19</v>
      </c>
      <c r="D262" s="218">
        <v>1.6995499050685536</v>
      </c>
      <c r="E262" s="218">
        <v>1.3407596990492765</v>
      </c>
    </row>
    <row r="263" spans="1:5" ht="11.25" customHeight="1">
      <c r="A263" s="479"/>
      <c r="B263" s="89"/>
      <c r="C263" s="210" t="s">
        <v>20</v>
      </c>
      <c r="D263" s="218">
        <v>1.9249455752883282</v>
      </c>
      <c r="E263" s="218">
        <v>1.5970679070099525</v>
      </c>
    </row>
    <row r="264" spans="1:5" ht="11.25" customHeight="1">
      <c r="A264" s="479"/>
      <c r="B264" s="89"/>
      <c r="C264" s="210" t="s">
        <v>19</v>
      </c>
      <c r="D264" s="218">
        <v>1.8165073436452239</v>
      </c>
      <c r="E264" s="218">
        <v>1.4571935595080854</v>
      </c>
    </row>
    <row r="265" spans="1:5" ht="11.25" customHeight="1">
      <c r="A265" s="479"/>
      <c r="B265" s="89"/>
      <c r="C265" s="210" t="s">
        <v>21</v>
      </c>
      <c r="D265" s="218">
        <v>2.1380109225274779</v>
      </c>
      <c r="E265" s="218">
        <v>1.8009988818461942</v>
      </c>
    </row>
    <row r="266" spans="1:5" ht="11.25" customHeight="1">
      <c r="A266" s="479"/>
      <c r="B266" s="89"/>
      <c r="C266" s="210" t="s">
        <v>21</v>
      </c>
      <c r="D266" s="218">
        <v>1.7033313773856307</v>
      </c>
      <c r="E266" s="218">
        <v>1.5027767776951695</v>
      </c>
    </row>
    <row r="267" spans="1:5" ht="11.25" customHeight="1">
      <c r="A267" s="479"/>
      <c r="B267" s="89"/>
      <c r="C267" s="210" t="s">
        <v>20</v>
      </c>
      <c r="D267" s="218">
        <v>1.798607275235331</v>
      </c>
      <c r="E267" s="218">
        <v>1.5667663562806355</v>
      </c>
    </row>
    <row r="268" spans="1:5" ht="11.25" customHeight="1">
      <c r="A268" s="479"/>
      <c r="B268" s="89"/>
      <c r="C268" s="210" t="s">
        <v>22</v>
      </c>
      <c r="D268" s="218">
        <v>1.8049149641147677</v>
      </c>
      <c r="E268" s="218">
        <v>1.6130050131813123</v>
      </c>
    </row>
    <row r="269" spans="1:5" ht="11.25" customHeight="1">
      <c r="A269" s="479"/>
      <c r="B269" s="89"/>
      <c r="C269" s="210" t="s">
        <v>23</v>
      </c>
      <c r="D269" s="218">
        <v>1.2918163285483564</v>
      </c>
      <c r="E269" s="218">
        <v>1.1119256838123981</v>
      </c>
    </row>
    <row r="270" spans="1:5" ht="11.25" customHeight="1">
      <c r="A270" s="479"/>
      <c r="B270" s="89"/>
      <c r="C270" s="210" t="s">
        <v>24</v>
      </c>
      <c r="D270" s="218">
        <v>1.306829140791721</v>
      </c>
      <c r="E270" s="218">
        <v>1.1252021827730108</v>
      </c>
    </row>
    <row r="271" spans="1:5" ht="11.25" customHeight="1">
      <c r="A271" s="479"/>
      <c r="B271" s="89"/>
      <c r="C271" s="210" t="s">
        <v>25</v>
      </c>
      <c r="D271" s="218">
        <v>1.2844483930341433</v>
      </c>
      <c r="E271" s="218">
        <v>1.0767723876177859</v>
      </c>
    </row>
    <row r="272" spans="1:5" ht="11.25" customHeight="1">
      <c r="A272" s="479"/>
      <c r="B272" s="89">
        <v>2017</v>
      </c>
      <c r="C272" s="210" t="s">
        <v>17</v>
      </c>
      <c r="D272" s="218">
        <v>1.5622971853602285</v>
      </c>
      <c r="E272" s="218">
        <v>1.2305786469050561</v>
      </c>
    </row>
    <row r="273" spans="1:5" ht="11.25" customHeight="1">
      <c r="A273" s="479"/>
      <c r="B273" s="89"/>
      <c r="C273" s="210" t="s">
        <v>18</v>
      </c>
      <c r="D273" s="218">
        <v>1.1621549014873001</v>
      </c>
      <c r="E273" s="218">
        <v>1.1421569769699991</v>
      </c>
    </row>
    <row r="274" spans="1:5" ht="11.25" customHeight="1">
      <c r="A274" s="479"/>
      <c r="B274" s="89"/>
      <c r="C274" s="210" t="s">
        <v>19</v>
      </c>
      <c r="D274" s="218">
        <v>1.2984046435110308</v>
      </c>
      <c r="E274" s="218">
        <v>1.0409294506140032</v>
      </c>
    </row>
    <row r="275" spans="1:5" ht="11.25" customHeight="1">
      <c r="A275" s="479"/>
      <c r="B275" s="89"/>
      <c r="C275" s="210" t="s">
        <v>20</v>
      </c>
      <c r="D275" s="218">
        <v>1.2942666208060283</v>
      </c>
      <c r="E275" s="218">
        <v>1.1620874399929315</v>
      </c>
    </row>
    <row r="276" spans="1:5" ht="11.25" customHeight="1">
      <c r="A276" s="479"/>
      <c r="B276" s="89"/>
      <c r="C276" s="210" t="s">
        <v>19</v>
      </c>
      <c r="D276" s="218">
        <v>1.6773463285302048</v>
      </c>
      <c r="E276" s="218">
        <v>1.5465129775263486</v>
      </c>
    </row>
    <row r="277" spans="1:5" ht="11.25" customHeight="1">
      <c r="A277" s="479"/>
      <c r="B277" s="89"/>
      <c r="C277" s="210" t="s">
        <v>21</v>
      </c>
      <c r="D277" s="218">
        <v>1.6752970866656947</v>
      </c>
      <c r="E277" s="218">
        <v>1.5430255235827639</v>
      </c>
    </row>
    <row r="278" spans="1:5" ht="11.25" customHeight="1">
      <c r="A278" s="479"/>
      <c r="B278" s="89"/>
      <c r="C278" s="210" t="s">
        <v>21</v>
      </c>
      <c r="D278" s="218">
        <v>1.7924035042081288</v>
      </c>
      <c r="E278" s="218">
        <v>1.5936692632798399</v>
      </c>
    </row>
    <row r="279" spans="1:5" ht="11.25" customHeight="1">
      <c r="A279" s="479"/>
      <c r="B279" s="89"/>
      <c r="C279" s="210" t="s">
        <v>20</v>
      </c>
      <c r="D279" s="218">
        <v>1.6592362038753805</v>
      </c>
      <c r="E279" s="218">
        <v>1.5010174109851837</v>
      </c>
    </row>
    <row r="280" spans="1:5" ht="11.25" customHeight="1">
      <c r="A280" s="479"/>
      <c r="B280" s="89"/>
      <c r="C280" s="210" t="s">
        <v>22</v>
      </c>
      <c r="D280" s="218">
        <v>1.7642965077852457</v>
      </c>
      <c r="E280" s="218">
        <v>1.6459030211025905</v>
      </c>
    </row>
    <row r="281" spans="1:5" ht="11.25" customHeight="1">
      <c r="A281" s="479"/>
      <c r="B281" s="89"/>
      <c r="C281" s="210" t="s">
        <v>23</v>
      </c>
      <c r="D281" s="218">
        <v>2.0418634988495832</v>
      </c>
      <c r="E281" s="218">
        <v>1.8356051208857638</v>
      </c>
    </row>
    <row r="282" spans="1:5" ht="11.25" customHeight="1">
      <c r="A282" s="479"/>
      <c r="B282" s="89"/>
      <c r="C282" s="210" t="s">
        <v>24</v>
      </c>
      <c r="D282" s="218">
        <v>2.2021448851921477</v>
      </c>
      <c r="E282" s="218">
        <v>2.0113735886963857</v>
      </c>
    </row>
    <row r="283" spans="1:5" ht="11.25" customHeight="1">
      <c r="A283" s="479"/>
      <c r="B283" s="89"/>
      <c r="C283" s="210" t="s">
        <v>25</v>
      </c>
      <c r="D283" s="218">
        <v>2.1381327106764658</v>
      </c>
      <c r="E283" s="218">
        <v>2.0367476181798905</v>
      </c>
    </row>
    <row r="284" spans="1:5" ht="11.25" customHeight="1">
      <c r="A284" s="479"/>
      <c r="B284" s="89">
        <v>2018</v>
      </c>
      <c r="C284" s="210" t="s">
        <v>17</v>
      </c>
      <c r="D284" s="218">
        <v>2.0116183517223218</v>
      </c>
      <c r="E284" s="218">
        <v>2.2322930488101189</v>
      </c>
    </row>
    <row r="285" spans="1:5" ht="11.25" customHeight="1">
      <c r="A285" s="479"/>
      <c r="B285" s="480"/>
      <c r="C285" s="210" t="s">
        <v>18</v>
      </c>
      <c r="D285" s="218">
        <v>2.3727934466849954</v>
      </c>
      <c r="E285" s="218">
        <v>2.2604876238322191</v>
      </c>
    </row>
    <row r="286" spans="1:5" ht="11.25" customHeight="1">
      <c r="A286" s="479"/>
      <c r="B286" s="480"/>
      <c r="C286" s="210" t="s">
        <v>19</v>
      </c>
      <c r="D286" s="218">
        <v>2.0825673937211908</v>
      </c>
      <c r="E286" s="218">
        <v>2.0938512770321882</v>
      </c>
    </row>
    <row r="287" spans="1:5" ht="11.25" customHeight="1">
      <c r="A287" s="479"/>
      <c r="B287" s="480"/>
      <c r="C287" s="210" t="s">
        <v>20</v>
      </c>
      <c r="D287" s="218">
        <v>1.8596986304316721</v>
      </c>
      <c r="E287" s="218">
        <v>1.6662163819884723</v>
      </c>
    </row>
    <row r="288" spans="1:5" ht="11.25" customHeight="1">
      <c r="A288" s="479"/>
      <c r="B288" s="480"/>
      <c r="C288" s="210" t="s">
        <v>19</v>
      </c>
      <c r="D288" s="218">
        <v>1.359929189710618</v>
      </c>
      <c r="E288" s="218">
        <v>1.1760491026808539</v>
      </c>
    </row>
    <row r="289" spans="1:8" ht="11.25" customHeight="1">
      <c r="A289" s="479"/>
      <c r="B289" s="480"/>
      <c r="C289" s="210" t="s">
        <v>21</v>
      </c>
      <c r="D289" s="218">
        <v>0.82920305634102132</v>
      </c>
      <c r="E289" s="218">
        <v>0.67215639234494695</v>
      </c>
    </row>
    <row r="290" spans="1:8" ht="11.25" customHeight="1">
      <c r="A290" s="479"/>
      <c r="B290" s="89"/>
      <c r="C290" s="210" t="s">
        <v>21</v>
      </c>
      <c r="D290" s="218">
        <v>0.61758210842177697</v>
      </c>
      <c r="E290" s="218">
        <v>0.40423854028153183</v>
      </c>
    </row>
    <row r="291" spans="1:8" ht="11.25" customHeight="1">
      <c r="A291" s="479"/>
      <c r="B291" s="89"/>
      <c r="C291" s="210" t="s">
        <v>20</v>
      </c>
      <c r="D291" s="218">
        <v>0.15811646448808947</v>
      </c>
      <c r="E291" s="218">
        <v>-5.5358215331613447E-2</v>
      </c>
    </row>
    <row r="292" spans="1:8" ht="11.25" customHeight="1">
      <c r="A292" s="479"/>
      <c r="B292" s="89"/>
      <c r="C292" s="210" t="s">
        <v>22</v>
      </c>
      <c r="D292" s="218">
        <v>0.10209745469647036</v>
      </c>
      <c r="E292" s="218">
        <v>-0.11220164961887047</v>
      </c>
    </row>
    <row r="293" spans="1:8" ht="11.25" customHeight="1">
      <c r="A293" s="479"/>
      <c r="B293" s="89"/>
      <c r="C293" s="210" t="s">
        <v>23</v>
      </c>
      <c r="D293" s="218">
        <v>-0.34660095084980691</v>
      </c>
      <c r="E293" s="218">
        <v>-0.56405121143732195</v>
      </c>
    </row>
    <row r="294" spans="1:8" ht="11.25" customHeight="1">
      <c r="A294" s="479"/>
      <c r="B294" s="89"/>
      <c r="C294" s="210" t="s">
        <v>24</v>
      </c>
      <c r="D294" s="218">
        <v>-0.85334674705956903</v>
      </c>
      <c r="E294" s="218">
        <v>-1.0503643556854181</v>
      </c>
    </row>
    <row r="295" spans="1:8" ht="11.25" customHeight="1">
      <c r="A295" s="479"/>
      <c r="B295" s="89"/>
      <c r="C295" s="212" t="s">
        <v>25</v>
      </c>
      <c r="D295" s="219">
        <v>-1.0194112811112155</v>
      </c>
      <c r="E295" s="219">
        <v>-1.0474276623895662</v>
      </c>
    </row>
    <row r="296" spans="1:8" ht="11.25" customHeight="1">
      <c r="B296" s="73"/>
    </row>
    <row r="297" spans="1:8" ht="11.25" customHeight="1">
      <c r="B297" s="73"/>
      <c r="C297" s="217" t="s">
        <v>332</v>
      </c>
      <c r="D297" s="73"/>
      <c r="E297" s="73"/>
      <c r="F297" s="73"/>
      <c r="G297" s="73"/>
    </row>
    <row r="298" spans="1:8" ht="11.25" customHeight="1">
      <c r="B298" s="73"/>
      <c r="C298" s="215"/>
      <c r="D298" s="227" t="s">
        <v>150</v>
      </c>
      <c r="E298" s="216" t="s">
        <v>15</v>
      </c>
      <c r="F298" s="216" t="s">
        <v>16</v>
      </c>
      <c r="G298" s="227" t="s">
        <v>77</v>
      </c>
    </row>
    <row r="299" spans="1:8" ht="11.25" customHeight="1">
      <c r="B299" s="73"/>
      <c r="C299" s="210" t="s">
        <v>2</v>
      </c>
      <c r="D299" s="228">
        <v>-8.5521946439359624</v>
      </c>
      <c r="E299" s="228">
        <v>0.42947802053786432</v>
      </c>
      <c r="F299" s="228">
        <v>-6.2914701700635067</v>
      </c>
      <c r="G299" s="228">
        <v>-2.69020249441032</v>
      </c>
      <c r="H299" s="478">
        <f>D299-SUM(E299:G299)</f>
        <v>0</v>
      </c>
    </row>
    <row r="300" spans="1:8" ht="11.25" customHeight="1">
      <c r="B300" s="73"/>
      <c r="C300" s="210" t="s">
        <v>3</v>
      </c>
      <c r="D300" s="228">
        <v>15.67075875185029</v>
      </c>
      <c r="E300" s="228">
        <v>3.8168216138380728E-2</v>
      </c>
      <c r="F300" s="228">
        <v>11.486858005900325</v>
      </c>
      <c r="G300" s="228">
        <v>4.1457325298115837</v>
      </c>
      <c r="H300" s="478">
        <f t="shared" ref="H300:H310" si="66">D300-SUM(E300:G300)</f>
        <v>0</v>
      </c>
    </row>
    <row r="301" spans="1:8" ht="11.25" customHeight="1">
      <c r="B301" s="73"/>
      <c r="C301" s="210" t="s">
        <v>4</v>
      </c>
      <c r="D301" s="228">
        <v>12.918957904452588</v>
      </c>
      <c r="E301" s="228">
        <v>-1.0999374989058008</v>
      </c>
      <c r="F301" s="228">
        <v>6.1544632212114481</v>
      </c>
      <c r="G301" s="228">
        <v>7.864432182146941</v>
      </c>
      <c r="H301" s="478">
        <f t="shared" si="66"/>
        <v>0</v>
      </c>
    </row>
    <row r="302" spans="1:8" ht="11.25" customHeight="1">
      <c r="B302" s="73"/>
      <c r="C302" s="210" t="s">
        <v>5</v>
      </c>
      <c r="D302" s="228">
        <v>2.7970879793131953</v>
      </c>
      <c r="E302" s="228">
        <v>0.75934474600856117</v>
      </c>
      <c r="F302" s="228">
        <v>2.0280535849041881</v>
      </c>
      <c r="G302" s="228">
        <v>9.6896484004460604E-3</v>
      </c>
      <c r="H302" s="478">
        <f t="shared" si="66"/>
        <v>0</v>
      </c>
    </row>
    <row r="303" spans="1:8" ht="11.25" customHeight="1">
      <c r="B303" s="73"/>
      <c r="C303" s="210" t="s">
        <v>6</v>
      </c>
      <c r="D303" s="228">
        <v>-1.3321095490273049</v>
      </c>
      <c r="E303" s="228">
        <v>5.5780278060468813E-2</v>
      </c>
      <c r="F303" s="228">
        <v>-1.988478100932467</v>
      </c>
      <c r="G303" s="228">
        <v>0.60058827384469327</v>
      </c>
      <c r="H303" s="478">
        <f t="shared" si="66"/>
        <v>0</v>
      </c>
    </row>
    <row r="304" spans="1:8" ht="11.25" customHeight="1">
      <c r="B304" s="73"/>
      <c r="C304" s="210" t="s">
        <v>7</v>
      </c>
      <c r="D304" s="228">
        <v>-7.7358065836865775</v>
      </c>
      <c r="E304" s="228">
        <v>-0.1967168862649249</v>
      </c>
      <c r="F304" s="228">
        <v>-3.1113988837263129</v>
      </c>
      <c r="G304" s="228">
        <v>-4.4276908136953397</v>
      </c>
      <c r="H304" s="478">
        <f t="shared" si="66"/>
        <v>0</v>
      </c>
    </row>
    <row r="305" spans="2:8" ht="11.25" customHeight="1">
      <c r="B305" s="73"/>
      <c r="C305" s="210" t="s">
        <v>8</v>
      </c>
      <c r="D305" s="228">
        <v>1.145959690608489</v>
      </c>
      <c r="E305" s="228">
        <v>0.21540400276305327</v>
      </c>
      <c r="F305" s="228">
        <v>-0.43309081299560681</v>
      </c>
      <c r="G305" s="228">
        <v>1.3636465008410426</v>
      </c>
      <c r="H305" s="478">
        <f t="shared" si="66"/>
        <v>0</v>
      </c>
    </row>
    <row r="306" spans="2:8" ht="11.25" customHeight="1">
      <c r="B306" s="73"/>
      <c r="C306" s="210" t="s">
        <v>9</v>
      </c>
      <c r="D306" s="228">
        <v>-0.40729415337028563</v>
      </c>
      <c r="E306" s="228">
        <v>1.8443982391580516E-2</v>
      </c>
      <c r="F306" s="228">
        <v>-0.84925141354261768</v>
      </c>
      <c r="G306" s="228">
        <v>0.42351327778075154</v>
      </c>
      <c r="H306" s="478">
        <f t="shared" si="66"/>
        <v>0</v>
      </c>
    </row>
    <row r="307" spans="2:8" ht="11.25" customHeight="1">
      <c r="B307" s="73"/>
      <c r="C307" s="210" t="s">
        <v>10</v>
      </c>
      <c r="D307" s="228">
        <v>7.6258952924098455</v>
      </c>
      <c r="E307" s="228">
        <v>-0.52369104719249826</v>
      </c>
      <c r="F307" s="228">
        <v>3.8320642362910773</v>
      </c>
      <c r="G307" s="228">
        <v>4.3175221033112665</v>
      </c>
      <c r="H307" s="478">
        <f t="shared" si="66"/>
        <v>0</v>
      </c>
    </row>
    <row r="308" spans="2:8" ht="11.25" customHeight="1">
      <c r="B308" s="73"/>
      <c r="C308" s="210" t="s">
        <v>11</v>
      </c>
      <c r="D308" s="228">
        <v>5.8156786916851999E-2</v>
      </c>
      <c r="E308" s="228">
        <v>0.69569626330225898</v>
      </c>
      <c r="F308" s="228">
        <v>0.71679112980047588</v>
      </c>
      <c r="G308" s="228">
        <v>-1.3543306061858829</v>
      </c>
      <c r="H308" s="478">
        <f t="shared" si="66"/>
        <v>0</v>
      </c>
    </row>
    <row r="309" spans="2:8" ht="11.25" customHeight="1">
      <c r="B309" s="73"/>
      <c r="C309" s="210" t="s">
        <v>12</v>
      </c>
      <c r="D309" s="228">
        <v>-1.7655823414462923</v>
      </c>
      <c r="E309" s="228">
        <v>0.19166601630163926</v>
      </c>
      <c r="F309" s="228">
        <v>-0.96426442797322709</v>
      </c>
      <c r="G309" s="228">
        <v>-0.99298392977470451</v>
      </c>
      <c r="H309" s="478">
        <f t="shared" si="66"/>
        <v>0</v>
      </c>
    </row>
    <row r="310" spans="2:8" ht="11.25" customHeight="1">
      <c r="B310" s="73"/>
      <c r="C310" s="212" t="s">
        <v>13</v>
      </c>
      <c r="D310" s="229">
        <v>-8.1886434323734889</v>
      </c>
      <c r="E310" s="229">
        <v>1.1130039040305508</v>
      </c>
      <c r="F310" s="229">
        <v>-3.7655319056084444</v>
      </c>
      <c r="G310" s="229">
        <v>-5.5361154307955953</v>
      </c>
      <c r="H310" s="478">
        <f t="shared" si="66"/>
        <v>0</v>
      </c>
    </row>
    <row r="311" spans="2:8" ht="11.25" customHeight="1">
      <c r="B311" s="73"/>
    </row>
    <row r="312" spans="2:8" ht="11.25" customHeight="1">
      <c r="B312" s="73"/>
      <c r="C312" s="217" t="s">
        <v>333</v>
      </c>
      <c r="D312" s="73"/>
      <c r="E312" s="73"/>
      <c r="F312" s="73"/>
      <c r="G312" s="73"/>
    </row>
    <row r="313" spans="2:8" ht="11.25" customHeight="1">
      <c r="B313" s="73"/>
      <c r="C313" s="215"/>
      <c r="D313" s="227" t="s">
        <v>150</v>
      </c>
      <c r="E313" s="216" t="s">
        <v>15</v>
      </c>
      <c r="F313" s="216" t="s">
        <v>16</v>
      </c>
      <c r="G313" s="227" t="s">
        <v>77</v>
      </c>
    </row>
    <row r="314" spans="2:8" ht="11.25" customHeight="1">
      <c r="B314" s="73"/>
      <c r="C314" s="210" t="s">
        <v>2</v>
      </c>
      <c r="D314" s="228">
        <v>1.3254477054788882</v>
      </c>
      <c r="E314" s="228">
        <v>2.0406393484106999E-2</v>
      </c>
      <c r="F314" s="228">
        <v>0.28399888438610521</v>
      </c>
      <c r="G314" s="228">
        <v>1.021042427608676</v>
      </c>
      <c r="H314" s="478">
        <f t="shared" ref="H314:H325" si="67">D314-SUM(E314:G314)</f>
        <v>0</v>
      </c>
    </row>
    <row r="315" spans="2:8" ht="11.25" customHeight="1">
      <c r="B315" s="73"/>
      <c r="C315" s="210" t="s">
        <v>3</v>
      </c>
      <c r="D315" s="228">
        <v>2.5885900331449774</v>
      </c>
      <c r="E315" s="228">
        <v>-5.8760771526200628E-2</v>
      </c>
      <c r="F315" s="228">
        <v>0.30633555256036615</v>
      </c>
      <c r="G315" s="228">
        <v>2.3410152521108119</v>
      </c>
      <c r="H315" s="478">
        <f t="shared" si="67"/>
        <v>0</v>
      </c>
    </row>
    <row r="316" spans="2:8" ht="11.25" customHeight="1">
      <c r="B316" s="73"/>
      <c r="C316" s="210" t="s">
        <v>4</v>
      </c>
      <c r="D316" s="228">
        <v>-0.92672931851899287</v>
      </c>
      <c r="E316" s="228">
        <v>-1.1774194933108606</v>
      </c>
      <c r="F316" s="228">
        <v>-0.15019436033743006</v>
      </c>
      <c r="G316" s="228">
        <v>0.40088453512929778</v>
      </c>
      <c r="H316" s="478">
        <f t="shared" si="67"/>
        <v>0</v>
      </c>
    </row>
    <row r="317" spans="2:8" ht="11.25" customHeight="1">
      <c r="B317" s="73"/>
      <c r="C317" s="210" t="s">
        <v>5</v>
      </c>
      <c r="D317" s="228">
        <v>-0.34178130349010738</v>
      </c>
      <c r="E317" s="228">
        <v>1.165203448721952</v>
      </c>
      <c r="F317" s="228">
        <v>-2.9540801572003339E-2</v>
      </c>
      <c r="G317" s="228">
        <v>-1.4774439506400561</v>
      </c>
      <c r="H317" s="478">
        <f t="shared" si="67"/>
        <v>0</v>
      </c>
    </row>
    <row r="318" spans="2:8" ht="11.25" customHeight="1">
      <c r="B318" s="73"/>
      <c r="C318" s="210" t="s">
        <v>6</v>
      </c>
      <c r="D318" s="228">
        <v>-1.7911123287797315</v>
      </c>
      <c r="E318" s="228">
        <v>1.0355879504420074E-2</v>
      </c>
      <c r="F318" s="228">
        <v>-5.2509741890527373E-3</v>
      </c>
      <c r="G318" s="228">
        <v>-1.7962172340950988</v>
      </c>
      <c r="H318" s="478">
        <f t="shared" si="67"/>
        <v>0</v>
      </c>
    </row>
    <row r="319" spans="2:8" ht="11.25" customHeight="1">
      <c r="B319" s="73"/>
      <c r="C319" s="210" t="s">
        <v>7</v>
      </c>
      <c r="D319" s="228">
        <v>-3.1150618859366541</v>
      </c>
      <c r="E319" s="228">
        <v>-0.24914960106570128</v>
      </c>
      <c r="F319" s="228">
        <v>-0.10816969297577916</v>
      </c>
      <c r="G319" s="228">
        <v>-2.7577425918951737</v>
      </c>
      <c r="H319" s="478">
        <f t="shared" si="67"/>
        <v>0</v>
      </c>
    </row>
    <row r="320" spans="2:8" ht="11.25" customHeight="1">
      <c r="B320" s="73"/>
      <c r="C320" s="210" t="s">
        <v>8</v>
      </c>
      <c r="D320" s="228">
        <v>-1.4020038585578209</v>
      </c>
      <c r="E320" s="228">
        <v>0.24471615636280086</v>
      </c>
      <c r="F320" s="228">
        <v>-5.6479089917682579E-2</v>
      </c>
      <c r="G320" s="228">
        <v>-1.5902409250029392</v>
      </c>
      <c r="H320" s="478">
        <f t="shared" si="67"/>
        <v>0</v>
      </c>
    </row>
    <row r="321" spans="2:15" ht="11.25" customHeight="1">
      <c r="B321" s="73"/>
      <c r="C321" s="210" t="s">
        <v>9</v>
      </c>
      <c r="D321" s="228">
        <v>-3.0536632462584201</v>
      </c>
      <c r="E321" s="228">
        <v>0.12081973838858895</v>
      </c>
      <c r="F321" s="228">
        <v>-0.14009829031844667</v>
      </c>
      <c r="G321" s="228">
        <v>-3.0343846943285624</v>
      </c>
      <c r="H321" s="478">
        <f t="shared" si="67"/>
        <v>0</v>
      </c>
    </row>
    <row r="322" spans="2:15" ht="11.25" customHeight="1">
      <c r="B322" s="73"/>
      <c r="C322" s="210" t="s">
        <v>10</v>
      </c>
      <c r="D322" s="228">
        <v>0.76137586905336008</v>
      </c>
      <c r="E322" s="228">
        <v>-0.34038879176503389</v>
      </c>
      <c r="F322" s="228">
        <v>2.0124199309612401E-2</v>
      </c>
      <c r="G322" s="228">
        <v>1.0816404615087816</v>
      </c>
      <c r="H322" s="478">
        <f t="shared" si="67"/>
        <v>0</v>
      </c>
    </row>
    <row r="323" spans="2:15" ht="11.25" customHeight="1">
      <c r="B323" s="73"/>
      <c r="C323" s="210" t="s">
        <v>11</v>
      </c>
      <c r="D323" s="228">
        <v>-1.4247979567212021</v>
      </c>
      <c r="E323" s="228">
        <v>0.63905868675939725</v>
      </c>
      <c r="F323" s="228">
        <v>-0.19248356809615785</v>
      </c>
      <c r="G323" s="228">
        <v>-1.8713730753844415</v>
      </c>
      <c r="H323" s="478">
        <f t="shared" si="67"/>
        <v>0</v>
      </c>
    </row>
    <row r="324" spans="2:15" ht="11.25" customHeight="1">
      <c r="B324" s="73"/>
      <c r="C324" s="210" t="s">
        <v>12</v>
      </c>
      <c r="D324" s="228">
        <v>-3.0907546936263852</v>
      </c>
      <c r="E324" s="228">
        <v>-9.752269515675982E-2</v>
      </c>
      <c r="F324" s="228">
        <v>1.4655500196214533E-2</v>
      </c>
      <c r="G324" s="228">
        <v>-3.0078874986658399</v>
      </c>
      <c r="H324" s="478">
        <f t="shared" si="67"/>
        <v>0</v>
      </c>
    </row>
    <row r="325" spans="2:15" ht="11.25" customHeight="1">
      <c r="B325" s="73"/>
      <c r="C325" s="212" t="s">
        <v>13</v>
      </c>
      <c r="D325" s="229">
        <v>-1.2277653706184832</v>
      </c>
      <c r="E325" s="229">
        <v>0.41941886353720204</v>
      </c>
      <c r="F325" s="229">
        <v>-0.15137496601633771</v>
      </c>
      <c r="G325" s="229">
        <v>-1.4958092681393476</v>
      </c>
      <c r="H325" s="478">
        <f t="shared" si="67"/>
        <v>0</v>
      </c>
    </row>
    <row r="326" spans="2:15" ht="11.25" customHeight="1">
      <c r="B326" s="73"/>
    </row>
    <row r="327" spans="2:15" ht="11.25" customHeight="1">
      <c r="B327" s="73"/>
      <c r="C327" s="645" t="s">
        <v>335</v>
      </c>
      <c r="D327" s="645"/>
      <c r="E327" s="645"/>
      <c r="F327" s="645"/>
      <c r="G327" s="73"/>
      <c r="H327" s="73"/>
      <c r="I327" s="73"/>
    </row>
    <row r="328" spans="2:15" ht="11.25" customHeight="1">
      <c r="B328" s="73"/>
      <c r="C328" s="211"/>
      <c r="D328" s="647">
        <v>2017</v>
      </c>
      <c r="E328" s="647"/>
      <c r="F328" s="647"/>
      <c r="G328" s="647"/>
      <c r="H328" s="647">
        <v>2018</v>
      </c>
      <c r="I328" s="647"/>
      <c r="J328" s="647"/>
      <c r="K328" s="647"/>
      <c r="L328" s="647" t="s">
        <v>336</v>
      </c>
      <c r="M328" s="647"/>
      <c r="N328" s="647"/>
      <c r="O328" s="647"/>
    </row>
    <row r="329" spans="2:15" ht="11.25" customHeight="1">
      <c r="C329" s="210"/>
      <c r="D329" s="213" t="s">
        <v>317</v>
      </c>
      <c r="E329" s="213" t="s">
        <v>36</v>
      </c>
      <c r="F329" s="213" t="s">
        <v>42</v>
      </c>
      <c r="G329" s="213" t="s">
        <v>39</v>
      </c>
      <c r="H329" s="213" t="s">
        <v>317</v>
      </c>
      <c r="I329" s="213" t="s">
        <v>36</v>
      </c>
      <c r="J329" s="213" t="s">
        <v>42</v>
      </c>
      <c r="K329" s="213" t="s">
        <v>39</v>
      </c>
      <c r="L329" s="213" t="s">
        <v>317</v>
      </c>
      <c r="M329" s="213" t="s">
        <v>36</v>
      </c>
      <c r="N329" s="213" t="s">
        <v>42</v>
      </c>
      <c r="O329" s="213" t="s">
        <v>39</v>
      </c>
    </row>
    <row r="330" spans="2:15" ht="11.25" customHeight="1">
      <c r="C330" s="212"/>
      <c r="D330" s="214" t="s">
        <v>91</v>
      </c>
      <c r="E330" s="214" t="s">
        <v>91</v>
      </c>
      <c r="F330" s="214" t="s">
        <v>91</v>
      </c>
      <c r="G330" s="214" t="s">
        <v>91</v>
      </c>
      <c r="H330" s="214" t="s">
        <v>91</v>
      </c>
      <c r="I330" s="214" t="s">
        <v>91</v>
      </c>
      <c r="J330" s="214" t="s">
        <v>91</v>
      </c>
      <c r="K330" s="214" t="s">
        <v>91</v>
      </c>
      <c r="L330" s="214"/>
      <c r="M330" s="214"/>
      <c r="N330" s="214"/>
      <c r="O330" s="214"/>
    </row>
    <row r="331" spans="2:15" ht="11.25" customHeight="1">
      <c r="C331" s="210" t="s">
        <v>2</v>
      </c>
      <c r="D331" s="386">
        <v>477.38040000000001</v>
      </c>
      <c r="E331" s="386">
        <v>745.40722800000003</v>
      </c>
      <c r="F331" s="386">
        <v>18.540054999999999</v>
      </c>
      <c r="G331" s="386">
        <v>18.568292</v>
      </c>
      <c r="H331" s="386">
        <v>436.553899</v>
      </c>
      <c r="I331" s="386">
        <v>755.28721099999996</v>
      </c>
      <c r="J331" s="386">
        <v>18.544061000000003</v>
      </c>
      <c r="K331" s="426">
        <v>18.185973000000001</v>
      </c>
      <c r="L331" s="218">
        <f>((H331/D331)-1)*100</f>
        <v>-8.5521946439359517</v>
      </c>
      <c r="M331" s="218">
        <f>((I331/E331)-1)*100</f>
        <v>1.3254477054789104</v>
      </c>
      <c r="N331" s="218">
        <f t="shared" ref="N331:O331" si="68">((J331/F331)-1)*100</f>
        <v>2.1607271391621552E-2</v>
      </c>
      <c r="O331" s="218">
        <f t="shared" si="68"/>
        <v>-2.0589885165528399</v>
      </c>
    </row>
    <row r="332" spans="2:15" ht="11.25" customHeight="1">
      <c r="C332" s="210" t="s">
        <v>3</v>
      </c>
      <c r="D332" s="386">
        <v>395.60540100000003</v>
      </c>
      <c r="E332" s="386">
        <v>665.20417599999996</v>
      </c>
      <c r="F332" s="386">
        <v>15.723914000000001</v>
      </c>
      <c r="G332" s="386">
        <v>15.602088</v>
      </c>
      <c r="H332" s="386">
        <v>457.59976899999998</v>
      </c>
      <c r="I332" s="386">
        <v>682.423585</v>
      </c>
      <c r="J332" s="386">
        <v>17.099066000000001</v>
      </c>
      <c r="K332" s="426">
        <v>17.029637999999998</v>
      </c>
      <c r="L332" s="218">
        <f t="shared" ref="L332:L342" si="69">((H332/D332)-1)*100</f>
        <v>15.67075875185029</v>
      </c>
      <c r="M332" s="218">
        <f t="shared" ref="M332:M342" si="70">((I332/E332)-1)*100</f>
        <v>2.5885900331449552</v>
      </c>
      <c r="N332" s="218">
        <f t="shared" ref="N332:N342" si="71">((J332/F332)-1)*100</f>
        <v>8.7456087587352691</v>
      </c>
      <c r="O332" s="218">
        <f t="shared" ref="O332:O341" si="72">((K332/G332)-1)*100</f>
        <v>9.1497368813712612</v>
      </c>
    </row>
    <row r="333" spans="2:15" ht="11.25" customHeight="1">
      <c r="C333" s="210" t="s">
        <v>4</v>
      </c>
      <c r="D333" s="386">
        <v>408.891796</v>
      </c>
      <c r="E333" s="386">
        <v>736.71490300000005</v>
      </c>
      <c r="F333" s="386">
        <v>16.352627999999999</v>
      </c>
      <c r="G333" s="386">
        <v>16.479364</v>
      </c>
      <c r="H333" s="386">
        <v>461.71635499999996</v>
      </c>
      <c r="I333" s="386">
        <v>729.88755000000003</v>
      </c>
      <c r="J333" s="386">
        <v>17.584973999999999</v>
      </c>
      <c r="K333" s="426">
        <v>16.701991999999997</v>
      </c>
      <c r="L333" s="218">
        <f t="shared" si="69"/>
        <v>12.918957904452544</v>
      </c>
      <c r="M333" s="218">
        <f t="shared" si="70"/>
        <v>-0.92672931851902618</v>
      </c>
      <c r="N333" s="218">
        <f t="shared" si="71"/>
        <v>7.5360731009107562</v>
      </c>
      <c r="O333" s="218">
        <f t="shared" si="72"/>
        <v>1.350950194437095</v>
      </c>
    </row>
    <row r="334" spans="2:15" ht="11.25" customHeight="1">
      <c r="B334" s="73"/>
      <c r="C334" s="210" t="s">
        <v>5</v>
      </c>
      <c r="D334" s="386">
        <v>415.20295699999997</v>
      </c>
      <c r="E334" s="386">
        <v>705.62812399999996</v>
      </c>
      <c r="F334" s="386">
        <v>14.939695</v>
      </c>
      <c r="G334" s="386">
        <v>15.082279</v>
      </c>
      <c r="H334" s="386">
        <v>426.81654900000001</v>
      </c>
      <c r="I334" s="386">
        <v>703.21641899999997</v>
      </c>
      <c r="J334" s="386">
        <v>16.315666</v>
      </c>
      <c r="K334" s="426">
        <v>15.85464</v>
      </c>
      <c r="L334" s="218">
        <f t="shared" si="69"/>
        <v>2.7970879793132175</v>
      </c>
      <c r="M334" s="218">
        <f t="shared" si="70"/>
        <v>-0.34178130349010738</v>
      </c>
      <c r="N334" s="218">
        <f t="shared" si="71"/>
        <v>9.2101679451956677</v>
      </c>
      <c r="O334" s="218">
        <f t="shared" si="72"/>
        <v>5.1209833739317423</v>
      </c>
    </row>
    <row r="335" spans="2:15" ht="11.25" customHeight="1">
      <c r="B335" s="73"/>
      <c r="C335" s="210" t="s">
        <v>6</v>
      </c>
      <c r="D335" s="386">
        <v>482.22985899999998</v>
      </c>
      <c r="E335" s="386">
        <v>728.99235799999997</v>
      </c>
      <c r="F335" s="386">
        <v>16.501739000000001</v>
      </c>
      <c r="G335" s="386">
        <v>16.451756</v>
      </c>
      <c r="H335" s="386">
        <v>475.80602899999997</v>
      </c>
      <c r="I335" s="386">
        <v>715.93528600000002</v>
      </c>
      <c r="J335" s="386">
        <v>16.342903</v>
      </c>
      <c r="K335" s="426">
        <v>16.50142</v>
      </c>
      <c r="L335" s="218">
        <f t="shared" si="69"/>
        <v>-1.3321095490273271</v>
      </c>
      <c r="M335" s="218">
        <f t="shared" si="70"/>
        <v>-1.7911123287797093</v>
      </c>
      <c r="N335" s="218">
        <f t="shared" si="71"/>
        <v>-0.96254097825689833</v>
      </c>
      <c r="O335" s="218">
        <f t="shared" si="72"/>
        <v>0.30187658995186606</v>
      </c>
    </row>
    <row r="336" spans="2:15" ht="11.25" customHeight="1">
      <c r="B336" s="73"/>
      <c r="C336" s="210" t="s">
        <v>7</v>
      </c>
      <c r="D336" s="386">
        <v>578.28193500000009</v>
      </c>
      <c r="E336" s="386">
        <v>730.15708299999994</v>
      </c>
      <c r="F336" s="386">
        <v>17.170856000000001</v>
      </c>
      <c r="G336" s="386">
        <v>18.010185</v>
      </c>
      <c r="H336" s="386">
        <v>533.54716299999995</v>
      </c>
      <c r="I336" s="386">
        <v>707.412238</v>
      </c>
      <c r="J336" s="386">
        <v>15.983727</v>
      </c>
      <c r="K336" s="426">
        <v>17.017004</v>
      </c>
      <c r="L336" s="218">
        <f t="shared" si="69"/>
        <v>-7.7358065836865775</v>
      </c>
      <c r="M336" s="218">
        <f t="shared" si="70"/>
        <v>-3.1150618859366652</v>
      </c>
      <c r="N336" s="218">
        <f t="shared" si="71"/>
        <v>-6.9136273695382444</v>
      </c>
      <c r="O336" s="218">
        <f t="shared" si="72"/>
        <v>-5.5145519049360159</v>
      </c>
    </row>
    <row r="337" spans="2:15" ht="11.25" customHeight="1">
      <c r="B337" s="73"/>
      <c r="C337" s="210" t="s">
        <v>8</v>
      </c>
      <c r="D337" s="386">
        <v>677.70385499999998</v>
      </c>
      <c r="E337" s="386">
        <v>769.83996400000001</v>
      </c>
      <c r="F337" s="386">
        <v>17.581979999999998</v>
      </c>
      <c r="G337" s="386">
        <v>19.684925</v>
      </c>
      <c r="H337" s="386">
        <v>685.47006799999997</v>
      </c>
      <c r="I337" s="386">
        <v>759.04677800000002</v>
      </c>
      <c r="J337" s="386">
        <v>17.164591000000001</v>
      </c>
      <c r="K337" s="426">
        <v>19.115601999999999</v>
      </c>
      <c r="L337" s="218">
        <f t="shared" si="69"/>
        <v>1.1459596906085112</v>
      </c>
      <c r="M337" s="218">
        <f t="shared" si="70"/>
        <v>-1.4020038585577987</v>
      </c>
      <c r="N337" s="218">
        <f t="shared" si="71"/>
        <v>-2.3739590194050808</v>
      </c>
      <c r="O337" s="218">
        <f t="shared" si="72"/>
        <v>-2.8921776435521074</v>
      </c>
    </row>
    <row r="338" spans="2:15" ht="11.25" customHeight="1">
      <c r="B338" s="73"/>
      <c r="C338" s="210" t="s">
        <v>9</v>
      </c>
      <c r="D338" s="386">
        <v>706.66175199999998</v>
      </c>
      <c r="E338" s="386">
        <v>807.06341899999995</v>
      </c>
      <c r="F338" s="386">
        <v>18.673438999999998</v>
      </c>
      <c r="G338" s="386">
        <v>20.785919999999997</v>
      </c>
      <c r="H338" s="386">
        <v>703.78356000000008</v>
      </c>
      <c r="I338" s="386">
        <v>782.41842000000008</v>
      </c>
      <c r="J338" s="386">
        <v>17.711763999999999</v>
      </c>
      <c r="K338" s="426">
        <v>21.420526000000002</v>
      </c>
      <c r="L338" s="218">
        <f t="shared" si="69"/>
        <v>-0.40729415337026342</v>
      </c>
      <c r="M338" s="218">
        <f t="shared" si="70"/>
        <v>-3.0536632462584534</v>
      </c>
      <c r="N338" s="218">
        <f t="shared" si="71"/>
        <v>-5.1499619325609984</v>
      </c>
      <c r="O338" s="218">
        <f t="shared" si="72"/>
        <v>3.0530570694008441</v>
      </c>
    </row>
    <row r="339" spans="2:15" ht="11.25" customHeight="1">
      <c r="B339" s="73"/>
      <c r="C339" s="210" t="s">
        <v>10</v>
      </c>
      <c r="D339" s="386">
        <v>536.76792599999999</v>
      </c>
      <c r="E339" s="386">
        <v>758.98531000000003</v>
      </c>
      <c r="F339" s="386">
        <v>17.176932000000001</v>
      </c>
      <c r="G339" s="386">
        <v>17.833300999999999</v>
      </c>
      <c r="H339" s="386">
        <v>577.70128599999998</v>
      </c>
      <c r="I339" s="386">
        <v>764.76404100000002</v>
      </c>
      <c r="J339" s="386">
        <v>18.075437000000001</v>
      </c>
      <c r="K339" s="426">
        <v>19.431863</v>
      </c>
      <c r="L339" s="218">
        <f t="shared" si="69"/>
        <v>7.6258952924098455</v>
      </c>
      <c r="M339" s="218">
        <f t="shared" si="70"/>
        <v>0.76137586905338228</v>
      </c>
      <c r="N339" s="218">
        <f t="shared" si="71"/>
        <v>5.2308817430260612</v>
      </c>
      <c r="O339" s="218">
        <f t="shared" si="72"/>
        <v>8.963915317753024</v>
      </c>
    </row>
    <row r="340" spans="2:15" ht="11.25" customHeight="1">
      <c r="B340" s="73"/>
      <c r="C340" s="210" t="s">
        <v>11</v>
      </c>
      <c r="D340" s="386">
        <v>475.04343800000004</v>
      </c>
      <c r="E340" s="386">
        <v>789.86146400000007</v>
      </c>
      <c r="F340" s="386">
        <v>15.964592</v>
      </c>
      <c r="G340" s="386">
        <v>17.474578000000001</v>
      </c>
      <c r="H340" s="386">
        <v>475.31970799999999</v>
      </c>
      <c r="I340" s="386">
        <v>778.60753399999999</v>
      </c>
      <c r="J340" s="386">
        <v>17.854131000000002</v>
      </c>
      <c r="K340" s="426">
        <v>17.666249000000001</v>
      </c>
      <c r="L340" s="218">
        <f t="shared" si="69"/>
        <v>5.815678691680759E-2</v>
      </c>
      <c r="M340" s="218">
        <f t="shared" si="70"/>
        <v>-1.424797956721191</v>
      </c>
      <c r="N340" s="218">
        <f t="shared" si="71"/>
        <v>11.835811400629614</v>
      </c>
      <c r="O340" s="218">
        <f t="shared" si="72"/>
        <v>1.0968562445399233</v>
      </c>
    </row>
    <row r="341" spans="2:15" ht="11.25" customHeight="1">
      <c r="C341" s="210" t="s">
        <v>12</v>
      </c>
      <c r="D341" s="386">
        <v>403.689187</v>
      </c>
      <c r="E341" s="386">
        <v>743.76132299999995</v>
      </c>
      <c r="F341" s="386">
        <v>16.373048000000001</v>
      </c>
      <c r="G341" s="386">
        <v>16.408677000000001</v>
      </c>
      <c r="H341" s="386">
        <v>396.56172200000003</v>
      </c>
      <c r="I341" s="386">
        <v>720.77348499999994</v>
      </c>
      <c r="J341" s="386">
        <v>17.385027999999998</v>
      </c>
      <c r="K341" s="426">
        <v>16.615788000000002</v>
      </c>
      <c r="L341" s="218">
        <f t="shared" si="69"/>
        <v>-1.765582341446259</v>
      </c>
      <c r="M341" s="218">
        <f t="shared" si="70"/>
        <v>-3.090754693626363</v>
      </c>
      <c r="N341" s="218">
        <f t="shared" si="71"/>
        <v>6.1807673195607649</v>
      </c>
      <c r="O341" s="218">
        <f t="shared" si="72"/>
        <v>1.2622041374816595</v>
      </c>
    </row>
    <row r="342" spans="2:15" ht="11.25" customHeight="1">
      <c r="C342" s="212" t="s">
        <v>13</v>
      </c>
      <c r="D342" s="387">
        <v>458.95751000000001</v>
      </c>
      <c r="E342" s="387">
        <v>749.4476729999999</v>
      </c>
      <c r="F342" s="387">
        <v>17.861952000000002</v>
      </c>
      <c r="G342" s="387">
        <v>18.043713</v>
      </c>
      <c r="H342" s="387">
        <v>421.37511599999999</v>
      </c>
      <c r="I342" s="387">
        <v>740.24621400000001</v>
      </c>
      <c r="J342" s="387">
        <v>17.294875999999999</v>
      </c>
      <c r="K342" s="427">
        <v>17.408360999999999</v>
      </c>
      <c r="L342" s="219">
        <f t="shared" si="69"/>
        <v>-8.1886434323735102</v>
      </c>
      <c r="M342" s="219">
        <f t="shared" si="70"/>
        <v>-1.227765370618461</v>
      </c>
      <c r="N342" s="219">
        <f t="shared" si="71"/>
        <v>-3.17477059618122</v>
      </c>
      <c r="O342" s="219">
        <f>((K342/G342)-1)*100</f>
        <v>-3.5211821425002787</v>
      </c>
    </row>
    <row r="343" spans="2:15" ht="11.25" customHeight="1">
      <c r="D343" s="476">
        <f>SUM(D331:D342)</f>
        <v>6016.4160160000001</v>
      </c>
      <c r="E343" s="476">
        <f t="shared" ref="E343:H343" si="73">SUM(E331:E342)</f>
        <v>8931.0630249999995</v>
      </c>
      <c r="F343" s="476">
        <f t="shared" si="73"/>
        <v>202.86083000000002</v>
      </c>
      <c r="G343" s="476">
        <f t="shared" si="73"/>
        <v>210.42507800000001</v>
      </c>
      <c r="H343" s="476">
        <f t="shared" si="73"/>
        <v>6052.2512240000015</v>
      </c>
      <c r="I343" s="476">
        <f>SUM(I331:I342)</f>
        <v>8840.0187609999994</v>
      </c>
      <c r="J343" s="476">
        <f>SUM(J331:J342)</f>
        <v>207.356224</v>
      </c>
      <c r="K343" s="476">
        <f>SUM(K331:K342)</f>
        <v>212.94905599999998</v>
      </c>
    </row>
    <row r="344" spans="2:15" ht="11.25" customHeight="1">
      <c r="C344" s="259" t="s">
        <v>341</v>
      </c>
      <c r="D344" s="259"/>
      <c r="E344" s="259"/>
      <c r="F344" s="259"/>
      <c r="G344" s="73"/>
    </row>
    <row r="345" spans="2:15" ht="11.25" customHeight="1">
      <c r="C345" s="260"/>
      <c r="D345" s="261"/>
      <c r="E345" s="262" t="s">
        <v>31</v>
      </c>
      <c r="F345" s="262" t="s">
        <v>14</v>
      </c>
      <c r="G345" s="73"/>
    </row>
    <row r="346" spans="2:15" ht="11.25" customHeight="1">
      <c r="C346" s="263" t="s">
        <v>28</v>
      </c>
      <c r="D346" s="264"/>
      <c r="E346" s="265">
        <f>'Data 1'!G70</f>
        <v>468.4</v>
      </c>
      <c r="F346" s="266">
        <f>ROUND(E346/$E$357*100,1)</f>
        <v>20.5</v>
      </c>
      <c r="G346" s="73"/>
    </row>
    <row r="347" spans="2:15" ht="11.25" customHeight="1">
      <c r="C347" s="267" t="s">
        <v>321</v>
      </c>
      <c r="D347" s="268"/>
      <c r="E347" s="265">
        <v>182</v>
      </c>
      <c r="F347" s="266">
        <f t="shared" ref="F347:F355" si="74">ROUND(E347/$E$357*100,1)</f>
        <v>8</v>
      </c>
      <c r="G347" s="73"/>
    </row>
    <row r="348" spans="2:15" ht="11.25" customHeight="1">
      <c r="C348" s="267" t="s">
        <v>49</v>
      </c>
      <c r="D348" s="268"/>
      <c r="E348" s="265">
        <v>605.4</v>
      </c>
      <c r="F348" s="266">
        <f t="shared" si="74"/>
        <v>26.5</v>
      </c>
      <c r="G348" s="73"/>
    </row>
    <row r="349" spans="2:15" ht="11.25" customHeight="1">
      <c r="C349" s="267" t="s">
        <v>44</v>
      </c>
      <c r="D349" s="268"/>
      <c r="E349" s="265">
        <f>'Data 1'!G72</f>
        <v>857.95</v>
      </c>
      <c r="F349" s="266">
        <f t="shared" si="74"/>
        <v>37.5</v>
      </c>
      <c r="G349" s="73"/>
    </row>
    <row r="350" spans="2:15" ht="11.25" customHeight="1">
      <c r="C350" s="267" t="s">
        <v>46</v>
      </c>
      <c r="D350" s="268"/>
      <c r="E350" s="265"/>
      <c r="F350" s="266">
        <f t="shared" si="74"/>
        <v>0</v>
      </c>
      <c r="G350" s="73"/>
    </row>
    <row r="351" spans="2:15" ht="11.25" customHeight="1">
      <c r="C351" s="267" t="s">
        <v>74</v>
      </c>
      <c r="D351" s="268"/>
      <c r="E351" s="265">
        <f>'Data 1'!G78</f>
        <v>10.486999999999998</v>
      </c>
      <c r="F351" s="266">
        <f t="shared" si="74"/>
        <v>0.5</v>
      </c>
      <c r="G351" s="73"/>
    </row>
    <row r="352" spans="2:15" ht="11.25" customHeight="1">
      <c r="C352" s="267" t="s">
        <v>96</v>
      </c>
      <c r="D352" s="268"/>
      <c r="E352" s="265">
        <f>'Data 1'!G79</f>
        <v>37.400000000000006</v>
      </c>
      <c r="F352" s="266">
        <f t="shared" si="74"/>
        <v>1.6</v>
      </c>
      <c r="G352" s="73"/>
    </row>
    <row r="353" spans="3:7" ht="11.25" customHeight="1">
      <c r="C353" s="267" t="s">
        <v>97</v>
      </c>
      <c r="D353" s="268"/>
      <c r="E353" s="265">
        <f>'Data 1'!G80</f>
        <v>37.400000000000006</v>
      </c>
      <c r="F353" s="266">
        <f t="shared" si="74"/>
        <v>1.6</v>
      </c>
      <c r="G353" s="73"/>
    </row>
    <row r="354" spans="3:7" ht="11.25" customHeight="1">
      <c r="C354" s="267" t="s">
        <v>50</v>
      </c>
      <c r="D354" s="268"/>
      <c r="E354" s="265">
        <f>'Data 1'!G74</f>
        <v>3.6374999999999909</v>
      </c>
      <c r="F354" s="266">
        <f>ROUND(E354/$E$357*100,1)</f>
        <v>0.2</v>
      </c>
      <c r="G354" s="73"/>
    </row>
    <row r="355" spans="3:7" ht="11.25" customHeight="1">
      <c r="C355" s="267" t="s">
        <v>51</v>
      </c>
      <c r="D355" s="268"/>
      <c r="E355" s="265">
        <f>'Data 1'!G75</f>
        <v>80.225044999999852</v>
      </c>
      <c r="F355" s="266">
        <f t="shared" si="74"/>
        <v>3.5</v>
      </c>
      <c r="G355" s="73"/>
    </row>
    <row r="356" spans="3:7" ht="11.25" customHeight="1">
      <c r="C356" s="267" t="s">
        <v>76</v>
      </c>
      <c r="D356" s="268"/>
      <c r="E356" s="265">
        <f>'Data 1'!G77</f>
        <v>2.13</v>
      </c>
      <c r="F356" s="266">
        <f>ROUND(E356/$E$357*100,1)</f>
        <v>0.1</v>
      </c>
      <c r="G356" s="73"/>
    </row>
    <row r="357" spans="3:7" ht="11.25" customHeight="1">
      <c r="C357" s="269" t="s">
        <v>32</v>
      </c>
      <c r="D357" s="270"/>
      <c r="E357" s="271">
        <f>SUM(E346:E356)</f>
        <v>2285.0295449999999</v>
      </c>
      <c r="F357" s="272">
        <f>SUM(F346:F356)</f>
        <v>99.999999999999986</v>
      </c>
      <c r="G357" s="73"/>
    </row>
    <row r="358" spans="3:7" ht="11.25" customHeight="1">
      <c r="C358" s="73"/>
      <c r="D358" s="73"/>
      <c r="E358" s="424"/>
      <c r="F358" s="73"/>
      <c r="G358" s="73"/>
    </row>
    <row r="359" spans="3:7" ht="11.25" customHeight="1">
      <c r="C359" s="259" t="s">
        <v>430</v>
      </c>
      <c r="D359" s="259"/>
      <c r="E359" s="259"/>
      <c r="F359" s="259"/>
      <c r="G359" s="73"/>
    </row>
    <row r="360" spans="3:7" ht="11.25" customHeight="1">
      <c r="C360" s="260"/>
      <c r="D360" s="261"/>
      <c r="E360" s="262" t="s">
        <v>1</v>
      </c>
      <c r="F360" s="262" t="s">
        <v>14</v>
      </c>
      <c r="G360" s="73"/>
    </row>
    <row r="361" spans="3:7" ht="11.25" customHeight="1">
      <c r="C361" s="263" t="s">
        <v>28</v>
      </c>
      <c r="D361" s="264"/>
      <c r="E361" s="265">
        <f>G7</f>
        <v>2597.531837</v>
      </c>
      <c r="F361" s="266">
        <f>ROUND(E361/$E$373*100,1)</f>
        <v>43.2</v>
      </c>
      <c r="G361" s="473">
        <f>E361/SUM($E$361:$E$371)*100</f>
        <v>53.700084826736031</v>
      </c>
    </row>
    <row r="362" spans="3:7" ht="11.25" customHeight="1">
      <c r="C362" s="267" t="s">
        <v>321</v>
      </c>
      <c r="D362" s="268"/>
      <c r="E362" s="265">
        <f>G8</f>
        <v>795.98756000000003</v>
      </c>
      <c r="F362" s="266">
        <f t="shared" ref="F362:F372" si="75">ROUND(E362/$E$373*100,1)</f>
        <v>13.2</v>
      </c>
      <c r="G362" s="473">
        <f t="shared" ref="G362:G371" si="76">E362/SUM($E$361:$E$371)*100</f>
        <v>16.455852006955261</v>
      </c>
    </row>
    <row r="363" spans="3:7" ht="11.25" customHeight="1">
      <c r="C363" s="267" t="s">
        <v>49</v>
      </c>
      <c r="D363" s="268"/>
      <c r="E363" s="265">
        <f>G9</f>
        <v>556.52457400000003</v>
      </c>
      <c r="F363" s="266">
        <f t="shared" si="75"/>
        <v>9.3000000000000007</v>
      </c>
      <c r="G363" s="473">
        <f t="shared" si="76"/>
        <v>11.505313007627684</v>
      </c>
    </row>
    <row r="364" spans="3:7" ht="11.25" customHeight="1">
      <c r="C364" s="267" t="s">
        <v>44</v>
      </c>
      <c r="D364" s="268"/>
      <c r="E364" s="265">
        <f>G11</f>
        <v>420.42935600000004</v>
      </c>
      <c r="F364" s="266">
        <f t="shared" si="75"/>
        <v>7</v>
      </c>
      <c r="G364" s="473">
        <f t="shared" si="76"/>
        <v>8.6917479736938468</v>
      </c>
    </row>
    <row r="365" spans="3:7" ht="11.25" customHeight="1">
      <c r="C365" s="267" t="s">
        <v>46</v>
      </c>
      <c r="D365" s="268"/>
      <c r="E365" s="265">
        <f>G12</f>
        <v>14.746465000000001</v>
      </c>
      <c r="F365" s="266">
        <f t="shared" si="75"/>
        <v>0.2</v>
      </c>
      <c r="G365" s="473">
        <f t="shared" si="76"/>
        <v>0.30486110318827786</v>
      </c>
    </row>
    <row r="366" spans="3:7" ht="11.25" customHeight="1">
      <c r="C366" s="267" t="s">
        <v>74</v>
      </c>
      <c r="D366" s="268"/>
      <c r="E366" s="265">
        <f>G16</f>
        <v>36.244233999999999</v>
      </c>
      <c r="F366" s="266">
        <f t="shared" si="75"/>
        <v>0.6</v>
      </c>
      <c r="G366" s="473">
        <f t="shared" si="76"/>
        <v>0.74929531663717963</v>
      </c>
    </row>
    <row r="367" spans="3:7" ht="11.25" customHeight="1">
      <c r="C367" s="267" t="s">
        <v>96</v>
      </c>
      <c r="D367" s="268"/>
      <c r="E367" s="265">
        <f>G17</f>
        <v>143.878668</v>
      </c>
      <c r="F367" s="266">
        <f t="shared" si="75"/>
        <v>2.4</v>
      </c>
      <c r="G367" s="473">
        <f t="shared" si="76"/>
        <v>2.9744762186557914</v>
      </c>
    </row>
    <row r="368" spans="3:7" ht="11.25" customHeight="1">
      <c r="C368" s="267" t="s">
        <v>97</v>
      </c>
      <c r="D368" s="268"/>
      <c r="E368" s="265">
        <f>G18</f>
        <v>143.878668</v>
      </c>
      <c r="F368" s="266">
        <f t="shared" si="75"/>
        <v>2.4</v>
      </c>
      <c r="G368" s="473">
        <f t="shared" si="76"/>
        <v>2.9744762186557914</v>
      </c>
    </row>
    <row r="369" spans="3:8" ht="11.25" customHeight="1">
      <c r="C369" s="267" t="s">
        <v>50</v>
      </c>
      <c r="D369" s="268"/>
      <c r="E369" s="265">
        <f>G13</f>
        <v>2.9242759999999999</v>
      </c>
      <c r="F369" s="266">
        <f t="shared" si="75"/>
        <v>0</v>
      </c>
      <c r="G369" s="473">
        <f t="shared" si="76"/>
        <v>6.0455031588045299E-2</v>
      </c>
    </row>
    <row r="370" spans="3:8" ht="11.25" customHeight="1">
      <c r="C370" s="267" t="s">
        <v>51</v>
      </c>
      <c r="D370" s="268"/>
      <c r="E370" s="265">
        <f>G14</f>
        <v>123.336995</v>
      </c>
      <c r="F370" s="266">
        <f t="shared" si="75"/>
        <v>2.1</v>
      </c>
      <c r="G370" s="473">
        <f t="shared" si="76"/>
        <v>2.5498078596888889</v>
      </c>
    </row>
    <row r="371" spans="3:8" ht="11.25" customHeight="1">
      <c r="C371" s="267" t="s">
        <v>76</v>
      </c>
      <c r="D371" s="268"/>
      <c r="E371" s="265">
        <f>G15</f>
        <v>1.626741</v>
      </c>
      <c r="F371" s="266">
        <f t="shared" si="75"/>
        <v>0</v>
      </c>
      <c r="G371" s="473">
        <f t="shared" si="76"/>
        <v>3.3630436573212782E-2</v>
      </c>
    </row>
    <row r="372" spans="3:8" ht="11.25" customHeight="1">
      <c r="C372" s="267" t="s">
        <v>64</v>
      </c>
      <c r="D372" s="268"/>
      <c r="E372" s="265">
        <f>G20</f>
        <v>1179.306642</v>
      </c>
      <c r="F372" s="266">
        <f t="shared" si="75"/>
        <v>19.600000000000001</v>
      </c>
      <c r="G372" s="276"/>
    </row>
    <row r="373" spans="3:8" ht="11.25" customHeight="1">
      <c r="C373" s="275" t="s">
        <v>32</v>
      </c>
      <c r="D373" s="270"/>
      <c r="E373" s="271">
        <f>SUM(E361:E372)</f>
        <v>6016.4160159999992</v>
      </c>
      <c r="F373" s="272">
        <f>SUM(F361:F372)</f>
        <v>100</v>
      </c>
      <c r="G373" s="73"/>
    </row>
    <row r="374" spans="3:8" ht="11.25" customHeight="1">
      <c r="C374" s="73"/>
      <c r="D374" s="73"/>
      <c r="E374" s="424"/>
      <c r="F374" s="73"/>
      <c r="G374" s="73"/>
    </row>
    <row r="375" spans="3:8" ht="11.25" customHeight="1">
      <c r="C375" s="259" t="s">
        <v>372</v>
      </c>
      <c r="D375" s="259"/>
      <c r="E375" s="259"/>
      <c r="F375" s="259"/>
      <c r="G375" s="73"/>
    </row>
    <row r="376" spans="3:8" ht="11.25" customHeight="1">
      <c r="C376" s="260"/>
      <c r="D376" s="261"/>
      <c r="E376" s="262" t="s">
        <v>1</v>
      </c>
      <c r="F376" s="262" t="s">
        <v>14</v>
      </c>
      <c r="G376" s="73"/>
    </row>
    <row r="377" spans="3:8" ht="11.25" customHeight="1">
      <c r="C377" s="263" t="s">
        <v>28</v>
      </c>
      <c r="D377" s="264"/>
      <c r="E377" s="265">
        <f>H7</f>
        <v>2391.8497910000001</v>
      </c>
      <c r="F377" s="266">
        <f>ROUND(E377/$E$389*100,1)</f>
        <v>39.5</v>
      </c>
      <c r="G377" s="473">
        <f>E377/SUM($E$377:$E$387)*100</f>
        <v>49.634838339415978</v>
      </c>
      <c r="H377" s="575"/>
    </row>
    <row r="378" spans="3:8" ht="11.25" customHeight="1">
      <c r="C378" s="267" t="s">
        <v>321</v>
      </c>
      <c r="D378" s="268"/>
      <c r="E378" s="265">
        <f>H8</f>
        <v>634.86994499999992</v>
      </c>
      <c r="F378" s="266">
        <f t="shared" ref="F378:F388" si="77">ROUND(E378/$E$389*100,1)</f>
        <v>10.5</v>
      </c>
      <c r="G378" s="473">
        <f t="shared" ref="G378:G387" si="78">E378/SUM($E$377:$E$387)*100</f>
        <v>13.174601183234966</v>
      </c>
      <c r="H378" s="575"/>
    </row>
    <row r="379" spans="3:8" ht="11.25" customHeight="1">
      <c r="C379" s="267" t="s">
        <v>49</v>
      </c>
      <c r="D379" s="268"/>
      <c r="E379" s="265">
        <f>H9</f>
        <v>764.99901499999999</v>
      </c>
      <c r="F379" s="266">
        <f t="shared" si="77"/>
        <v>12.6</v>
      </c>
      <c r="G379" s="473">
        <f t="shared" si="78"/>
        <v>15.874994567891514</v>
      </c>
      <c r="H379" s="575"/>
    </row>
    <row r="380" spans="3:8" ht="11.25" customHeight="1">
      <c r="C380" s="267" t="s">
        <v>44</v>
      </c>
      <c r="D380" s="268"/>
      <c r="E380" s="265">
        <f>H11</f>
        <v>590.52926400000001</v>
      </c>
      <c r="F380" s="266">
        <f t="shared" si="77"/>
        <v>9.8000000000000007</v>
      </c>
      <c r="G380" s="473">
        <f t="shared" si="78"/>
        <v>12.254458730487352</v>
      </c>
      <c r="H380" s="575"/>
    </row>
    <row r="381" spans="3:8" ht="11.25" customHeight="1">
      <c r="C381" s="267" t="s">
        <v>46</v>
      </c>
      <c r="D381" s="268"/>
      <c r="E381" s="265">
        <f>H12</f>
        <v>12.813724000000001</v>
      </c>
      <c r="F381" s="266">
        <f>ROUND(E381/$E$389*100,1)</f>
        <v>0.2</v>
      </c>
      <c r="G381" s="473">
        <f t="shared" si="78"/>
        <v>0.26590596184553406</v>
      </c>
      <c r="H381" s="575"/>
    </row>
    <row r="382" spans="3:8" ht="11.25" customHeight="1">
      <c r="C382" s="267" t="s">
        <v>74</v>
      </c>
      <c r="D382" s="268"/>
      <c r="E382" s="265">
        <f>H16</f>
        <v>34.974446</v>
      </c>
      <c r="F382" s="266">
        <f t="shared" si="77"/>
        <v>0.6</v>
      </c>
      <c r="G382" s="473">
        <f t="shared" si="78"/>
        <v>0.72577758843913698</v>
      </c>
      <c r="H382" s="575"/>
    </row>
    <row r="383" spans="3:8" ht="11.25" customHeight="1">
      <c r="C383" s="267" t="s">
        <v>96</v>
      </c>
      <c r="D383" s="268"/>
      <c r="E383" s="265">
        <f>H17</f>
        <v>135.7577445</v>
      </c>
      <c r="F383" s="266">
        <f t="shared" si="77"/>
        <v>2.2000000000000002</v>
      </c>
      <c r="G383" s="473">
        <f t="shared" si="78"/>
        <v>2.8171976881391205</v>
      </c>
      <c r="H383" s="575"/>
    </row>
    <row r="384" spans="3:8" ht="11.25" customHeight="1">
      <c r="C384" s="267" t="s">
        <v>97</v>
      </c>
      <c r="D384" s="268"/>
      <c r="E384" s="265">
        <f>H18</f>
        <v>135.7577445</v>
      </c>
      <c r="F384" s="266">
        <f t="shared" si="77"/>
        <v>2.2000000000000002</v>
      </c>
      <c r="G384" s="473">
        <f t="shared" si="78"/>
        <v>2.8171976881391205</v>
      </c>
      <c r="H384" s="575"/>
    </row>
    <row r="385" spans="3:8" ht="11.25" customHeight="1">
      <c r="C385" s="267" t="s">
        <v>50</v>
      </c>
      <c r="D385" s="268"/>
      <c r="E385" s="265">
        <f>H13</f>
        <v>3.757171</v>
      </c>
      <c r="F385" s="266">
        <f t="shared" si="77"/>
        <v>0.1</v>
      </c>
      <c r="G385" s="473">
        <f t="shared" si="78"/>
        <v>7.7967511128938558E-2</v>
      </c>
      <c r="H385" s="575"/>
    </row>
    <row r="386" spans="3:8" ht="11.25" customHeight="1">
      <c r="C386" s="267" t="s">
        <v>51</v>
      </c>
      <c r="D386" s="268"/>
      <c r="E386" s="265">
        <f>H14</f>
        <v>112.251642</v>
      </c>
      <c r="F386" s="266">
        <f t="shared" si="77"/>
        <v>1.9</v>
      </c>
      <c r="G386" s="473">
        <f t="shared" si="78"/>
        <v>2.3294071914418129</v>
      </c>
      <c r="H386" s="575"/>
    </row>
    <row r="387" spans="3:8" ht="11.25" customHeight="1">
      <c r="C387" s="267" t="s">
        <v>76</v>
      </c>
      <c r="D387" s="268"/>
      <c r="E387" s="265">
        <f>H15</f>
        <v>1.332595</v>
      </c>
      <c r="F387" s="266">
        <f t="shared" si="77"/>
        <v>0</v>
      </c>
      <c r="G387" s="473">
        <f t="shared" si="78"/>
        <v>2.7653549836530698E-2</v>
      </c>
      <c r="H387" s="575"/>
    </row>
    <row r="388" spans="3:8" ht="11.25" customHeight="1">
      <c r="C388" s="267" t="s">
        <v>64</v>
      </c>
      <c r="D388" s="268"/>
      <c r="E388" s="265">
        <f>H20</f>
        <v>1233.358142</v>
      </c>
      <c r="F388" s="266">
        <f t="shared" si="77"/>
        <v>20.399999999999999</v>
      </c>
      <c r="G388" s="276"/>
      <c r="H388" s="575"/>
    </row>
    <row r="389" spans="3:8" ht="11.25" customHeight="1">
      <c r="C389" s="275" t="s">
        <v>32</v>
      </c>
      <c r="D389" s="270"/>
      <c r="E389" s="271">
        <f>SUM(E377:E388)</f>
        <v>6052.2512239999996</v>
      </c>
      <c r="F389" s="272">
        <f>SUM(F377:F388)</f>
        <v>100</v>
      </c>
      <c r="G389" s="73"/>
      <c r="H389" s="575"/>
    </row>
    <row r="390" spans="3:8" ht="11.25" customHeight="1"/>
    <row r="391" spans="3:8" ht="11.25" customHeight="1">
      <c r="C391" s="259" t="s">
        <v>371</v>
      </c>
      <c r="D391" s="259"/>
      <c r="E391" s="259"/>
      <c r="F391" s="259"/>
    </row>
    <row r="392" spans="3:8" ht="11.25" customHeight="1">
      <c r="C392" s="260"/>
      <c r="D392" s="261"/>
      <c r="E392" s="262" t="s">
        <v>31</v>
      </c>
      <c r="F392" s="262" t="s">
        <v>14</v>
      </c>
    </row>
    <row r="393" spans="3:8" ht="11.25" customHeight="1">
      <c r="C393" s="267" t="s">
        <v>321</v>
      </c>
      <c r="D393" s="268"/>
      <c r="E393" s="265">
        <v>495.92000000000013</v>
      </c>
      <c r="F393" s="266">
        <f t="shared" ref="F393:F402" si="79">ROUND(E393/$E$403*100,1)</f>
        <v>16.5</v>
      </c>
    </row>
    <row r="394" spans="3:8" ht="11.25" customHeight="1">
      <c r="C394" s="267" t="s">
        <v>49</v>
      </c>
      <c r="D394" s="268"/>
      <c r="E394" s="265">
        <v>557.1400000000001</v>
      </c>
      <c r="F394" s="266">
        <f t="shared" si="79"/>
        <v>18.5</v>
      </c>
    </row>
    <row r="395" spans="3:8" ht="11.25" customHeight="1">
      <c r="C395" s="267" t="s">
        <v>53</v>
      </c>
      <c r="D395" s="268"/>
      <c r="E395" s="265">
        <v>482.64</v>
      </c>
      <c r="F395" s="266">
        <f t="shared" si="79"/>
        <v>16.100000000000001</v>
      </c>
    </row>
    <row r="396" spans="3:8" ht="11.25" customHeight="1">
      <c r="C396" s="267" t="s">
        <v>44</v>
      </c>
      <c r="D396" s="268"/>
      <c r="E396" s="265">
        <f>'Data 1'!I72</f>
        <v>864.2</v>
      </c>
      <c r="F396" s="266">
        <f t="shared" si="79"/>
        <v>28.7</v>
      </c>
    </row>
    <row r="397" spans="3:8" ht="11.25" customHeight="1">
      <c r="C397" s="267" t="s">
        <v>74</v>
      </c>
      <c r="D397" s="268"/>
      <c r="E397" s="265"/>
      <c r="F397" s="266">
        <f t="shared" si="79"/>
        <v>0</v>
      </c>
    </row>
    <row r="398" spans="3:8" ht="11.25" customHeight="1">
      <c r="C398" s="263" t="s">
        <v>26</v>
      </c>
      <c r="D398" s="264"/>
      <c r="E398" s="265">
        <f>'Data 1'!I67</f>
        <v>2.02</v>
      </c>
      <c r="F398" s="266">
        <f t="shared" si="79"/>
        <v>0.1</v>
      </c>
    </row>
    <row r="399" spans="3:8" ht="11.25" customHeight="1">
      <c r="C399" s="267" t="s">
        <v>69</v>
      </c>
      <c r="D399" s="268"/>
      <c r="E399" s="265">
        <f>'Data 1'!I73</f>
        <v>11.39</v>
      </c>
      <c r="F399" s="266">
        <f t="shared" si="79"/>
        <v>0.4</v>
      </c>
    </row>
    <row r="400" spans="3:8" ht="11.25" customHeight="1">
      <c r="C400" s="267" t="s">
        <v>50</v>
      </c>
      <c r="D400" s="268"/>
      <c r="E400" s="265">
        <f>'Data 1'!I74</f>
        <v>421.71499999999997</v>
      </c>
      <c r="F400" s="266">
        <f t="shared" si="79"/>
        <v>14</v>
      </c>
    </row>
    <row r="401" spans="3:6" ht="11.25" customHeight="1">
      <c r="C401" s="267" t="s">
        <v>51</v>
      </c>
      <c r="D401" s="268"/>
      <c r="E401" s="265">
        <f>'Data 1'!I75</f>
        <v>167.32556999999963</v>
      </c>
      <c r="F401" s="266">
        <f t="shared" si="79"/>
        <v>5.6</v>
      </c>
    </row>
    <row r="402" spans="3:6" ht="11.25" customHeight="1">
      <c r="C402" s="267" t="s">
        <v>76</v>
      </c>
      <c r="D402" s="268"/>
      <c r="E402" s="265">
        <f>'Data 1'!I77</f>
        <v>3.6960000000000002</v>
      </c>
      <c r="F402" s="266">
        <f t="shared" si="79"/>
        <v>0.1</v>
      </c>
    </row>
    <row r="403" spans="3:6" ht="11.25" customHeight="1">
      <c r="C403" s="269" t="s">
        <v>32</v>
      </c>
      <c r="D403" s="270"/>
      <c r="E403" s="271">
        <f>SUM(E393:E402)</f>
        <v>3006.04657</v>
      </c>
      <c r="F403" s="272">
        <f>SUM(F393:F402)</f>
        <v>99.999999999999986</v>
      </c>
    </row>
    <row r="404" spans="3:6" ht="11.25" customHeight="1"/>
    <row r="405" spans="3:6" ht="11.25" customHeight="1">
      <c r="C405" s="259" t="s">
        <v>432</v>
      </c>
    </row>
    <row r="406" spans="3:6" ht="11.25" customHeight="1">
      <c r="C406" s="260"/>
      <c r="D406" s="261"/>
      <c r="E406" s="262" t="s">
        <v>1</v>
      </c>
      <c r="F406" s="262" t="s">
        <v>14</v>
      </c>
    </row>
    <row r="407" spans="3:6" ht="11.25" customHeight="1">
      <c r="C407" s="267" t="s">
        <v>321</v>
      </c>
      <c r="D407" s="268"/>
      <c r="E407" s="265">
        <f>G26</f>
        <v>2242.3242279999999</v>
      </c>
      <c r="F407" s="266">
        <f>ROUND(E407/$E$417*100,1)</f>
        <v>25.1</v>
      </c>
    </row>
    <row r="408" spans="3:6" ht="11.25" customHeight="1">
      <c r="C408" s="267" t="s">
        <v>49</v>
      </c>
      <c r="D408" s="268"/>
      <c r="E408" s="265">
        <f>G27</f>
        <v>314.34570600000001</v>
      </c>
      <c r="F408" s="266">
        <f t="shared" ref="F408:F416" si="80">ROUND(E408/$E$417*100,1)</f>
        <v>3.5</v>
      </c>
    </row>
    <row r="409" spans="3:6" ht="11.25" customHeight="1">
      <c r="C409" s="267" t="s">
        <v>53</v>
      </c>
      <c r="D409" s="268"/>
      <c r="E409" s="265">
        <f>G28</f>
        <v>2674.3938499999999</v>
      </c>
      <c r="F409" s="266">
        <f t="shared" si="80"/>
        <v>29.9</v>
      </c>
    </row>
    <row r="410" spans="3:6" ht="11.25" customHeight="1">
      <c r="C410" s="267" t="s">
        <v>44</v>
      </c>
      <c r="D410" s="268"/>
      <c r="E410" s="265">
        <f>G30</f>
        <v>2997.3769480000001</v>
      </c>
      <c r="F410" s="266">
        <f>100-SUM(F407:F409,F411:F416)</f>
        <v>33.700000000000003</v>
      </c>
    </row>
    <row r="411" spans="3:6" ht="11.25" customHeight="1">
      <c r="C411" s="267" t="s">
        <v>74</v>
      </c>
      <c r="D411" s="268"/>
      <c r="E411" s="265"/>
      <c r="F411" s="266">
        <f t="shared" si="80"/>
        <v>0</v>
      </c>
    </row>
    <row r="412" spans="3:6" ht="11.25" customHeight="1">
      <c r="C412" s="263" t="s">
        <v>26</v>
      </c>
      <c r="D412" s="264"/>
      <c r="E412" s="265">
        <f>G25</f>
        <v>3.271979</v>
      </c>
      <c r="F412" s="266">
        <f t="shared" si="80"/>
        <v>0</v>
      </c>
    </row>
    <row r="413" spans="3:6" ht="11.25" customHeight="1">
      <c r="C413" s="267" t="s">
        <v>69</v>
      </c>
      <c r="D413" s="268"/>
      <c r="E413" s="265">
        <f>G32</f>
        <v>20.233057000000002</v>
      </c>
      <c r="F413" s="266">
        <f t="shared" si="80"/>
        <v>0.2</v>
      </c>
    </row>
    <row r="414" spans="3:6" ht="11.25" customHeight="1">
      <c r="C414" s="267" t="s">
        <v>50</v>
      </c>
      <c r="D414" s="268"/>
      <c r="E414" s="265">
        <f>G33</f>
        <v>395.92533299999997</v>
      </c>
      <c r="F414" s="266">
        <f t="shared" si="80"/>
        <v>4.4000000000000004</v>
      </c>
    </row>
    <row r="415" spans="3:6" ht="11.25" customHeight="1">
      <c r="C415" s="267" t="s">
        <v>51</v>
      </c>
      <c r="D415" s="268"/>
      <c r="E415" s="265">
        <f>G34</f>
        <v>273.626665</v>
      </c>
      <c r="F415" s="266">
        <f t="shared" si="80"/>
        <v>3.1</v>
      </c>
    </row>
    <row r="416" spans="3:6" ht="11.25" customHeight="1">
      <c r="C416" s="267" t="s">
        <v>76</v>
      </c>
      <c r="D416" s="268"/>
      <c r="E416" s="265">
        <f>G35</f>
        <v>9.5652589999999993</v>
      </c>
      <c r="F416" s="266">
        <f t="shared" si="80"/>
        <v>0.1</v>
      </c>
    </row>
    <row r="417" spans="3:7" ht="11.25" customHeight="1">
      <c r="C417" s="269" t="s">
        <v>32</v>
      </c>
      <c r="D417" s="270"/>
      <c r="E417" s="271">
        <f>SUM(E407:E416)</f>
        <v>8931.0630249999977</v>
      </c>
      <c r="F417" s="272">
        <f>SUM(F407:F416)</f>
        <v>100</v>
      </c>
    </row>
    <row r="418" spans="3:7" ht="11.25" customHeight="1"/>
    <row r="419" spans="3:7" ht="11.25" customHeight="1">
      <c r="C419" s="259" t="s">
        <v>373</v>
      </c>
    </row>
    <row r="420" spans="3:7" ht="11.25" customHeight="1">
      <c r="C420" s="260"/>
      <c r="D420" s="261"/>
      <c r="E420" s="262" t="s">
        <v>1</v>
      </c>
      <c r="F420" s="262" t="s">
        <v>14</v>
      </c>
    </row>
    <row r="421" spans="3:7" ht="11.25" customHeight="1">
      <c r="C421" s="267" t="s">
        <v>321</v>
      </c>
      <c r="D421" s="268"/>
      <c r="E421" s="265">
        <f>H26</f>
        <v>2121.1640320000001</v>
      </c>
      <c r="F421" s="266">
        <f t="shared" ref="F421:F430" si="81">ROUND(E421/$E$431*100,1)</f>
        <v>24</v>
      </c>
      <c r="G421" s="575"/>
    </row>
    <row r="422" spans="3:7" ht="11.25" customHeight="1">
      <c r="C422" s="267" t="s">
        <v>49</v>
      </c>
      <c r="D422" s="268"/>
      <c r="E422" s="265">
        <f>H27</f>
        <v>284.35378399999996</v>
      </c>
      <c r="F422" s="266">
        <f t="shared" si="81"/>
        <v>3.2</v>
      </c>
      <c r="G422" s="575"/>
    </row>
    <row r="423" spans="3:7" ht="11.25" customHeight="1">
      <c r="C423" s="267" t="s">
        <v>53</v>
      </c>
      <c r="D423" s="268"/>
      <c r="E423" s="265">
        <f>H28</f>
        <v>2455.4323709999999</v>
      </c>
      <c r="F423" s="266">
        <f t="shared" si="81"/>
        <v>27.8</v>
      </c>
      <c r="G423" s="575"/>
    </row>
    <row r="424" spans="3:7" ht="11.25" customHeight="1">
      <c r="C424" s="267" t="s">
        <v>44</v>
      </c>
      <c r="D424" s="268"/>
      <c r="E424" s="265">
        <f>H30</f>
        <v>3051.021608</v>
      </c>
      <c r="F424" s="266">
        <f t="shared" si="81"/>
        <v>34.5</v>
      </c>
      <c r="G424" s="575"/>
    </row>
    <row r="425" spans="3:7" ht="11.25" customHeight="1">
      <c r="C425" s="267" t="s">
        <v>74</v>
      </c>
      <c r="D425" s="268"/>
      <c r="E425" s="265"/>
      <c r="F425" s="266">
        <f t="shared" si="81"/>
        <v>0</v>
      </c>
      <c r="G425" s="575"/>
    </row>
    <row r="426" spans="3:7" ht="11.25" customHeight="1">
      <c r="C426" s="263" t="s">
        <v>26</v>
      </c>
      <c r="D426" s="264"/>
      <c r="E426" s="265">
        <f>H25</f>
        <v>3.275909</v>
      </c>
      <c r="F426" s="266">
        <f>ROUND(E426/$E$431*100,1)</f>
        <v>0</v>
      </c>
      <c r="G426" s="575"/>
    </row>
    <row r="427" spans="3:7" ht="11.25" customHeight="1">
      <c r="C427" s="267" t="s">
        <v>69</v>
      </c>
      <c r="D427" s="268"/>
      <c r="E427" s="265">
        <f>H32</f>
        <v>23.655544000000003</v>
      </c>
      <c r="F427" s="266">
        <f t="shared" si="81"/>
        <v>0.3</v>
      </c>
      <c r="G427" s="575"/>
    </row>
    <row r="428" spans="3:7" ht="11.25" customHeight="1">
      <c r="C428" s="267" t="s">
        <v>50</v>
      </c>
      <c r="D428" s="268"/>
      <c r="E428" s="265">
        <f>H33</f>
        <v>620.57070399999998</v>
      </c>
      <c r="F428" s="266">
        <f t="shared" si="81"/>
        <v>7</v>
      </c>
      <c r="G428" s="575"/>
    </row>
    <row r="429" spans="3:7" ht="11.25" customHeight="1">
      <c r="C429" s="267" t="s">
        <v>51</v>
      </c>
      <c r="D429" s="268"/>
      <c r="E429" s="265">
        <f>H34</f>
        <v>271.61321199999998</v>
      </c>
      <c r="F429" s="266">
        <f t="shared" si="81"/>
        <v>3.1</v>
      </c>
      <c r="G429" s="575"/>
    </row>
    <row r="430" spans="3:7" ht="11.25" customHeight="1">
      <c r="C430" s="267" t="s">
        <v>76</v>
      </c>
      <c r="D430" s="268"/>
      <c r="E430" s="265">
        <f>H35</f>
        <v>8.931597</v>
      </c>
      <c r="F430" s="266">
        <f t="shared" si="81"/>
        <v>0.1</v>
      </c>
      <c r="G430" s="575"/>
    </row>
    <row r="431" spans="3:7" ht="11.25" customHeight="1">
      <c r="C431" s="269" t="s">
        <v>32</v>
      </c>
      <c r="D431" s="270"/>
      <c r="E431" s="271">
        <f>SUM(E421:E430)</f>
        <v>8840.0187610000012</v>
      </c>
      <c r="F431" s="272">
        <f>SUM(F421:F430)</f>
        <v>99.999999999999986</v>
      </c>
    </row>
    <row r="432" spans="3:7" ht="11.25" customHeight="1"/>
    <row r="433" ht="11.25" customHeight="1"/>
    <row r="434" ht="11.25" customHeight="1"/>
  </sheetData>
  <mergeCells count="4">
    <mergeCell ref="L328:O328"/>
    <mergeCell ref="C327:F327"/>
    <mergeCell ref="D328:G328"/>
    <mergeCell ref="H328:K328"/>
  </mergeCells>
  <pageMargins left="0.7" right="0.7" top="0.75" bottom="0.75" header="0.3" footer="0.3"/>
  <pageSetup paperSize="9" orientation="portrait" r:id="rId1"/>
  <ignoredErrors>
    <ignoredError sqref="D10:H10 D29:H29 D44:H44 D52:H52 D107:F107 D124:F124 D145:H145 D138:H138" formulaRange="1"/>
    <ignoredError sqref="I45 D72:H72 D164:H16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autoPageBreaks="0" fitToPage="1"/>
  </sheetPr>
  <dimension ref="A1:R49"/>
  <sheetViews>
    <sheetView showGridLines="0" showRowColHeaders="0" showOutlineSymbols="0" zoomScaleNormal="100" workbookViewId="0">
      <selection activeCell="C7" sqref="C7"/>
    </sheetView>
  </sheetViews>
  <sheetFormatPr baseColWidth="10" defaultRowHeight="11.25"/>
  <cols>
    <col min="1" max="1" width="0.140625" style="46" customWidth="1"/>
    <col min="2" max="2" width="2.7109375" style="46" customWidth="1"/>
    <col min="3" max="3" width="23.7109375" style="46" customWidth="1"/>
    <col min="4" max="4" width="1.28515625" style="46" customWidth="1"/>
    <col min="5" max="5" width="22.5703125" style="46" customWidth="1"/>
    <col min="6" max="14" width="6.7109375" style="46" customWidth="1"/>
    <col min="15" max="15" width="7.5703125" style="46" customWidth="1"/>
    <col min="16" max="256" width="11.42578125" style="46"/>
    <col min="257" max="257" width="0.140625" style="46" customWidth="1"/>
    <col min="258" max="258" width="2.7109375" style="46" customWidth="1"/>
    <col min="259" max="259" width="15.42578125" style="46" customWidth="1"/>
    <col min="260" max="260" width="1.28515625" style="46" customWidth="1"/>
    <col min="261" max="261" width="15.85546875" style="46" customWidth="1"/>
    <col min="262" max="270" width="6.140625" style="46" customWidth="1"/>
    <col min="271" max="271" width="6.5703125" style="46" customWidth="1"/>
    <col min="272" max="272" width="8.42578125" style="46" customWidth="1"/>
    <col min="273" max="273" width="7.28515625" style="46" customWidth="1"/>
    <col min="274" max="274" width="3" style="46" bestFit="1" customWidth="1"/>
    <col min="275" max="275" width="11.7109375" style="46" customWidth="1"/>
    <col min="276" max="277" width="4" style="46" bestFit="1" customWidth="1"/>
    <col min="278" max="278" width="5.5703125" style="46" bestFit="1" customWidth="1"/>
    <col min="279" max="279" width="7.42578125" style="46" customWidth="1"/>
    <col min="280" max="280" width="7.5703125" style="46" customWidth="1"/>
    <col min="281" max="512" width="11.42578125" style="46"/>
    <col min="513" max="513" width="0.140625" style="46" customWidth="1"/>
    <col min="514" max="514" width="2.7109375" style="46" customWidth="1"/>
    <col min="515" max="515" width="15.42578125" style="46" customWidth="1"/>
    <col min="516" max="516" width="1.28515625" style="46" customWidth="1"/>
    <col min="517" max="517" width="15.85546875" style="46" customWidth="1"/>
    <col min="518" max="526" width="6.140625" style="46" customWidth="1"/>
    <col min="527" max="527" width="6.5703125" style="46" customWidth="1"/>
    <col min="528" max="528" width="8.42578125" style="46" customWidth="1"/>
    <col min="529" max="529" width="7.28515625" style="46" customWidth="1"/>
    <col min="530" max="530" width="3" style="46" bestFit="1" customWidth="1"/>
    <col min="531" max="531" width="11.7109375" style="46" customWidth="1"/>
    <col min="532" max="533" width="4" style="46" bestFit="1" customWidth="1"/>
    <col min="534" max="534" width="5.5703125" style="46" bestFit="1" customWidth="1"/>
    <col min="535" max="535" width="7.42578125" style="46" customWidth="1"/>
    <col min="536" max="536" width="7.5703125" style="46" customWidth="1"/>
    <col min="537" max="768" width="11.42578125" style="46"/>
    <col min="769" max="769" width="0.140625" style="46" customWidth="1"/>
    <col min="770" max="770" width="2.7109375" style="46" customWidth="1"/>
    <col min="771" max="771" width="15.42578125" style="46" customWidth="1"/>
    <col min="772" max="772" width="1.28515625" style="46" customWidth="1"/>
    <col min="773" max="773" width="15.85546875" style="46" customWidth="1"/>
    <col min="774" max="782" width="6.140625" style="46" customWidth="1"/>
    <col min="783" max="783" width="6.5703125" style="46" customWidth="1"/>
    <col min="784" max="784" width="8.42578125" style="46" customWidth="1"/>
    <col min="785" max="785" width="7.28515625" style="46" customWidth="1"/>
    <col min="786" max="786" width="3" style="46" bestFit="1" customWidth="1"/>
    <col min="787" max="787" width="11.7109375" style="46" customWidth="1"/>
    <col min="788" max="789" width="4" style="46" bestFit="1" customWidth="1"/>
    <col min="790" max="790" width="5.5703125" style="46" bestFit="1" customWidth="1"/>
    <col min="791" max="791" width="7.42578125" style="46" customWidth="1"/>
    <col min="792" max="792" width="7.5703125" style="46" customWidth="1"/>
    <col min="793" max="1024" width="11.42578125" style="46"/>
    <col min="1025" max="1025" width="0.140625" style="46" customWidth="1"/>
    <col min="1026" max="1026" width="2.7109375" style="46" customWidth="1"/>
    <col min="1027" max="1027" width="15.42578125" style="46" customWidth="1"/>
    <col min="1028" max="1028" width="1.28515625" style="46" customWidth="1"/>
    <col min="1029" max="1029" width="15.85546875" style="46" customWidth="1"/>
    <col min="1030" max="1038" width="6.140625" style="46" customWidth="1"/>
    <col min="1039" max="1039" width="6.5703125" style="46" customWidth="1"/>
    <col min="1040" max="1040" width="8.42578125" style="46" customWidth="1"/>
    <col min="1041" max="1041" width="7.28515625" style="46" customWidth="1"/>
    <col min="1042" max="1042" width="3" style="46" bestFit="1" customWidth="1"/>
    <col min="1043" max="1043" width="11.7109375" style="46" customWidth="1"/>
    <col min="1044" max="1045" width="4" style="46" bestFit="1" customWidth="1"/>
    <col min="1046" max="1046" width="5.5703125" style="46" bestFit="1" customWidth="1"/>
    <col min="1047" max="1047" width="7.42578125" style="46" customWidth="1"/>
    <col min="1048" max="1048" width="7.5703125" style="46" customWidth="1"/>
    <col min="1049" max="1280" width="11.42578125" style="46"/>
    <col min="1281" max="1281" width="0.140625" style="46" customWidth="1"/>
    <col min="1282" max="1282" width="2.7109375" style="46" customWidth="1"/>
    <col min="1283" max="1283" width="15.42578125" style="46" customWidth="1"/>
    <col min="1284" max="1284" width="1.28515625" style="46" customWidth="1"/>
    <col min="1285" max="1285" width="15.85546875" style="46" customWidth="1"/>
    <col min="1286" max="1294" width="6.140625" style="46" customWidth="1"/>
    <col min="1295" max="1295" width="6.5703125" style="46" customWidth="1"/>
    <col min="1296" max="1296" width="8.42578125" style="46" customWidth="1"/>
    <col min="1297" max="1297" width="7.28515625" style="46" customWidth="1"/>
    <col min="1298" max="1298" width="3" style="46" bestFit="1" customWidth="1"/>
    <col min="1299" max="1299" width="11.7109375" style="46" customWidth="1"/>
    <col min="1300" max="1301" width="4" style="46" bestFit="1" customWidth="1"/>
    <col min="1302" max="1302" width="5.5703125" style="46" bestFit="1" customWidth="1"/>
    <col min="1303" max="1303" width="7.42578125" style="46" customWidth="1"/>
    <col min="1304" max="1304" width="7.5703125" style="46" customWidth="1"/>
    <col min="1305" max="1536" width="11.42578125" style="46"/>
    <col min="1537" max="1537" width="0.140625" style="46" customWidth="1"/>
    <col min="1538" max="1538" width="2.7109375" style="46" customWidth="1"/>
    <col min="1539" max="1539" width="15.42578125" style="46" customWidth="1"/>
    <col min="1540" max="1540" width="1.28515625" style="46" customWidth="1"/>
    <col min="1541" max="1541" width="15.85546875" style="46" customWidth="1"/>
    <col min="1542" max="1550" width="6.140625" style="46" customWidth="1"/>
    <col min="1551" max="1551" width="6.5703125" style="46" customWidth="1"/>
    <col min="1552" max="1552" width="8.42578125" style="46" customWidth="1"/>
    <col min="1553" max="1553" width="7.28515625" style="46" customWidth="1"/>
    <col min="1554" max="1554" width="3" style="46" bestFit="1" customWidth="1"/>
    <col min="1555" max="1555" width="11.7109375" style="46" customWidth="1"/>
    <col min="1556" max="1557" width="4" style="46" bestFit="1" customWidth="1"/>
    <col min="1558" max="1558" width="5.5703125" style="46" bestFit="1" customWidth="1"/>
    <col min="1559" max="1559" width="7.42578125" style="46" customWidth="1"/>
    <col min="1560" max="1560" width="7.5703125" style="46" customWidth="1"/>
    <col min="1561" max="1792" width="11.42578125" style="46"/>
    <col min="1793" max="1793" width="0.140625" style="46" customWidth="1"/>
    <col min="1794" max="1794" width="2.7109375" style="46" customWidth="1"/>
    <col min="1795" max="1795" width="15.42578125" style="46" customWidth="1"/>
    <col min="1796" max="1796" width="1.28515625" style="46" customWidth="1"/>
    <col min="1797" max="1797" width="15.85546875" style="46" customWidth="1"/>
    <col min="1798" max="1806" width="6.140625" style="46" customWidth="1"/>
    <col min="1807" max="1807" width="6.5703125" style="46" customWidth="1"/>
    <col min="1808" max="1808" width="8.42578125" style="46" customWidth="1"/>
    <col min="1809" max="1809" width="7.28515625" style="46" customWidth="1"/>
    <col min="1810" max="1810" width="3" style="46" bestFit="1" customWidth="1"/>
    <col min="1811" max="1811" width="11.7109375" style="46" customWidth="1"/>
    <col min="1812" max="1813" width="4" style="46" bestFit="1" customWidth="1"/>
    <col min="1814" max="1814" width="5.5703125" style="46" bestFit="1" customWidth="1"/>
    <col min="1815" max="1815" width="7.42578125" style="46" customWidth="1"/>
    <col min="1816" max="1816" width="7.5703125" style="46" customWidth="1"/>
    <col min="1817" max="2048" width="11.42578125" style="46"/>
    <col min="2049" max="2049" width="0.140625" style="46" customWidth="1"/>
    <col min="2050" max="2050" width="2.7109375" style="46" customWidth="1"/>
    <col min="2051" max="2051" width="15.42578125" style="46" customWidth="1"/>
    <col min="2052" max="2052" width="1.28515625" style="46" customWidth="1"/>
    <col min="2053" max="2053" width="15.85546875" style="46" customWidth="1"/>
    <col min="2054" max="2062" width="6.140625" style="46" customWidth="1"/>
    <col min="2063" max="2063" width="6.5703125" style="46" customWidth="1"/>
    <col min="2064" max="2064" width="8.42578125" style="46" customWidth="1"/>
    <col min="2065" max="2065" width="7.28515625" style="46" customWidth="1"/>
    <col min="2066" max="2066" width="3" style="46" bestFit="1" customWidth="1"/>
    <col min="2067" max="2067" width="11.7109375" style="46" customWidth="1"/>
    <col min="2068" max="2069" width="4" style="46" bestFit="1" customWidth="1"/>
    <col min="2070" max="2070" width="5.5703125" style="46" bestFit="1" customWidth="1"/>
    <col min="2071" max="2071" width="7.42578125" style="46" customWidth="1"/>
    <col min="2072" max="2072" width="7.5703125" style="46" customWidth="1"/>
    <col min="2073" max="2304" width="11.42578125" style="46"/>
    <col min="2305" max="2305" width="0.140625" style="46" customWidth="1"/>
    <col min="2306" max="2306" width="2.7109375" style="46" customWidth="1"/>
    <col min="2307" max="2307" width="15.42578125" style="46" customWidth="1"/>
    <col min="2308" max="2308" width="1.28515625" style="46" customWidth="1"/>
    <col min="2309" max="2309" width="15.85546875" style="46" customWidth="1"/>
    <col min="2310" max="2318" width="6.140625" style="46" customWidth="1"/>
    <col min="2319" max="2319" width="6.5703125" style="46" customWidth="1"/>
    <col min="2320" max="2320" width="8.42578125" style="46" customWidth="1"/>
    <col min="2321" max="2321" width="7.28515625" style="46" customWidth="1"/>
    <col min="2322" max="2322" width="3" style="46" bestFit="1" customWidth="1"/>
    <col min="2323" max="2323" width="11.7109375" style="46" customWidth="1"/>
    <col min="2324" max="2325" width="4" style="46" bestFit="1" customWidth="1"/>
    <col min="2326" max="2326" width="5.5703125" style="46" bestFit="1" customWidth="1"/>
    <col min="2327" max="2327" width="7.42578125" style="46" customWidth="1"/>
    <col min="2328" max="2328" width="7.5703125" style="46" customWidth="1"/>
    <col min="2329" max="2560" width="11.42578125" style="46"/>
    <col min="2561" max="2561" width="0.140625" style="46" customWidth="1"/>
    <col min="2562" max="2562" width="2.7109375" style="46" customWidth="1"/>
    <col min="2563" max="2563" width="15.42578125" style="46" customWidth="1"/>
    <col min="2564" max="2564" width="1.28515625" style="46" customWidth="1"/>
    <col min="2565" max="2565" width="15.85546875" style="46" customWidth="1"/>
    <col min="2566" max="2574" width="6.140625" style="46" customWidth="1"/>
    <col min="2575" max="2575" width="6.5703125" style="46" customWidth="1"/>
    <col min="2576" max="2576" width="8.42578125" style="46" customWidth="1"/>
    <col min="2577" max="2577" width="7.28515625" style="46" customWidth="1"/>
    <col min="2578" max="2578" width="3" style="46" bestFit="1" customWidth="1"/>
    <col min="2579" max="2579" width="11.7109375" style="46" customWidth="1"/>
    <col min="2580" max="2581" width="4" style="46" bestFit="1" customWidth="1"/>
    <col min="2582" max="2582" width="5.5703125" style="46" bestFit="1" customWidth="1"/>
    <col min="2583" max="2583" width="7.42578125" style="46" customWidth="1"/>
    <col min="2584" max="2584" width="7.5703125" style="46" customWidth="1"/>
    <col min="2585" max="2816" width="11.42578125" style="46"/>
    <col min="2817" max="2817" width="0.140625" style="46" customWidth="1"/>
    <col min="2818" max="2818" width="2.7109375" style="46" customWidth="1"/>
    <col min="2819" max="2819" width="15.42578125" style="46" customWidth="1"/>
    <col min="2820" max="2820" width="1.28515625" style="46" customWidth="1"/>
    <col min="2821" max="2821" width="15.85546875" style="46" customWidth="1"/>
    <col min="2822" max="2830" width="6.140625" style="46" customWidth="1"/>
    <col min="2831" max="2831" width="6.5703125" style="46" customWidth="1"/>
    <col min="2832" max="2832" width="8.42578125" style="46" customWidth="1"/>
    <col min="2833" max="2833" width="7.28515625" style="46" customWidth="1"/>
    <col min="2834" max="2834" width="3" style="46" bestFit="1" customWidth="1"/>
    <col min="2835" max="2835" width="11.7109375" style="46" customWidth="1"/>
    <col min="2836" max="2837" width="4" style="46" bestFit="1" customWidth="1"/>
    <col min="2838" max="2838" width="5.5703125" style="46" bestFit="1" customWidth="1"/>
    <col min="2839" max="2839" width="7.42578125" style="46" customWidth="1"/>
    <col min="2840" max="2840" width="7.5703125" style="46" customWidth="1"/>
    <col min="2841" max="3072" width="11.42578125" style="46"/>
    <col min="3073" max="3073" width="0.140625" style="46" customWidth="1"/>
    <col min="3074" max="3074" width="2.7109375" style="46" customWidth="1"/>
    <col min="3075" max="3075" width="15.42578125" style="46" customWidth="1"/>
    <col min="3076" max="3076" width="1.28515625" style="46" customWidth="1"/>
    <col min="3077" max="3077" width="15.85546875" style="46" customWidth="1"/>
    <col min="3078" max="3086" width="6.140625" style="46" customWidth="1"/>
    <col min="3087" max="3087" width="6.5703125" style="46" customWidth="1"/>
    <col min="3088" max="3088" width="8.42578125" style="46" customWidth="1"/>
    <col min="3089" max="3089" width="7.28515625" style="46" customWidth="1"/>
    <col min="3090" max="3090" width="3" style="46" bestFit="1" customWidth="1"/>
    <col min="3091" max="3091" width="11.7109375" style="46" customWidth="1"/>
    <col min="3092" max="3093" width="4" style="46" bestFit="1" customWidth="1"/>
    <col min="3094" max="3094" width="5.5703125" style="46" bestFit="1" customWidth="1"/>
    <col min="3095" max="3095" width="7.42578125" style="46" customWidth="1"/>
    <col min="3096" max="3096" width="7.5703125" style="46" customWidth="1"/>
    <col min="3097" max="3328" width="11.42578125" style="46"/>
    <col min="3329" max="3329" width="0.140625" style="46" customWidth="1"/>
    <col min="3330" max="3330" width="2.7109375" style="46" customWidth="1"/>
    <col min="3331" max="3331" width="15.42578125" style="46" customWidth="1"/>
    <col min="3332" max="3332" width="1.28515625" style="46" customWidth="1"/>
    <col min="3333" max="3333" width="15.85546875" style="46" customWidth="1"/>
    <col min="3334" max="3342" width="6.140625" style="46" customWidth="1"/>
    <col min="3343" max="3343" width="6.5703125" style="46" customWidth="1"/>
    <col min="3344" max="3344" width="8.42578125" style="46" customWidth="1"/>
    <col min="3345" max="3345" width="7.28515625" style="46" customWidth="1"/>
    <col min="3346" max="3346" width="3" style="46" bestFit="1" customWidth="1"/>
    <col min="3347" max="3347" width="11.7109375" style="46" customWidth="1"/>
    <col min="3348" max="3349" width="4" style="46" bestFit="1" customWidth="1"/>
    <col min="3350" max="3350" width="5.5703125" style="46" bestFit="1" customWidth="1"/>
    <col min="3351" max="3351" width="7.42578125" style="46" customWidth="1"/>
    <col min="3352" max="3352" width="7.5703125" style="46" customWidth="1"/>
    <col min="3353" max="3584" width="11.42578125" style="46"/>
    <col min="3585" max="3585" width="0.140625" style="46" customWidth="1"/>
    <col min="3586" max="3586" width="2.7109375" style="46" customWidth="1"/>
    <col min="3587" max="3587" width="15.42578125" style="46" customWidth="1"/>
    <col min="3588" max="3588" width="1.28515625" style="46" customWidth="1"/>
    <col min="3589" max="3589" width="15.85546875" style="46" customWidth="1"/>
    <col min="3590" max="3598" width="6.140625" style="46" customWidth="1"/>
    <col min="3599" max="3599" width="6.5703125" style="46" customWidth="1"/>
    <col min="3600" max="3600" width="8.42578125" style="46" customWidth="1"/>
    <col min="3601" max="3601" width="7.28515625" style="46" customWidth="1"/>
    <col min="3602" max="3602" width="3" style="46" bestFit="1" customWidth="1"/>
    <col min="3603" max="3603" width="11.7109375" style="46" customWidth="1"/>
    <col min="3604" max="3605" width="4" style="46" bestFit="1" customWidth="1"/>
    <col min="3606" max="3606" width="5.5703125" style="46" bestFit="1" customWidth="1"/>
    <col min="3607" max="3607" width="7.42578125" style="46" customWidth="1"/>
    <col min="3608" max="3608" width="7.5703125" style="46" customWidth="1"/>
    <col min="3609" max="3840" width="11.42578125" style="46"/>
    <col min="3841" max="3841" width="0.140625" style="46" customWidth="1"/>
    <col min="3842" max="3842" width="2.7109375" style="46" customWidth="1"/>
    <col min="3843" max="3843" width="15.42578125" style="46" customWidth="1"/>
    <col min="3844" max="3844" width="1.28515625" style="46" customWidth="1"/>
    <col min="3845" max="3845" width="15.85546875" style="46" customWidth="1"/>
    <col min="3846" max="3854" width="6.140625" style="46" customWidth="1"/>
    <col min="3855" max="3855" width="6.5703125" style="46" customWidth="1"/>
    <col min="3856" max="3856" width="8.42578125" style="46" customWidth="1"/>
    <col min="3857" max="3857" width="7.28515625" style="46" customWidth="1"/>
    <col min="3858" max="3858" width="3" style="46" bestFit="1" customWidth="1"/>
    <col min="3859" max="3859" width="11.7109375" style="46" customWidth="1"/>
    <col min="3860" max="3861" width="4" style="46" bestFit="1" customWidth="1"/>
    <col min="3862" max="3862" width="5.5703125" style="46" bestFit="1" customWidth="1"/>
    <col min="3863" max="3863" width="7.42578125" style="46" customWidth="1"/>
    <col min="3864" max="3864" width="7.5703125" style="46" customWidth="1"/>
    <col min="3865" max="4096" width="11.42578125" style="46"/>
    <col min="4097" max="4097" width="0.140625" style="46" customWidth="1"/>
    <col min="4098" max="4098" width="2.7109375" style="46" customWidth="1"/>
    <col min="4099" max="4099" width="15.42578125" style="46" customWidth="1"/>
    <col min="4100" max="4100" width="1.28515625" style="46" customWidth="1"/>
    <col min="4101" max="4101" width="15.85546875" style="46" customWidth="1"/>
    <col min="4102" max="4110" width="6.140625" style="46" customWidth="1"/>
    <col min="4111" max="4111" width="6.5703125" style="46" customWidth="1"/>
    <col min="4112" max="4112" width="8.42578125" style="46" customWidth="1"/>
    <col min="4113" max="4113" width="7.28515625" style="46" customWidth="1"/>
    <col min="4114" max="4114" width="3" style="46" bestFit="1" customWidth="1"/>
    <col min="4115" max="4115" width="11.7109375" style="46" customWidth="1"/>
    <col min="4116" max="4117" width="4" style="46" bestFit="1" customWidth="1"/>
    <col min="4118" max="4118" width="5.5703125" style="46" bestFit="1" customWidth="1"/>
    <col min="4119" max="4119" width="7.42578125" style="46" customWidth="1"/>
    <col min="4120" max="4120" width="7.5703125" style="46" customWidth="1"/>
    <col min="4121" max="4352" width="11.42578125" style="46"/>
    <col min="4353" max="4353" width="0.140625" style="46" customWidth="1"/>
    <col min="4354" max="4354" width="2.7109375" style="46" customWidth="1"/>
    <col min="4355" max="4355" width="15.42578125" style="46" customWidth="1"/>
    <col min="4356" max="4356" width="1.28515625" style="46" customWidth="1"/>
    <col min="4357" max="4357" width="15.85546875" style="46" customWidth="1"/>
    <col min="4358" max="4366" width="6.140625" style="46" customWidth="1"/>
    <col min="4367" max="4367" width="6.5703125" style="46" customWidth="1"/>
    <col min="4368" max="4368" width="8.42578125" style="46" customWidth="1"/>
    <col min="4369" max="4369" width="7.28515625" style="46" customWidth="1"/>
    <col min="4370" max="4370" width="3" style="46" bestFit="1" customWidth="1"/>
    <col min="4371" max="4371" width="11.7109375" style="46" customWidth="1"/>
    <col min="4372" max="4373" width="4" style="46" bestFit="1" customWidth="1"/>
    <col min="4374" max="4374" width="5.5703125" style="46" bestFit="1" customWidth="1"/>
    <col min="4375" max="4375" width="7.42578125" style="46" customWidth="1"/>
    <col min="4376" max="4376" width="7.5703125" style="46" customWidth="1"/>
    <col min="4377" max="4608" width="11.42578125" style="46"/>
    <col min="4609" max="4609" width="0.140625" style="46" customWidth="1"/>
    <col min="4610" max="4610" width="2.7109375" style="46" customWidth="1"/>
    <col min="4611" max="4611" width="15.42578125" style="46" customWidth="1"/>
    <col min="4612" max="4612" width="1.28515625" style="46" customWidth="1"/>
    <col min="4613" max="4613" width="15.85546875" style="46" customWidth="1"/>
    <col min="4614" max="4622" width="6.140625" style="46" customWidth="1"/>
    <col min="4623" max="4623" width="6.5703125" style="46" customWidth="1"/>
    <col min="4624" max="4624" width="8.42578125" style="46" customWidth="1"/>
    <col min="4625" max="4625" width="7.28515625" style="46" customWidth="1"/>
    <col min="4626" max="4626" width="3" style="46" bestFit="1" customWidth="1"/>
    <col min="4627" max="4627" width="11.7109375" style="46" customWidth="1"/>
    <col min="4628" max="4629" width="4" style="46" bestFit="1" customWidth="1"/>
    <col min="4630" max="4630" width="5.5703125" style="46" bestFit="1" customWidth="1"/>
    <col min="4631" max="4631" width="7.42578125" style="46" customWidth="1"/>
    <col min="4632" max="4632" width="7.5703125" style="46" customWidth="1"/>
    <col min="4633" max="4864" width="11.42578125" style="46"/>
    <col min="4865" max="4865" width="0.140625" style="46" customWidth="1"/>
    <col min="4866" max="4866" width="2.7109375" style="46" customWidth="1"/>
    <col min="4867" max="4867" width="15.42578125" style="46" customWidth="1"/>
    <col min="4868" max="4868" width="1.28515625" style="46" customWidth="1"/>
    <col min="4869" max="4869" width="15.85546875" style="46" customWidth="1"/>
    <col min="4870" max="4878" width="6.140625" style="46" customWidth="1"/>
    <col min="4879" max="4879" width="6.5703125" style="46" customWidth="1"/>
    <col min="4880" max="4880" width="8.42578125" style="46" customWidth="1"/>
    <col min="4881" max="4881" width="7.28515625" style="46" customWidth="1"/>
    <col min="4882" max="4882" width="3" style="46" bestFit="1" customWidth="1"/>
    <col min="4883" max="4883" width="11.7109375" style="46" customWidth="1"/>
    <col min="4884" max="4885" width="4" style="46" bestFit="1" customWidth="1"/>
    <col min="4886" max="4886" width="5.5703125" style="46" bestFit="1" customWidth="1"/>
    <col min="4887" max="4887" width="7.42578125" style="46" customWidth="1"/>
    <col min="4888" max="4888" width="7.5703125" style="46" customWidth="1"/>
    <col min="4889" max="5120" width="11.42578125" style="46"/>
    <col min="5121" max="5121" width="0.140625" style="46" customWidth="1"/>
    <col min="5122" max="5122" width="2.7109375" style="46" customWidth="1"/>
    <col min="5123" max="5123" width="15.42578125" style="46" customWidth="1"/>
    <col min="5124" max="5124" width="1.28515625" style="46" customWidth="1"/>
    <col min="5125" max="5125" width="15.85546875" style="46" customWidth="1"/>
    <col min="5126" max="5134" width="6.140625" style="46" customWidth="1"/>
    <col min="5135" max="5135" width="6.5703125" style="46" customWidth="1"/>
    <col min="5136" max="5136" width="8.42578125" style="46" customWidth="1"/>
    <col min="5137" max="5137" width="7.28515625" style="46" customWidth="1"/>
    <col min="5138" max="5138" width="3" style="46" bestFit="1" customWidth="1"/>
    <col min="5139" max="5139" width="11.7109375" style="46" customWidth="1"/>
    <col min="5140" max="5141" width="4" style="46" bestFit="1" customWidth="1"/>
    <col min="5142" max="5142" width="5.5703125" style="46" bestFit="1" customWidth="1"/>
    <col min="5143" max="5143" width="7.42578125" style="46" customWidth="1"/>
    <col min="5144" max="5144" width="7.5703125" style="46" customWidth="1"/>
    <col min="5145" max="5376" width="11.42578125" style="46"/>
    <col min="5377" max="5377" width="0.140625" style="46" customWidth="1"/>
    <col min="5378" max="5378" width="2.7109375" style="46" customWidth="1"/>
    <col min="5379" max="5379" width="15.42578125" style="46" customWidth="1"/>
    <col min="5380" max="5380" width="1.28515625" style="46" customWidth="1"/>
    <col min="5381" max="5381" width="15.85546875" style="46" customWidth="1"/>
    <col min="5382" max="5390" width="6.140625" style="46" customWidth="1"/>
    <col min="5391" max="5391" width="6.5703125" style="46" customWidth="1"/>
    <col min="5392" max="5392" width="8.42578125" style="46" customWidth="1"/>
    <col min="5393" max="5393" width="7.28515625" style="46" customWidth="1"/>
    <col min="5394" max="5394" width="3" style="46" bestFit="1" customWidth="1"/>
    <col min="5395" max="5395" width="11.7109375" style="46" customWidth="1"/>
    <col min="5396" max="5397" width="4" style="46" bestFit="1" customWidth="1"/>
    <col min="5398" max="5398" width="5.5703125" style="46" bestFit="1" customWidth="1"/>
    <col min="5399" max="5399" width="7.42578125" style="46" customWidth="1"/>
    <col min="5400" max="5400" width="7.5703125" style="46" customWidth="1"/>
    <col min="5401" max="5632" width="11.42578125" style="46"/>
    <col min="5633" max="5633" width="0.140625" style="46" customWidth="1"/>
    <col min="5634" max="5634" width="2.7109375" style="46" customWidth="1"/>
    <col min="5635" max="5635" width="15.42578125" style="46" customWidth="1"/>
    <col min="5636" max="5636" width="1.28515625" style="46" customWidth="1"/>
    <col min="5637" max="5637" width="15.85546875" style="46" customWidth="1"/>
    <col min="5638" max="5646" width="6.140625" style="46" customWidth="1"/>
    <col min="5647" max="5647" width="6.5703125" style="46" customWidth="1"/>
    <col min="5648" max="5648" width="8.42578125" style="46" customWidth="1"/>
    <col min="5649" max="5649" width="7.28515625" style="46" customWidth="1"/>
    <col min="5650" max="5650" width="3" style="46" bestFit="1" customWidth="1"/>
    <col min="5651" max="5651" width="11.7109375" style="46" customWidth="1"/>
    <col min="5652" max="5653" width="4" style="46" bestFit="1" customWidth="1"/>
    <col min="5654" max="5654" width="5.5703125" style="46" bestFit="1" customWidth="1"/>
    <col min="5655" max="5655" width="7.42578125" style="46" customWidth="1"/>
    <col min="5656" max="5656" width="7.5703125" style="46" customWidth="1"/>
    <col min="5657" max="5888" width="11.42578125" style="46"/>
    <col min="5889" max="5889" width="0.140625" style="46" customWidth="1"/>
    <col min="5890" max="5890" width="2.7109375" style="46" customWidth="1"/>
    <col min="5891" max="5891" width="15.42578125" style="46" customWidth="1"/>
    <col min="5892" max="5892" width="1.28515625" style="46" customWidth="1"/>
    <col min="5893" max="5893" width="15.85546875" style="46" customWidth="1"/>
    <col min="5894" max="5902" width="6.140625" style="46" customWidth="1"/>
    <col min="5903" max="5903" width="6.5703125" style="46" customWidth="1"/>
    <col min="5904" max="5904" width="8.42578125" style="46" customWidth="1"/>
    <col min="5905" max="5905" width="7.28515625" style="46" customWidth="1"/>
    <col min="5906" max="5906" width="3" style="46" bestFit="1" customWidth="1"/>
    <col min="5907" max="5907" width="11.7109375" style="46" customWidth="1"/>
    <col min="5908" max="5909" width="4" style="46" bestFit="1" customWidth="1"/>
    <col min="5910" max="5910" width="5.5703125" style="46" bestFit="1" customWidth="1"/>
    <col min="5911" max="5911" width="7.42578125" style="46" customWidth="1"/>
    <col min="5912" max="5912" width="7.5703125" style="46" customWidth="1"/>
    <col min="5913" max="6144" width="11.42578125" style="46"/>
    <col min="6145" max="6145" width="0.140625" style="46" customWidth="1"/>
    <col min="6146" max="6146" width="2.7109375" style="46" customWidth="1"/>
    <col min="6147" max="6147" width="15.42578125" style="46" customWidth="1"/>
    <col min="6148" max="6148" width="1.28515625" style="46" customWidth="1"/>
    <col min="6149" max="6149" width="15.85546875" style="46" customWidth="1"/>
    <col min="6150" max="6158" width="6.140625" style="46" customWidth="1"/>
    <col min="6159" max="6159" width="6.5703125" style="46" customWidth="1"/>
    <col min="6160" max="6160" width="8.42578125" style="46" customWidth="1"/>
    <col min="6161" max="6161" width="7.28515625" style="46" customWidth="1"/>
    <col min="6162" max="6162" width="3" style="46" bestFit="1" customWidth="1"/>
    <col min="6163" max="6163" width="11.7109375" style="46" customWidth="1"/>
    <col min="6164" max="6165" width="4" style="46" bestFit="1" customWidth="1"/>
    <col min="6166" max="6166" width="5.5703125" style="46" bestFit="1" customWidth="1"/>
    <col min="6167" max="6167" width="7.42578125" style="46" customWidth="1"/>
    <col min="6168" max="6168" width="7.5703125" style="46" customWidth="1"/>
    <col min="6169" max="6400" width="11.42578125" style="46"/>
    <col min="6401" max="6401" width="0.140625" style="46" customWidth="1"/>
    <col min="6402" max="6402" width="2.7109375" style="46" customWidth="1"/>
    <col min="6403" max="6403" width="15.42578125" style="46" customWidth="1"/>
    <col min="6404" max="6404" width="1.28515625" style="46" customWidth="1"/>
    <col min="6405" max="6405" width="15.85546875" style="46" customWidth="1"/>
    <col min="6406" max="6414" width="6.140625" style="46" customWidth="1"/>
    <col min="6415" max="6415" width="6.5703125" style="46" customWidth="1"/>
    <col min="6416" max="6416" width="8.42578125" style="46" customWidth="1"/>
    <col min="6417" max="6417" width="7.28515625" style="46" customWidth="1"/>
    <col min="6418" max="6418" width="3" style="46" bestFit="1" customWidth="1"/>
    <col min="6419" max="6419" width="11.7109375" style="46" customWidth="1"/>
    <col min="6420" max="6421" width="4" style="46" bestFit="1" customWidth="1"/>
    <col min="6422" max="6422" width="5.5703125" style="46" bestFit="1" customWidth="1"/>
    <col min="6423" max="6423" width="7.42578125" style="46" customWidth="1"/>
    <col min="6424" max="6424" width="7.5703125" style="46" customWidth="1"/>
    <col min="6425" max="6656" width="11.42578125" style="46"/>
    <col min="6657" max="6657" width="0.140625" style="46" customWidth="1"/>
    <col min="6658" max="6658" width="2.7109375" style="46" customWidth="1"/>
    <col min="6659" max="6659" width="15.42578125" style="46" customWidth="1"/>
    <col min="6660" max="6660" width="1.28515625" style="46" customWidth="1"/>
    <col min="6661" max="6661" width="15.85546875" style="46" customWidth="1"/>
    <col min="6662" max="6670" width="6.140625" style="46" customWidth="1"/>
    <col min="6671" max="6671" width="6.5703125" style="46" customWidth="1"/>
    <col min="6672" max="6672" width="8.42578125" style="46" customWidth="1"/>
    <col min="6673" max="6673" width="7.28515625" style="46" customWidth="1"/>
    <col min="6674" max="6674" width="3" style="46" bestFit="1" customWidth="1"/>
    <col min="6675" max="6675" width="11.7109375" style="46" customWidth="1"/>
    <col min="6676" max="6677" width="4" style="46" bestFit="1" customWidth="1"/>
    <col min="6678" max="6678" width="5.5703125" style="46" bestFit="1" customWidth="1"/>
    <col min="6679" max="6679" width="7.42578125" style="46" customWidth="1"/>
    <col min="6680" max="6680" width="7.5703125" style="46" customWidth="1"/>
    <col min="6681" max="6912" width="11.42578125" style="46"/>
    <col min="6913" max="6913" width="0.140625" style="46" customWidth="1"/>
    <col min="6914" max="6914" width="2.7109375" style="46" customWidth="1"/>
    <col min="6915" max="6915" width="15.42578125" style="46" customWidth="1"/>
    <col min="6916" max="6916" width="1.28515625" style="46" customWidth="1"/>
    <col min="6917" max="6917" width="15.85546875" style="46" customWidth="1"/>
    <col min="6918" max="6926" width="6.140625" style="46" customWidth="1"/>
    <col min="6927" max="6927" width="6.5703125" style="46" customWidth="1"/>
    <col min="6928" max="6928" width="8.42578125" style="46" customWidth="1"/>
    <col min="6929" max="6929" width="7.28515625" style="46" customWidth="1"/>
    <col min="6930" max="6930" width="3" style="46" bestFit="1" customWidth="1"/>
    <col min="6931" max="6931" width="11.7109375" style="46" customWidth="1"/>
    <col min="6932" max="6933" width="4" style="46" bestFit="1" customWidth="1"/>
    <col min="6934" max="6934" width="5.5703125" style="46" bestFit="1" customWidth="1"/>
    <col min="6935" max="6935" width="7.42578125" style="46" customWidth="1"/>
    <col min="6936" max="6936" width="7.5703125" style="46" customWidth="1"/>
    <col min="6937" max="7168" width="11.42578125" style="46"/>
    <col min="7169" max="7169" width="0.140625" style="46" customWidth="1"/>
    <col min="7170" max="7170" width="2.7109375" style="46" customWidth="1"/>
    <col min="7171" max="7171" width="15.42578125" style="46" customWidth="1"/>
    <col min="7172" max="7172" width="1.28515625" style="46" customWidth="1"/>
    <col min="7173" max="7173" width="15.85546875" style="46" customWidth="1"/>
    <col min="7174" max="7182" width="6.140625" style="46" customWidth="1"/>
    <col min="7183" max="7183" width="6.5703125" style="46" customWidth="1"/>
    <col min="7184" max="7184" width="8.42578125" style="46" customWidth="1"/>
    <col min="7185" max="7185" width="7.28515625" style="46" customWidth="1"/>
    <col min="7186" max="7186" width="3" style="46" bestFit="1" customWidth="1"/>
    <col min="7187" max="7187" width="11.7109375" style="46" customWidth="1"/>
    <col min="7188" max="7189" width="4" style="46" bestFit="1" customWidth="1"/>
    <col min="7190" max="7190" width="5.5703125" style="46" bestFit="1" customWidth="1"/>
    <col min="7191" max="7191" width="7.42578125" style="46" customWidth="1"/>
    <col min="7192" max="7192" width="7.5703125" style="46" customWidth="1"/>
    <col min="7193" max="7424" width="11.42578125" style="46"/>
    <col min="7425" max="7425" width="0.140625" style="46" customWidth="1"/>
    <col min="7426" max="7426" width="2.7109375" style="46" customWidth="1"/>
    <col min="7427" max="7427" width="15.42578125" style="46" customWidth="1"/>
    <col min="7428" max="7428" width="1.28515625" style="46" customWidth="1"/>
    <col min="7429" max="7429" width="15.85546875" style="46" customWidth="1"/>
    <col min="7430" max="7438" width="6.140625" style="46" customWidth="1"/>
    <col min="7439" max="7439" width="6.5703125" style="46" customWidth="1"/>
    <col min="7440" max="7440" width="8.42578125" style="46" customWidth="1"/>
    <col min="7441" max="7441" width="7.28515625" style="46" customWidth="1"/>
    <col min="7442" max="7442" width="3" style="46" bestFit="1" customWidth="1"/>
    <col min="7443" max="7443" width="11.7109375" style="46" customWidth="1"/>
    <col min="7444" max="7445" width="4" style="46" bestFit="1" customWidth="1"/>
    <col min="7446" max="7446" width="5.5703125" style="46" bestFit="1" customWidth="1"/>
    <col min="7447" max="7447" width="7.42578125" style="46" customWidth="1"/>
    <col min="7448" max="7448" width="7.5703125" style="46" customWidth="1"/>
    <col min="7449" max="7680" width="11.42578125" style="46"/>
    <col min="7681" max="7681" width="0.140625" style="46" customWidth="1"/>
    <col min="7682" max="7682" width="2.7109375" style="46" customWidth="1"/>
    <col min="7683" max="7683" width="15.42578125" style="46" customWidth="1"/>
    <col min="7684" max="7684" width="1.28515625" style="46" customWidth="1"/>
    <col min="7685" max="7685" width="15.85546875" style="46" customWidth="1"/>
    <col min="7686" max="7694" width="6.140625" style="46" customWidth="1"/>
    <col min="7695" max="7695" width="6.5703125" style="46" customWidth="1"/>
    <col min="7696" max="7696" width="8.42578125" style="46" customWidth="1"/>
    <col min="7697" max="7697" width="7.28515625" style="46" customWidth="1"/>
    <col min="7698" max="7698" width="3" style="46" bestFit="1" customWidth="1"/>
    <col min="7699" max="7699" width="11.7109375" style="46" customWidth="1"/>
    <col min="7700" max="7701" width="4" style="46" bestFit="1" customWidth="1"/>
    <col min="7702" max="7702" width="5.5703125" style="46" bestFit="1" customWidth="1"/>
    <col min="7703" max="7703" width="7.42578125" style="46" customWidth="1"/>
    <col min="7704" max="7704" width="7.5703125" style="46" customWidth="1"/>
    <col min="7705" max="7936" width="11.42578125" style="46"/>
    <col min="7937" max="7937" width="0.140625" style="46" customWidth="1"/>
    <col min="7938" max="7938" width="2.7109375" style="46" customWidth="1"/>
    <col min="7939" max="7939" width="15.42578125" style="46" customWidth="1"/>
    <col min="7940" max="7940" width="1.28515625" style="46" customWidth="1"/>
    <col min="7941" max="7941" width="15.85546875" style="46" customWidth="1"/>
    <col min="7942" max="7950" width="6.140625" style="46" customWidth="1"/>
    <col min="7951" max="7951" width="6.5703125" style="46" customWidth="1"/>
    <col min="7952" max="7952" width="8.42578125" style="46" customWidth="1"/>
    <col min="7953" max="7953" width="7.28515625" style="46" customWidth="1"/>
    <col min="7954" max="7954" width="3" style="46" bestFit="1" customWidth="1"/>
    <col min="7955" max="7955" width="11.7109375" style="46" customWidth="1"/>
    <col min="7956" max="7957" width="4" style="46" bestFit="1" customWidth="1"/>
    <col min="7958" max="7958" width="5.5703125" style="46" bestFit="1" customWidth="1"/>
    <col min="7959" max="7959" width="7.42578125" style="46" customWidth="1"/>
    <col min="7960" max="7960" width="7.5703125" style="46" customWidth="1"/>
    <col min="7961" max="8192" width="11.42578125" style="46"/>
    <col min="8193" max="8193" width="0.140625" style="46" customWidth="1"/>
    <col min="8194" max="8194" width="2.7109375" style="46" customWidth="1"/>
    <col min="8195" max="8195" width="15.42578125" style="46" customWidth="1"/>
    <col min="8196" max="8196" width="1.28515625" style="46" customWidth="1"/>
    <col min="8197" max="8197" width="15.85546875" style="46" customWidth="1"/>
    <col min="8198" max="8206" width="6.140625" style="46" customWidth="1"/>
    <col min="8207" max="8207" width="6.5703125" style="46" customWidth="1"/>
    <col min="8208" max="8208" width="8.42578125" style="46" customWidth="1"/>
    <col min="8209" max="8209" width="7.28515625" style="46" customWidth="1"/>
    <col min="8210" max="8210" width="3" style="46" bestFit="1" customWidth="1"/>
    <col min="8211" max="8211" width="11.7109375" style="46" customWidth="1"/>
    <col min="8212" max="8213" width="4" style="46" bestFit="1" customWidth="1"/>
    <col min="8214" max="8214" width="5.5703125" style="46" bestFit="1" customWidth="1"/>
    <col min="8215" max="8215" width="7.42578125" style="46" customWidth="1"/>
    <col min="8216" max="8216" width="7.5703125" style="46" customWidth="1"/>
    <col min="8217" max="8448" width="11.42578125" style="46"/>
    <col min="8449" max="8449" width="0.140625" style="46" customWidth="1"/>
    <col min="8450" max="8450" width="2.7109375" style="46" customWidth="1"/>
    <col min="8451" max="8451" width="15.42578125" style="46" customWidth="1"/>
    <col min="8452" max="8452" width="1.28515625" style="46" customWidth="1"/>
    <col min="8453" max="8453" width="15.85546875" style="46" customWidth="1"/>
    <col min="8454" max="8462" width="6.140625" style="46" customWidth="1"/>
    <col min="8463" max="8463" width="6.5703125" style="46" customWidth="1"/>
    <col min="8464" max="8464" width="8.42578125" style="46" customWidth="1"/>
    <col min="8465" max="8465" width="7.28515625" style="46" customWidth="1"/>
    <col min="8466" max="8466" width="3" style="46" bestFit="1" customWidth="1"/>
    <col min="8467" max="8467" width="11.7109375" style="46" customWidth="1"/>
    <col min="8468" max="8469" width="4" style="46" bestFit="1" customWidth="1"/>
    <col min="8470" max="8470" width="5.5703125" style="46" bestFit="1" customWidth="1"/>
    <col min="8471" max="8471" width="7.42578125" style="46" customWidth="1"/>
    <col min="8472" max="8472" width="7.5703125" style="46" customWidth="1"/>
    <col min="8473" max="8704" width="11.42578125" style="46"/>
    <col min="8705" max="8705" width="0.140625" style="46" customWidth="1"/>
    <col min="8706" max="8706" width="2.7109375" style="46" customWidth="1"/>
    <col min="8707" max="8707" width="15.42578125" style="46" customWidth="1"/>
    <col min="8708" max="8708" width="1.28515625" style="46" customWidth="1"/>
    <col min="8709" max="8709" width="15.85546875" style="46" customWidth="1"/>
    <col min="8710" max="8718" width="6.140625" style="46" customWidth="1"/>
    <col min="8719" max="8719" width="6.5703125" style="46" customWidth="1"/>
    <col min="8720" max="8720" width="8.42578125" style="46" customWidth="1"/>
    <col min="8721" max="8721" width="7.28515625" style="46" customWidth="1"/>
    <col min="8722" max="8722" width="3" style="46" bestFit="1" customWidth="1"/>
    <col min="8723" max="8723" width="11.7109375" style="46" customWidth="1"/>
    <col min="8724" max="8725" width="4" style="46" bestFit="1" customWidth="1"/>
    <col min="8726" max="8726" width="5.5703125" style="46" bestFit="1" customWidth="1"/>
    <col min="8727" max="8727" width="7.42578125" style="46" customWidth="1"/>
    <col min="8728" max="8728" width="7.5703125" style="46" customWidth="1"/>
    <col min="8729" max="8960" width="11.42578125" style="46"/>
    <col min="8961" max="8961" width="0.140625" style="46" customWidth="1"/>
    <col min="8962" max="8962" width="2.7109375" style="46" customWidth="1"/>
    <col min="8963" max="8963" width="15.42578125" style="46" customWidth="1"/>
    <col min="8964" max="8964" width="1.28515625" style="46" customWidth="1"/>
    <col min="8965" max="8965" width="15.85546875" style="46" customWidth="1"/>
    <col min="8966" max="8974" width="6.140625" style="46" customWidth="1"/>
    <col min="8975" max="8975" width="6.5703125" style="46" customWidth="1"/>
    <col min="8976" max="8976" width="8.42578125" style="46" customWidth="1"/>
    <col min="8977" max="8977" width="7.28515625" style="46" customWidth="1"/>
    <col min="8978" max="8978" width="3" style="46" bestFit="1" customWidth="1"/>
    <col min="8979" max="8979" width="11.7109375" style="46" customWidth="1"/>
    <col min="8980" max="8981" width="4" style="46" bestFit="1" customWidth="1"/>
    <col min="8982" max="8982" width="5.5703125" style="46" bestFit="1" customWidth="1"/>
    <col min="8983" max="8983" width="7.42578125" style="46" customWidth="1"/>
    <col min="8984" max="8984" width="7.5703125" style="46" customWidth="1"/>
    <col min="8985" max="9216" width="11.42578125" style="46"/>
    <col min="9217" max="9217" width="0.140625" style="46" customWidth="1"/>
    <col min="9218" max="9218" width="2.7109375" style="46" customWidth="1"/>
    <col min="9219" max="9219" width="15.42578125" style="46" customWidth="1"/>
    <col min="9220" max="9220" width="1.28515625" style="46" customWidth="1"/>
    <col min="9221" max="9221" width="15.85546875" style="46" customWidth="1"/>
    <col min="9222" max="9230" width="6.140625" style="46" customWidth="1"/>
    <col min="9231" max="9231" width="6.5703125" style="46" customWidth="1"/>
    <col min="9232" max="9232" width="8.42578125" style="46" customWidth="1"/>
    <col min="9233" max="9233" width="7.28515625" style="46" customWidth="1"/>
    <col min="9234" max="9234" width="3" style="46" bestFit="1" customWidth="1"/>
    <col min="9235" max="9235" width="11.7109375" style="46" customWidth="1"/>
    <col min="9236" max="9237" width="4" style="46" bestFit="1" customWidth="1"/>
    <col min="9238" max="9238" width="5.5703125" style="46" bestFit="1" customWidth="1"/>
    <col min="9239" max="9239" width="7.42578125" style="46" customWidth="1"/>
    <col min="9240" max="9240" width="7.5703125" style="46" customWidth="1"/>
    <col min="9241" max="9472" width="11.42578125" style="46"/>
    <col min="9473" max="9473" width="0.140625" style="46" customWidth="1"/>
    <col min="9474" max="9474" width="2.7109375" style="46" customWidth="1"/>
    <col min="9475" max="9475" width="15.42578125" style="46" customWidth="1"/>
    <col min="9476" max="9476" width="1.28515625" style="46" customWidth="1"/>
    <col min="9477" max="9477" width="15.85546875" style="46" customWidth="1"/>
    <col min="9478" max="9486" width="6.140625" style="46" customWidth="1"/>
    <col min="9487" max="9487" width="6.5703125" style="46" customWidth="1"/>
    <col min="9488" max="9488" width="8.42578125" style="46" customWidth="1"/>
    <col min="9489" max="9489" width="7.28515625" style="46" customWidth="1"/>
    <col min="9490" max="9490" width="3" style="46" bestFit="1" customWidth="1"/>
    <col min="9491" max="9491" width="11.7109375" style="46" customWidth="1"/>
    <col min="9492" max="9493" width="4" style="46" bestFit="1" customWidth="1"/>
    <col min="9494" max="9494" width="5.5703125" style="46" bestFit="1" customWidth="1"/>
    <col min="9495" max="9495" width="7.42578125" style="46" customWidth="1"/>
    <col min="9496" max="9496" width="7.5703125" style="46" customWidth="1"/>
    <col min="9497" max="9728" width="11.42578125" style="46"/>
    <col min="9729" max="9729" width="0.140625" style="46" customWidth="1"/>
    <col min="9730" max="9730" width="2.7109375" style="46" customWidth="1"/>
    <col min="9731" max="9731" width="15.42578125" style="46" customWidth="1"/>
    <col min="9732" max="9732" width="1.28515625" style="46" customWidth="1"/>
    <col min="9733" max="9733" width="15.85546875" style="46" customWidth="1"/>
    <col min="9734" max="9742" width="6.140625" style="46" customWidth="1"/>
    <col min="9743" max="9743" width="6.5703125" style="46" customWidth="1"/>
    <col min="9744" max="9744" width="8.42578125" style="46" customWidth="1"/>
    <col min="9745" max="9745" width="7.28515625" style="46" customWidth="1"/>
    <col min="9746" max="9746" width="3" style="46" bestFit="1" customWidth="1"/>
    <col min="9747" max="9747" width="11.7109375" style="46" customWidth="1"/>
    <col min="9748" max="9749" width="4" style="46" bestFit="1" customWidth="1"/>
    <col min="9750" max="9750" width="5.5703125" style="46" bestFit="1" customWidth="1"/>
    <col min="9751" max="9751" width="7.42578125" style="46" customWidth="1"/>
    <col min="9752" max="9752" width="7.5703125" style="46" customWidth="1"/>
    <col min="9753" max="9984" width="11.42578125" style="46"/>
    <col min="9985" max="9985" width="0.140625" style="46" customWidth="1"/>
    <col min="9986" max="9986" width="2.7109375" style="46" customWidth="1"/>
    <col min="9987" max="9987" width="15.42578125" style="46" customWidth="1"/>
    <col min="9988" max="9988" width="1.28515625" style="46" customWidth="1"/>
    <col min="9989" max="9989" width="15.85546875" style="46" customWidth="1"/>
    <col min="9990" max="9998" width="6.140625" style="46" customWidth="1"/>
    <col min="9999" max="9999" width="6.5703125" style="46" customWidth="1"/>
    <col min="10000" max="10000" width="8.42578125" style="46" customWidth="1"/>
    <col min="10001" max="10001" width="7.28515625" style="46" customWidth="1"/>
    <col min="10002" max="10002" width="3" style="46" bestFit="1" customWidth="1"/>
    <col min="10003" max="10003" width="11.7109375" style="46" customWidth="1"/>
    <col min="10004" max="10005" width="4" style="46" bestFit="1" customWidth="1"/>
    <col min="10006" max="10006" width="5.5703125" style="46" bestFit="1" customWidth="1"/>
    <col min="10007" max="10007" width="7.42578125" style="46" customWidth="1"/>
    <col min="10008" max="10008" width="7.5703125" style="46" customWidth="1"/>
    <col min="10009" max="10240" width="11.42578125" style="46"/>
    <col min="10241" max="10241" width="0.140625" style="46" customWidth="1"/>
    <col min="10242" max="10242" width="2.7109375" style="46" customWidth="1"/>
    <col min="10243" max="10243" width="15.42578125" style="46" customWidth="1"/>
    <col min="10244" max="10244" width="1.28515625" style="46" customWidth="1"/>
    <col min="10245" max="10245" width="15.85546875" style="46" customWidth="1"/>
    <col min="10246" max="10254" width="6.140625" style="46" customWidth="1"/>
    <col min="10255" max="10255" width="6.5703125" style="46" customWidth="1"/>
    <col min="10256" max="10256" width="8.42578125" style="46" customWidth="1"/>
    <col min="10257" max="10257" width="7.28515625" style="46" customWidth="1"/>
    <col min="10258" max="10258" width="3" style="46" bestFit="1" customWidth="1"/>
    <col min="10259" max="10259" width="11.7109375" style="46" customWidth="1"/>
    <col min="10260" max="10261" width="4" style="46" bestFit="1" customWidth="1"/>
    <col min="10262" max="10262" width="5.5703125" style="46" bestFit="1" customWidth="1"/>
    <col min="10263" max="10263" width="7.42578125" style="46" customWidth="1"/>
    <col min="10264" max="10264" width="7.5703125" style="46" customWidth="1"/>
    <col min="10265" max="10496" width="11.42578125" style="46"/>
    <col min="10497" max="10497" width="0.140625" style="46" customWidth="1"/>
    <col min="10498" max="10498" width="2.7109375" style="46" customWidth="1"/>
    <col min="10499" max="10499" width="15.42578125" style="46" customWidth="1"/>
    <col min="10500" max="10500" width="1.28515625" style="46" customWidth="1"/>
    <col min="10501" max="10501" width="15.85546875" style="46" customWidth="1"/>
    <col min="10502" max="10510" width="6.140625" style="46" customWidth="1"/>
    <col min="10511" max="10511" width="6.5703125" style="46" customWidth="1"/>
    <col min="10512" max="10512" width="8.42578125" style="46" customWidth="1"/>
    <col min="10513" max="10513" width="7.28515625" style="46" customWidth="1"/>
    <col min="10514" max="10514" width="3" style="46" bestFit="1" customWidth="1"/>
    <col min="10515" max="10515" width="11.7109375" style="46" customWidth="1"/>
    <col min="10516" max="10517" width="4" style="46" bestFit="1" customWidth="1"/>
    <col min="10518" max="10518" width="5.5703125" style="46" bestFit="1" customWidth="1"/>
    <col min="10519" max="10519" width="7.42578125" style="46" customWidth="1"/>
    <col min="10520" max="10520" width="7.5703125" style="46" customWidth="1"/>
    <col min="10521" max="10752" width="11.42578125" style="46"/>
    <col min="10753" max="10753" width="0.140625" style="46" customWidth="1"/>
    <col min="10754" max="10754" width="2.7109375" style="46" customWidth="1"/>
    <col min="10755" max="10755" width="15.42578125" style="46" customWidth="1"/>
    <col min="10756" max="10756" width="1.28515625" style="46" customWidth="1"/>
    <col min="10757" max="10757" width="15.85546875" style="46" customWidth="1"/>
    <col min="10758" max="10766" width="6.140625" style="46" customWidth="1"/>
    <col min="10767" max="10767" width="6.5703125" style="46" customWidth="1"/>
    <col min="10768" max="10768" width="8.42578125" style="46" customWidth="1"/>
    <col min="10769" max="10769" width="7.28515625" style="46" customWidth="1"/>
    <col min="10770" max="10770" width="3" style="46" bestFit="1" customWidth="1"/>
    <col min="10771" max="10771" width="11.7109375" style="46" customWidth="1"/>
    <col min="10772" max="10773" width="4" style="46" bestFit="1" customWidth="1"/>
    <col min="10774" max="10774" width="5.5703125" style="46" bestFit="1" customWidth="1"/>
    <col min="10775" max="10775" width="7.42578125" style="46" customWidth="1"/>
    <col min="10776" max="10776" width="7.5703125" style="46" customWidth="1"/>
    <col min="10777" max="11008" width="11.42578125" style="46"/>
    <col min="11009" max="11009" width="0.140625" style="46" customWidth="1"/>
    <col min="11010" max="11010" width="2.7109375" style="46" customWidth="1"/>
    <col min="11011" max="11011" width="15.42578125" style="46" customWidth="1"/>
    <col min="11012" max="11012" width="1.28515625" style="46" customWidth="1"/>
    <col min="11013" max="11013" width="15.85546875" style="46" customWidth="1"/>
    <col min="11014" max="11022" width="6.140625" style="46" customWidth="1"/>
    <col min="11023" max="11023" width="6.5703125" style="46" customWidth="1"/>
    <col min="11024" max="11024" width="8.42578125" style="46" customWidth="1"/>
    <col min="11025" max="11025" width="7.28515625" style="46" customWidth="1"/>
    <col min="11026" max="11026" width="3" style="46" bestFit="1" customWidth="1"/>
    <col min="11027" max="11027" width="11.7109375" style="46" customWidth="1"/>
    <col min="11028" max="11029" width="4" style="46" bestFit="1" customWidth="1"/>
    <col min="11030" max="11030" width="5.5703125" style="46" bestFit="1" customWidth="1"/>
    <col min="11031" max="11031" width="7.42578125" style="46" customWidth="1"/>
    <col min="11032" max="11032" width="7.5703125" style="46" customWidth="1"/>
    <col min="11033" max="11264" width="11.42578125" style="46"/>
    <col min="11265" max="11265" width="0.140625" style="46" customWidth="1"/>
    <col min="11266" max="11266" width="2.7109375" style="46" customWidth="1"/>
    <col min="11267" max="11267" width="15.42578125" style="46" customWidth="1"/>
    <col min="11268" max="11268" width="1.28515625" style="46" customWidth="1"/>
    <col min="11269" max="11269" width="15.85546875" style="46" customWidth="1"/>
    <col min="11270" max="11278" width="6.140625" style="46" customWidth="1"/>
    <col min="11279" max="11279" width="6.5703125" style="46" customWidth="1"/>
    <col min="11280" max="11280" width="8.42578125" style="46" customWidth="1"/>
    <col min="11281" max="11281" width="7.28515625" style="46" customWidth="1"/>
    <col min="11282" max="11282" width="3" style="46" bestFit="1" customWidth="1"/>
    <col min="11283" max="11283" width="11.7109375" style="46" customWidth="1"/>
    <col min="11284" max="11285" width="4" style="46" bestFit="1" customWidth="1"/>
    <col min="11286" max="11286" width="5.5703125" style="46" bestFit="1" customWidth="1"/>
    <col min="11287" max="11287" width="7.42578125" style="46" customWidth="1"/>
    <col min="11288" max="11288" width="7.5703125" style="46" customWidth="1"/>
    <col min="11289" max="11520" width="11.42578125" style="46"/>
    <col min="11521" max="11521" width="0.140625" style="46" customWidth="1"/>
    <col min="11522" max="11522" width="2.7109375" style="46" customWidth="1"/>
    <col min="11523" max="11523" width="15.42578125" style="46" customWidth="1"/>
    <col min="11524" max="11524" width="1.28515625" style="46" customWidth="1"/>
    <col min="11525" max="11525" width="15.85546875" style="46" customWidth="1"/>
    <col min="11526" max="11534" width="6.140625" style="46" customWidth="1"/>
    <col min="11535" max="11535" width="6.5703125" style="46" customWidth="1"/>
    <col min="11536" max="11536" width="8.42578125" style="46" customWidth="1"/>
    <col min="11537" max="11537" width="7.28515625" style="46" customWidth="1"/>
    <col min="11538" max="11538" width="3" style="46" bestFit="1" customWidth="1"/>
    <col min="11539" max="11539" width="11.7109375" style="46" customWidth="1"/>
    <col min="11540" max="11541" width="4" style="46" bestFit="1" customWidth="1"/>
    <col min="11542" max="11542" width="5.5703125" style="46" bestFit="1" customWidth="1"/>
    <col min="11543" max="11543" width="7.42578125" style="46" customWidth="1"/>
    <col min="11544" max="11544" width="7.5703125" style="46" customWidth="1"/>
    <col min="11545" max="11776" width="11.42578125" style="46"/>
    <col min="11777" max="11777" width="0.140625" style="46" customWidth="1"/>
    <col min="11778" max="11778" width="2.7109375" style="46" customWidth="1"/>
    <col min="11779" max="11779" width="15.42578125" style="46" customWidth="1"/>
    <col min="11780" max="11780" width="1.28515625" style="46" customWidth="1"/>
    <col min="11781" max="11781" width="15.85546875" style="46" customWidth="1"/>
    <col min="11782" max="11790" width="6.140625" style="46" customWidth="1"/>
    <col min="11791" max="11791" width="6.5703125" style="46" customWidth="1"/>
    <col min="11792" max="11792" width="8.42578125" style="46" customWidth="1"/>
    <col min="11793" max="11793" width="7.28515625" style="46" customWidth="1"/>
    <col min="11794" max="11794" width="3" style="46" bestFit="1" customWidth="1"/>
    <col min="11795" max="11795" width="11.7109375" style="46" customWidth="1"/>
    <col min="11796" max="11797" width="4" style="46" bestFit="1" customWidth="1"/>
    <col min="11798" max="11798" width="5.5703125" style="46" bestFit="1" customWidth="1"/>
    <col min="11799" max="11799" width="7.42578125" style="46" customWidth="1"/>
    <col min="11800" max="11800" width="7.5703125" style="46" customWidth="1"/>
    <col min="11801" max="12032" width="11.42578125" style="46"/>
    <col min="12033" max="12033" width="0.140625" style="46" customWidth="1"/>
    <col min="12034" max="12034" width="2.7109375" style="46" customWidth="1"/>
    <col min="12035" max="12035" width="15.42578125" style="46" customWidth="1"/>
    <col min="12036" max="12036" width="1.28515625" style="46" customWidth="1"/>
    <col min="12037" max="12037" width="15.85546875" style="46" customWidth="1"/>
    <col min="12038" max="12046" width="6.140625" style="46" customWidth="1"/>
    <col min="12047" max="12047" width="6.5703125" style="46" customWidth="1"/>
    <col min="12048" max="12048" width="8.42578125" style="46" customWidth="1"/>
    <col min="12049" max="12049" width="7.28515625" style="46" customWidth="1"/>
    <col min="12050" max="12050" width="3" style="46" bestFit="1" customWidth="1"/>
    <col min="12051" max="12051" width="11.7109375" style="46" customWidth="1"/>
    <col min="12052" max="12053" width="4" style="46" bestFit="1" customWidth="1"/>
    <col min="12054" max="12054" width="5.5703125" style="46" bestFit="1" customWidth="1"/>
    <col min="12055" max="12055" width="7.42578125" style="46" customWidth="1"/>
    <col min="12056" max="12056" width="7.5703125" style="46" customWidth="1"/>
    <col min="12057" max="12288" width="11.42578125" style="46"/>
    <col min="12289" max="12289" width="0.140625" style="46" customWidth="1"/>
    <col min="12290" max="12290" width="2.7109375" style="46" customWidth="1"/>
    <col min="12291" max="12291" width="15.42578125" style="46" customWidth="1"/>
    <col min="12292" max="12292" width="1.28515625" style="46" customWidth="1"/>
    <col min="12293" max="12293" width="15.85546875" style="46" customWidth="1"/>
    <col min="12294" max="12302" width="6.140625" style="46" customWidth="1"/>
    <col min="12303" max="12303" width="6.5703125" style="46" customWidth="1"/>
    <col min="12304" max="12304" width="8.42578125" style="46" customWidth="1"/>
    <col min="12305" max="12305" width="7.28515625" style="46" customWidth="1"/>
    <col min="12306" max="12306" width="3" style="46" bestFit="1" customWidth="1"/>
    <col min="12307" max="12307" width="11.7109375" style="46" customWidth="1"/>
    <col min="12308" max="12309" width="4" style="46" bestFit="1" customWidth="1"/>
    <col min="12310" max="12310" width="5.5703125" style="46" bestFit="1" customWidth="1"/>
    <col min="12311" max="12311" width="7.42578125" style="46" customWidth="1"/>
    <col min="12312" max="12312" width="7.5703125" style="46" customWidth="1"/>
    <col min="12313" max="12544" width="11.42578125" style="46"/>
    <col min="12545" max="12545" width="0.140625" style="46" customWidth="1"/>
    <col min="12546" max="12546" width="2.7109375" style="46" customWidth="1"/>
    <col min="12547" max="12547" width="15.42578125" style="46" customWidth="1"/>
    <col min="12548" max="12548" width="1.28515625" style="46" customWidth="1"/>
    <col min="12549" max="12549" width="15.85546875" style="46" customWidth="1"/>
    <col min="12550" max="12558" width="6.140625" style="46" customWidth="1"/>
    <col min="12559" max="12559" width="6.5703125" style="46" customWidth="1"/>
    <col min="12560" max="12560" width="8.42578125" style="46" customWidth="1"/>
    <col min="12561" max="12561" width="7.28515625" style="46" customWidth="1"/>
    <col min="12562" max="12562" width="3" style="46" bestFit="1" customWidth="1"/>
    <col min="12563" max="12563" width="11.7109375" style="46" customWidth="1"/>
    <col min="12564" max="12565" width="4" style="46" bestFit="1" customWidth="1"/>
    <col min="12566" max="12566" width="5.5703125" style="46" bestFit="1" customWidth="1"/>
    <col min="12567" max="12567" width="7.42578125" style="46" customWidth="1"/>
    <col min="12568" max="12568" width="7.5703125" style="46" customWidth="1"/>
    <col min="12569" max="12800" width="11.42578125" style="46"/>
    <col min="12801" max="12801" width="0.140625" style="46" customWidth="1"/>
    <col min="12802" max="12802" width="2.7109375" style="46" customWidth="1"/>
    <col min="12803" max="12803" width="15.42578125" style="46" customWidth="1"/>
    <col min="12804" max="12804" width="1.28515625" style="46" customWidth="1"/>
    <col min="12805" max="12805" width="15.85546875" style="46" customWidth="1"/>
    <col min="12806" max="12814" width="6.140625" style="46" customWidth="1"/>
    <col min="12815" max="12815" width="6.5703125" style="46" customWidth="1"/>
    <col min="12816" max="12816" width="8.42578125" style="46" customWidth="1"/>
    <col min="12817" max="12817" width="7.28515625" style="46" customWidth="1"/>
    <col min="12818" max="12818" width="3" style="46" bestFit="1" customWidth="1"/>
    <col min="12819" max="12819" width="11.7109375" style="46" customWidth="1"/>
    <col min="12820" max="12821" width="4" style="46" bestFit="1" customWidth="1"/>
    <col min="12822" max="12822" width="5.5703125" style="46" bestFit="1" customWidth="1"/>
    <col min="12823" max="12823" width="7.42578125" style="46" customWidth="1"/>
    <col min="12824" max="12824" width="7.5703125" style="46" customWidth="1"/>
    <col min="12825" max="13056" width="11.42578125" style="46"/>
    <col min="13057" max="13057" width="0.140625" style="46" customWidth="1"/>
    <col min="13058" max="13058" width="2.7109375" style="46" customWidth="1"/>
    <col min="13059" max="13059" width="15.42578125" style="46" customWidth="1"/>
    <col min="13060" max="13060" width="1.28515625" style="46" customWidth="1"/>
    <col min="13061" max="13061" width="15.85546875" style="46" customWidth="1"/>
    <col min="13062" max="13070" width="6.140625" style="46" customWidth="1"/>
    <col min="13071" max="13071" width="6.5703125" style="46" customWidth="1"/>
    <col min="13072" max="13072" width="8.42578125" style="46" customWidth="1"/>
    <col min="13073" max="13073" width="7.28515625" style="46" customWidth="1"/>
    <col min="13074" max="13074" width="3" style="46" bestFit="1" customWidth="1"/>
    <col min="13075" max="13075" width="11.7109375" style="46" customWidth="1"/>
    <col min="13076" max="13077" width="4" style="46" bestFit="1" customWidth="1"/>
    <col min="13078" max="13078" width="5.5703125" style="46" bestFit="1" customWidth="1"/>
    <col min="13079" max="13079" width="7.42578125" style="46" customWidth="1"/>
    <col min="13080" max="13080" width="7.5703125" style="46" customWidth="1"/>
    <col min="13081" max="13312" width="11.42578125" style="46"/>
    <col min="13313" max="13313" width="0.140625" style="46" customWidth="1"/>
    <col min="13314" max="13314" width="2.7109375" style="46" customWidth="1"/>
    <col min="13315" max="13315" width="15.42578125" style="46" customWidth="1"/>
    <col min="13316" max="13316" width="1.28515625" style="46" customWidth="1"/>
    <col min="13317" max="13317" width="15.85546875" style="46" customWidth="1"/>
    <col min="13318" max="13326" width="6.140625" style="46" customWidth="1"/>
    <col min="13327" max="13327" width="6.5703125" style="46" customWidth="1"/>
    <col min="13328" max="13328" width="8.42578125" style="46" customWidth="1"/>
    <col min="13329" max="13329" width="7.28515625" style="46" customWidth="1"/>
    <col min="13330" max="13330" width="3" style="46" bestFit="1" customWidth="1"/>
    <col min="13331" max="13331" width="11.7109375" style="46" customWidth="1"/>
    <col min="13332" max="13333" width="4" style="46" bestFit="1" customWidth="1"/>
    <col min="13334" max="13334" width="5.5703125" style="46" bestFit="1" customWidth="1"/>
    <col min="13335" max="13335" width="7.42578125" style="46" customWidth="1"/>
    <col min="13336" max="13336" width="7.5703125" style="46" customWidth="1"/>
    <col min="13337" max="13568" width="11.42578125" style="46"/>
    <col min="13569" max="13569" width="0.140625" style="46" customWidth="1"/>
    <col min="13570" max="13570" width="2.7109375" style="46" customWidth="1"/>
    <col min="13571" max="13571" width="15.42578125" style="46" customWidth="1"/>
    <col min="13572" max="13572" width="1.28515625" style="46" customWidth="1"/>
    <col min="13573" max="13573" width="15.85546875" style="46" customWidth="1"/>
    <col min="13574" max="13582" width="6.140625" style="46" customWidth="1"/>
    <col min="13583" max="13583" width="6.5703125" style="46" customWidth="1"/>
    <col min="13584" max="13584" width="8.42578125" style="46" customWidth="1"/>
    <col min="13585" max="13585" width="7.28515625" style="46" customWidth="1"/>
    <col min="13586" max="13586" width="3" style="46" bestFit="1" customWidth="1"/>
    <col min="13587" max="13587" width="11.7109375" style="46" customWidth="1"/>
    <col min="13588" max="13589" width="4" style="46" bestFit="1" customWidth="1"/>
    <col min="13590" max="13590" width="5.5703125" style="46" bestFit="1" customWidth="1"/>
    <col min="13591" max="13591" width="7.42578125" style="46" customWidth="1"/>
    <col min="13592" max="13592" width="7.5703125" style="46" customWidth="1"/>
    <col min="13593" max="13824" width="11.42578125" style="46"/>
    <col min="13825" max="13825" width="0.140625" style="46" customWidth="1"/>
    <col min="13826" max="13826" width="2.7109375" style="46" customWidth="1"/>
    <col min="13827" max="13827" width="15.42578125" style="46" customWidth="1"/>
    <col min="13828" max="13828" width="1.28515625" style="46" customWidth="1"/>
    <col min="13829" max="13829" width="15.85546875" style="46" customWidth="1"/>
    <col min="13830" max="13838" width="6.140625" style="46" customWidth="1"/>
    <col min="13839" max="13839" width="6.5703125" style="46" customWidth="1"/>
    <col min="13840" max="13840" width="8.42578125" style="46" customWidth="1"/>
    <col min="13841" max="13841" width="7.28515625" style="46" customWidth="1"/>
    <col min="13842" max="13842" width="3" style="46" bestFit="1" customWidth="1"/>
    <col min="13843" max="13843" width="11.7109375" style="46" customWidth="1"/>
    <col min="13844" max="13845" width="4" style="46" bestFit="1" customWidth="1"/>
    <col min="13846" max="13846" width="5.5703125" style="46" bestFit="1" customWidth="1"/>
    <col min="13847" max="13847" width="7.42578125" style="46" customWidth="1"/>
    <col min="13848" max="13848" width="7.5703125" style="46" customWidth="1"/>
    <col min="13849" max="14080" width="11.42578125" style="46"/>
    <col min="14081" max="14081" width="0.140625" style="46" customWidth="1"/>
    <col min="14082" max="14082" width="2.7109375" style="46" customWidth="1"/>
    <col min="14083" max="14083" width="15.42578125" style="46" customWidth="1"/>
    <col min="14084" max="14084" width="1.28515625" style="46" customWidth="1"/>
    <col min="14085" max="14085" width="15.85546875" style="46" customWidth="1"/>
    <col min="14086" max="14094" width="6.140625" style="46" customWidth="1"/>
    <col min="14095" max="14095" width="6.5703125" style="46" customWidth="1"/>
    <col min="14096" max="14096" width="8.42578125" style="46" customWidth="1"/>
    <col min="14097" max="14097" width="7.28515625" style="46" customWidth="1"/>
    <col min="14098" max="14098" width="3" style="46" bestFit="1" customWidth="1"/>
    <col min="14099" max="14099" width="11.7109375" style="46" customWidth="1"/>
    <col min="14100" max="14101" width="4" style="46" bestFit="1" customWidth="1"/>
    <col min="14102" max="14102" width="5.5703125" style="46" bestFit="1" customWidth="1"/>
    <col min="14103" max="14103" width="7.42578125" style="46" customWidth="1"/>
    <col min="14104" max="14104" width="7.5703125" style="46" customWidth="1"/>
    <col min="14105" max="14336" width="11.42578125" style="46"/>
    <col min="14337" max="14337" width="0.140625" style="46" customWidth="1"/>
    <col min="14338" max="14338" width="2.7109375" style="46" customWidth="1"/>
    <col min="14339" max="14339" width="15.42578125" style="46" customWidth="1"/>
    <col min="14340" max="14340" width="1.28515625" style="46" customWidth="1"/>
    <col min="14341" max="14341" width="15.85546875" style="46" customWidth="1"/>
    <col min="14342" max="14350" width="6.140625" style="46" customWidth="1"/>
    <col min="14351" max="14351" width="6.5703125" style="46" customWidth="1"/>
    <col min="14352" max="14352" width="8.42578125" style="46" customWidth="1"/>
    <col min="14353" max="14353" width="7.28515625" style="46" customWidth="1"/>
    <col min="14354" max="14354" width="3" style="46" bestFit="1" customWidth="1"/>
    <col min="14355" max="14355" width="11.7109375" style="46" customWidth="1"/>
    <col min="14356" max="14357" width="4" style="46" bestFit="1" customWidth="1"/>
    <col min="14358" max="14358" width="5.5703125" style="46" bestFit="1" customWidth="1"/>
    <col min="14359" max="14359" width="7.42578125" style="46" customWidth="1"/>
    <col min="14360" max="14360" width="7.5703125" style="46" customWidth="1"/>
    <col min="14361" max="14592" width="11.42578125" style="46"/>
    <col min="14593" max="14593" width="0.140625" style="46" customWidth="1"/>
    <col min="14594" max="14594" width="2.7109375" style="46" customWidth="1"/>
    <col min="14595" max="14595" width="15.42578125" style="46" customWidth="1"/>
    <col min="14596" max="14596" width="1.28515625" style="46" customWidth="1"/>
    <col min="14597" max="14597" width="15.85546875" style="46" customWidth="1"/>
    <col min="14598" max="14606" width="6.140625" style="46" customWidth="1"/>
    <col min="14607" max="14607" width="6.5703125" style="46" customWidth="1"/>
    <col min="14608" max="14608" width="8.42578125" style="46" customWidth="1"/>
    <col min="14609" max="14609" width="7.28515625" style="46" customWidth="1"/>
    <col min="14610" max="14610" width="3" style="46" bestFit="1" customWidth="1"/>
    <col min="14611" max="14611" width="11.7109375" style="46" customWidth="1"/>
    <col min="14612" max="14613" width="4" style="46" bestFit="1" customWidth="1"/>
    <col min="14614" max="14614" width="5.5703125" style="46" bestFit="1" customWidth="1"/>
    <col min="14615" max="14615" width="7.42578125" style="46" customWidth="1"/>
    <col min="14616" max="14616" width="7.5703125" style="46" customWidth="1"/>
    <col min="14617" max="14848" width="11.42578125" style="46"/>
    <col min="14849" max="14849" width="0.140625" style="46" customWidth="1"/>
    <col min="14850" max="14850" width="2.7109375" style="46" customWidth="1"/>
    <col min="14851" max="14851" width="15.42578125" style="46" customWidth="1"/>
    <col min="14852" max="14852" width="1.28515625" style="46" customWidth="1"/>
    <col min="14853" max="14853" width="15.85546875" style="46" customWidth="1"/>
    <col min="14854" max="14862" width="6.140625" style="46" customWidth="1"/>
    <col min="14863" max="14863" width="6.5703125" style="46" customWidth="1"/>
    <col min="14864" max="14864" width="8.42578125" style="46" customWidth="1"/>
    <col min="14865" max="14865" width="7.28515625" style="46" customWidth="1"/>
    <col min="14866" max="14866" width="3" style="46" bestFit="1" customWidth="1"/>
    <col min="14867" max="14867" width="11.7109375" style="46" customWidth="1"/>
    <col min="14868" max="14869" width="4" style="46" bestFit="1" customWidth="1"/>
    <col min="14870" max="14870" width="5.5703125" style="46" bestFit="1" customWidth="1"/>
    <col min="14871" max="14871" width="7.42578125" style="46" customWidth="1"/>
    <col min="14872" max="14872" width="7.5703125" style="46" customWidth="1"/>
    <col min="14873" max="15104" width="11.42578125" style="46"/>
    <col min="15105" max="15105" width="0.140625" style="46" customWidth="1"/>
    <col min="15106" max="15106" width="2.7109375" style="46" customWidth="1"/>
    <col min="15107" max="15107" width="15.42578125" style="46" customWidth="1"/>
    <col min="15108" max="15108" width="1.28515625" style="46" customWidth="1"/>
    <col min="15109" max="15109" width="15.85546875" style="46" customWidth="1"/>
    <col min="15110" max="15118" width="6.140625" style="46" customWidth="1"/>
    <col min="15119" max="15119" width="6.5703125" style="46" customWidth="1"/>
    <col min="15120" max="15120" width="8.42578125" style="46" customWidth="1"/>
    <col min="15121" max="15121" width="7.28515625" style="46" customWidth="1"/>
    <col min="15122" max="15122" width="3" style="46" bestFit="1" customWidth="1"/>
    <col min="15123" max="15123" width="11.7109375" style="46" customWidth="1"/>
    <col min="15124" max="15125" width="4" style="46" bestFit="1" customWidth="1"/>
    <col min="15126" max="15126" width="5.5703125" style="46" bestFit="1" customWidth="1"/>
    <col min="15127" max="15127" width="7.42578125" style="46" customWidth="1"/>
    <col min="15128" max="15128" width="7.5703125" style="46" customWidth="1"/>
    <col min="15129" max="15360" width="11.42578125" style="46"/>
    <col min="15361" max="15361" width="0.140625" style="46" customWidth="1"/>
    <col min="15362" max="15362" width="2.7109375" style="46" customWidth="1"/>
    <col min="15363" max="15363" width="15.42578125" style="46" customWidth="1"/>
    <col min="15364" max="15364" width="1.28515625" style="46" customWidth="1"/>
    <col min="15365" max="15365" width="15.85546875" style="46" customWidth="1"/>
    <col min="15366" max="15374" width="6.140625" style="46" customWidth="1"/>
    <col min="15375" max="15375" width="6.5703125" style="46" customWidth="1"/>
    <col min="15376" max="15376" width="8.42578125" style="46" customWidth="1"/>
    <col min="15377" max="15377" width="7.28515625" style="46" customWidth="1"/>
    <col min="15378" max="15378" width="3" style="46" bestFit="1" customWidth="1"/>
    <col min="15379" max="15379" width="11.7109375" style="46" customWidth="1"/>
    <col min="15380" max="15381" width="4" style="46" bestFit="1" customWidth="1"/>
    <col min="15382" max="15382" width="5.5703125" style="46" bestFit="1" customWidth="1"/>
    <col min="15383" max="15383" width="7.42578125" style="46" customWidth="1"/>
    <col min="15384" max="15384" width="7.5703125" style="46" customWidth="1"/>
    <col min="15385" max="15616" width="11.42578125" style="46"/>
    <col min="15617" max="15617" width="0.140625" style="46" customWidth="1"/>
    <col min="15618" max="15618" width="2.7109375" style="46" customWidth="1"/>
    <col min="15619" max="15619" width="15.42578125" style="46" customWidth="1"/>
    <col min="15620" max="15620" width="1.28515625" style="46" customWidth="1"/>
    <col min="15621" max="15621" width="15.85546875" style="46" customWidth="1"/>
    <col min="15622" max="15630" width="6.140625" style="46" customWidth="1"/>
    <col min="15631" max="15631" width="6.5703125" style="46" customWidth="1"/>
    <col min="15632" max="15632" width="8.42578125" style="46" customWidth="1"/>
    <col min="15633" max="15633" width="7.28515625" style="46" customWidth="1"/>
    <col min="15634" max="15634" width="3" style="46" bestFit="1" customWidth="1"/>
    <col min="15635" max="15635" width="11.7109375" style="46" customWidth="1"/>
    <col min="15636" max="15637" width="4" style="46" bestFit="1" customWidth="1"/>
    <col min="15638" max="15638" width="5.5703125" style="46" bestFit="1" customWidth="1"/>
    <col min="15639" max="15639" width="7.42578125" style="46" customWidth="1"/>
    <col min="15640" max="15640" width="7.5703125" style="46" customWidth="1"/>
    <col min="15641" max="15872" width="11.42578125" style="46"/>
    <col min="15873" max="15873" width="0.140625" style="46" customWidth="1"/>
    <col min="15874" max="15874" width="2.7109375" style="46" customWidth="1"/>
    <col min="15875" max="15875" width="15.42578125" style="46" customWidth="1"/>
    <col min="15876" max="15876" width="1.28515625" style="46" customWidth="1"/>
    <col min="15877" max="15877" width="15.85546875" style="46" customWidth="1"/>
    <col min="15878" max="15886" width="6.140625" style="46" customWidth="1"/>
    <col min="15887" max="15887" width="6.5703125" style="46" customWidth="1"/>
    <col min="15888" max="15888" width="8.42578125" style="46" customWidth="1"/>
    <col min="15889" max="15889" width="7.28515625" style="46" customWidth="1"/>
    <col min="15890" max="15890" width="3" style="46" bestFit="1" customWidth="1"/>
    <col min="15891" max="15891" width="11.7109375" style="46" customWidth="1"/>
    <col min="15892" max="15893" width="4" style="46" bestFit="1" customWidth="1"/>
    <col min="15894" max="15894" width="5.5703125" style="46" bestFit="1" customWidth="1"/>
    <col min="15895" max="15895" width="7.42578125" style="46" customWidth="1"/>
    <col min="15896" max="15896" width="7.5703125" style="46" customWidth="1"/>
    <col min="15897" max="16128" width="11.42578125" style="46"/>
    <col min="16129" max="16129" width="0.140625" style="46" customWidth="1"/>
    <col min="16130" max="16130" width="2.7109375" style="46" customWidth="1"/>
    <col min="16131" max="16131" width="15.42578125" style="46" customWidth="1"/>
    <col min="16132" max="16132" width="1.28515625" style="46" customWidth="1"/>
    <col min="16133" max="16133" width="15.85546875" style="46" customWidth="1"/>
    <col min="16134" max="16142" width="6.140625" style="46" customWidth="1"/>
    <col min="16143" max="16143" width="6.5703125" style="46" customWidth="1"/>
    <col min="16144" max="16144" width="8.42578125" style="46" customWidth="1"/>
    <col min="16145" max="16145" width="7.28515625" style="46" customWidth="1"/>
    <col min="16146" max="16146" width="3" style="46" bestFit="1" customWidth="1"/>
    <col min="16147" max="16147" width="11.7109375" style="46" customWidth="1"/>
    <col min="16148" max="16149" width="4" style="46" bestFit="1" customWidth="1"/>
    <col min="16150" max="16150" width="5.5703125" style="46" bestFit="1" customWidth="1"/>
    <col min="16151" max="16151" width="7.42578125" style="46" customWidth="1"/>
    <col min="16152" max="16152" width="7.5703125" style="46" customWidth="1"/>
    <col min="16153" max="16384" width="11.42578125" style="46"/>
  </cols>
  <sheetData>
    <row r="1" spans="1:18" ht="0.75" customHeight="1"/>
    <row r="2" spans="1:18" ht="21" customHeight="1">
      <c r="O2" s="7" t="s">
        <v>87</v>
      </c>
    </row>
    <row r="3" spans="1:18" ht="15" customHeight="1">
      <c r="F3" s="464"/>
      <c r="G3" s="464"/>
      <c r="H3" s="464"/>
      <c r="I3" s="464"/>
      <c r="J3" s="464"/>
      <c r="K3" s="464"/>
      <c r="L3" s="464"/>
      <c r="M3" s="464"/>
      <c r="N3" s="464"/>
      <c r="O3" s="437" t="s">
        <v>119</v>
      </c>
    </row>
    <row r="4" spans="1:18" ht="20.25" customHeight="1">
      <c r="C4" s="168" t="s">
        <v>136</v>
      </c>
    </row>
    <row r="5" spans="1:18" ht="12.75" customHeight="1">
      <c r="C5" s="168"/>
    </row>
    <row r="6" spans="1:18" ht="13.5" customHeight="1"/>
    <row r="7" spans="1:18" ht="81.75">
      <c r="C7" s="52" t="s">
        <v>120</v>
      </c>
      <c r="E7" s="53"/>
      <c r="F7" s="54" t="s">
        <v>89</v>
      </c>
      <c r="G7" s="54" t="s">
        <v>72</v>
      </c>
      <c r="H7" s="54" t="s">
        <v>75</v>
      </c>
      <c r="I7" s="54" t="s">
        <v>37</v>
      </c>
      <c r="J7" s="54" t="s">
        <v>82</v>
      </c>
      <c r="K7" s="54" t="s">
        <v>38</v>
      </c>
      <c r="L7" s="54" t="s">
        <v>90</v>
      </c>
      <c r="M7" s="54" t="s">
        <v>84</v>
      </c>
      <c r="N7" s="54" t="s">
        <v>81</v>
      </c>
      <c r="O7" s="54" t="s">
        <v>66</v>
      </c>
      <c r="Q7" s="15"/>
    </row>
    <row r="8" spans="1:18" ht="12.75" customHeight="1">
      <c r="C8" s="16" t="s">
        <v>114</v>
      </c>
      <c r="E8" s="55" t="s">
        <v>26</v>
      </c>
      <c r="F8" s="56">
        <f>'Data 1'!D67</f>
        <v>589.57399999999996</v>
      </c>
      <c r="G8" s="56">
        <f>'Data 1'!E67</f>
        <v>1333.7075</v>
      </c>
      <c r="H8" s="56">
        <f>'Data 1'!F67</f>
        <v>804.75179999999989</v>
      </c>
      <c r="I8" s="56" t="str">
        <f>'Data 1'!G67</f>
        <v>-</v>
      </c>
      <c r="J8" s="56">
        <f>'Data 1'!H67</f>
        <v>639.78399999999988</v>
      </c>
      <c r="K8" s="56">
        <f>'Data 1'!I67</f>
        <v>2.02</v>
      </c>
      <c r="L8" s="56">
        <f>'Data 1'!J67</f>
        <v>98.841999999999985</v>
      </c>
      <c r="M8" s="56">
        <f>'Data 1'!K67</f>
        <v>650.24199999999996</v>
      </c>
      <c r="N8" s="56">
        <f>'Data 1'!L67</f>
        <v>4401.1028999999999</v>
      </c>
      <c r="O8" s="56">
        <f>'Data 1'!M67</f>
        <v>1913.0778</v>
      </c>
      <c r="Q8" s="15"/>
      <c r="R8" s="57"/>
    </row>
    <row r="9" spans="1:18" ht="12.75" customHeight="1">
      <c r="C9" s="16"/>
      <c r="E9" s="24" t="s">
        <v>68</v>
      </c>
      <c r="F9" s="56">
        <f>'Data 1'!D68</f>
        <v>582.88</v>
      </c>
      <c r="G9" s="56">
        <f>'Data 1'!E68</f>
        <v>219.14</v>
      </c>
      <c r="H9" s="56" t="str">
        <f>'Data 1'!F68</f>
        <v>-</v>
      </c>
      <c r="I9" s="56" t="str">
        <f>'Data 1'!G68</f>
        <v>-</v>
      </c>
      <c r="J9" s="56">
        <f>'Data 1'!H68</f>
        <v>1511.95</v>
      </c>
      <c r="K9" s="56" t="str">
        <f>'Data 1'!I68</f>
        <v>-</v>
      </c>
      <c r="L9" s="56">
        <f>'Data 1'!J68</f>
        <v>360.6</v>
      </c>
      <c r="M9" s="56">
        <f>'Data 1'!K68</f>
        <v>215</v>
      </c>
      <c r="N9" s="56" t="str">
        <f>'Data 1'!L68</f>
        <v>-</v>
      </c>
      <c r="O9" s="56">
        <f>'Data 1'!M68</f>
        <v>439.32</v>
      </c>
      <c r="Q9" s="15"/>
      <c r="R9" s="57"/>
    </row>
    <row r="10" spans="1:18" ht="12.75" customHeight="1">
      <c r="E10" s="55" t="s">
        <v>27</v>
      </c>
      <c r="F10" s="56" t="str">
        <f>'Data 1'!D69</f>
        <v>-</v>
      </c>
      <c r="G10" s="56" t="str">
        <f>'Data 1'!E69</f>
        <v>-</v>
      </c>
      <c r="H10" s="56" t="str">
        <f>'Data 1'!F69</f>
        <v>-</v>
      </c>
      <c r="I10" s="56" t="str">
        <f>'Data 1'!G69</f>
        <v>-</v>
      </c>
      <c r="J10" s="56">
        <f>'Data 1'!H69</f>
        <v>1063.94</v>
      </c>
      <c r="K10" s="56" t="str">
        <f>'Data 1'!I69</f>
        <v>-</v>
      </c>
      <c r="L10" s="56" t="str">
        <f>'Data 1'!J69</f>
        <v>-</v>
      </c>
      <c r="M10" s="56">
        <f>'Data 1'!K69</f>
        <v>1003.41</v>
      </c>
      <c r="N10" s="56" t="str">
        <f>'Data 1'!L69</f>
        <v>-</v>
      </c>
      <c r="O10" s="56">
        <f>'Data 1'!M69</f>
        <v>3032.81</v>
      </c>
      <c r="Q10" s="15"/>
      <c r="R10" s="57"/>
    </row>
    <row r="11" spans="1:18" ht="12.75" customHeight="1">
      <c r="C11" s="25"/>
      <c r="E11" s="55" t="s">
        <v>28</v>
      </c>
      <c r="F11" s="56">
        <f>'Data 1'!D70</f>
        <v>1989.4</v>
      </c>
      <c r="G11" s="56">
        <f>'Data 1'!E70</f>
        <v>1055.77</v>
      </c>
      <c r="H11" s="56">
        <f>'Data 1'!F70</f>
        <v>2099.4349999999999</v>
      </c>
      <c r="I11" s="56">
        <f>'Data 1'!G70</f>
        <v>468.4</v>
      </c>
      <c r="J11" s="56" t="str">
        <f>'Data 1'!H70</f>
        <v>-</v>
      </c>
      <c r="K11" s="56" t="str">
        <f>'Data 1'!I70</f>
        <v>-</v>
      </c>
      <c r="L11" s="56" t="str">
        <f>'Data 1'!J70</f>
        <v>-</v>
      </c>
      <c r="M11" s="56" t="str">
        <f>'Data 1'!K70</f>
        <v>-</v>
      </c>
      <c r="N11" s="56">
        <f>'Data 1'!L70</f>
        <v>2456.89</v>
      </c>
      <c r="O11" s="56" t="str">
        <f>'Data 1'!M70</f>
        <v>-</v>
      </c>
      <c r="Q11" s="15"/>
      <c r="R11" s="57"/>
    </row>
    <row r="12" spans="1:18" ht="12.75" customHeight="1">
      <c r="C12" s="10"/>
      <c r="D12" s="10"/>
      <c r="E12" s="28" t="s">
        <v>115</v>
      </c>
      <c r="F12" s="56" t="str">
        <f>'Data 1'!D71</f>
        <v>-</v>
      </c>
      <c r="G12" s="56" t="str">
        <f>'Data 1'!E71</f>
        <v>-</v>
      </c>
      <c r="H12" s="56" t="str">
        <f>'Data 1'!F71</f>
        <v>-</v>
      </c>
      <c r="I12" s="56">
        <f>'Data 1'!G71</f>
        <v>787.4</v>
      </c>
      <c r="J12" s="56" t="str">
        <f>'Data 1'!H71</f>
        <v>-</v>
      </c>
      <c r="K12" s="56">
        <f>'Data 1'!I71</f>
        <v>1535.7</v>
      </c>
      <c r="L12" s="56" t="str">
        <f>'Data 1'!J71</f>
        <v>-</v>
      </c>
      <c r="M12" s="56" t="str">
        <f>'Data 1'!K71</f>
        <v>-</v>
      </c>
      <c r="N12" s="56" t="str">
        <f>'Data 1'!L71</f>
        <v>-</v>
      </c>
      <c r="O12" s="56" t="str">
        <f>'Data 1'!M71</f>
        <v>-</v>
      </c>
      <c r="Q12" s="15"/>
      <c r="R12" s="57"/>
    </row>
    <row r="13" spans="1:18" ht="12.75" customHeight="1">
      <c r="C13" s="10"/>
      <c r="D13" s="10"/>
      <c r="E13" s="28" t="s">
        <v>44</v>
      </c>
      <c r="F13" s="56">
        <f>'Data 1'!D72</f>
        <v>5951.72</v>
      </c>
      <c r="G13" s="56">
        <f>'Data 1'!E72</f>
        <v>1869.68</v>
      </c>
      <c r="H13" s="56">
        <f>'Data 1'!F72</f>
        <v>854.17</v>
      </c>
      <c r="I13" s="56">
        <f>'Data 1'!G72</f>
        <v>857.95</v>
      </c>
      <c r="J13" s="56">
        <f>'Data 1'!H72</f>
        <v>2853.54</v>
      </c>
      <c r="K13" s="56">
        <f>'Data 1'!I72</f>
        <v>864.2</v>
      </c>
      <c r="L13" s="56" t="str">
        <f>'Data 1'!J72</f>
        <v>-</v>
      </c>
      <c r="M13" s="56">
        <f>'Data 1'!K72</f>
        <v>758.74</v>
      </c>
      <c r="N13" s="56" t="str">
        <f>'Data 1'!L72</f>
        <v>-</v>
      </c>
      <c r="O13" s="56">
        <f>'Data 1'!M72</f>
        <v>3788.23</v>
      </c>
      <c r="R13" s="57"/>
    </row>
    <row r="14" spans="1:18" ht="12.75" customHeight="1">
      <c r="C14" s="10"/>
      <c r="D14" s="10"/>
      <c r="E14" s="55" t="s">
        <v>69</v>
      </c>
      <c r="F14" s="56" t="str">
        <f>'Data 1'!D73</f>
        <v>-</v>
      </c>
      <c r="G14" s="56" t="str">
        <f>'Data 1'!E73</f>
        <v>-</v>
      </c>
      <c r="H14" s="56" t="str">
        <f>'Data 1'!F73</f>
        <v>-</v>
      </c>
      <c r="I14" s="56" t="str">
        <f>'Data 1'!G73</f>
        <v>-</v>
      </c>
      <c r="J14" s="56" t="str">
        <f>'Data 1'!H73</f>
        <v>-</v>
      </c>
      <c r="K14" s="56">
        <f>'Data 1'!I73</f>
        <v>11.39</v>
      </c>
      <c r="L14" s="56" t="str">
        <f>'Data 1'!J73</f>
        <v>-</v>
      </c>
      <c r="M14" s="56" t="str">
        <f>'Data 1'!K73</f>
        <v>-</v>
      </c>
      <c r="N14" s="56" t="str">
        <f>'Data 1'!L73</f>
        <v>-</v>
      </c>
      <c r="O14" s="56" t="str">
        <f>'Data 1'!M73</f>
        <v>-</v>
      </c>
      <c r="R14" s="57"/>
    </row>
    <row r="15" spans="1:18" s="58" customFormat="1" ht="12.75" customHeight="1">
      <c r="A15" s="46"/>
      <c r="B15" s="46"/>
      <c r="C15" s="10"/>
      <c r="D15" s="10"/>
      <c r="E15" s="55" t="s">
        <v>50</v>
      </c>
      <c r="F15" s="56">
        <f>'Data 1'!D74</f>
        <v>3327.1804999999999</v>
      </c>
      <c r="G15" s="56">
        <f>'Data 1'!E74</f>
        <v>1964.8200000000002</v>
      </c>
      <c r="H15" s="56">
        <f>'Data 1'!F74</f>
        <v>518.45000000000005</v>
      </c>
      <c r="I15" s="56">
        <f>'Data 1'!G74</f>
        <v>3.6374999999999909</v>
      </c>
      <c r="J15" s="56">
        <f>'Data 1'!H74</f>
        <v>1205.2399999999998</v>
      </c>
      <c r="K15" s="56">
        <f>'Data 1'!I74</f>
        <v>421.71499999999997</v>
      </c>
      <c r="L15" s="56">
        <f>'Data 1'!J74</f>
        <v>35.310500000000005</v>
      </c>
      <c r="M15" s="56">
        <f>'Data 1'!K74</f>
        <v>3857.3541999999984</v>
      </c>
      <c r="N15" s="56">
        <f>'Data 1'!L74</f>
        <v>5591.0020000000013</v>
      </c>
      <c r="O15" s="56">
        <f>'Data 1'!M74</f>
        <v>1271.1599999999999</v>
      </c>
      <c r="P15" s="46"/>
      <c r="R15" s="57"/>
    </row>
    <row r="16" spans="1:18" s="58" customFormat="1" ht="12.75" customHeight="1">
      <c r="A16" s="46"/>
      <c r="B16" s="46"/>
      <c r="C16" s="10"/>
      <c r="D16" s="10"/>
      <c r="E16" s="55" t="s">
        <v>51</v>
      </c>
      <c r="F16" s="56">
        <f>'Data 1'!D75</f>
        <v>880.9675270000547</v>
      </c>
      <c r="G16" s="56">
        <f>'Data 1'!E75</f>
        <v>168.97413999999966</v>
      </c>
      <c r="H16" s="56">
        <f>'Data 1'!F75</f>
        <v>0.74280000000000024</v>
      </c>
      <c r="I16" s="56">
        <f>'Data 1'!G75</f>
        <v>80.225044999999852</v>
      </c>
      <c r="J16" s="56">
        <f>'Data 1'!H75</f>
        <v>360.7251249999955</v>
      </c>
      <c r="K16" s="56">
        <f>'Data 1'!I75</f>
        <v>167.32556999999963</v>
      </c>
      <c r="L16" s="56">
        <f>'Data 1'!J75</f>
        <v>2.1930049999999981</v>
      </c>
      <c r="M16" s="56">
        <f>'Data 1'!K75</f>
        <v>924.92145000007793</v>
      </c>
      <c r="N16" s="56">
        <f>'Data 1'!L75</f>
        <v>495.61995000000326</v>
      </c>
      <c r="O16" s="56">
        <f>'Data 1'!M75</f>
        <v>268.36687999999918</v>
      </c>
      <c r="P16" s="46"/>
      <c r="R16" s="57"/>
    </row>
    <row r="17" spans="3:18" ht="12.75" customHeight="1">
      <c r="C17" s="10"/>
      <c r="D17" s="10"/>
      <c r="E17" s="55" t="s">
        <v>67</v>
      </c>
      <c r="F17" s="56">
        <f>'Data 1'!D76</f>
        <v>1000.0229999999998</v>
      </c>
      <c r="G17" s="56" t="str">
        <f>'Data 1'!E76</f>
        <v>-</v>
      </c>
      <c r="H17" s="56" t="str">
        <f>'Data 1'!F76</f>
        <v>-</v>
      </c>
      <c r="I17" s="56" t="str">
        <f>'Data 1'!G76</f>
        <v>-</v>
      </c>
      <c r="J17" s="56">
        <f>'Data 1'!H76</f>
        <v>49.9</v>
      </c>
      <c r="K17" s="56" t="str">
        <f>'Data 1'!I76</f>
        <v>-</v>
      </c>
      <c r="L17" s="56" t="str">
        <f>'Data 1'!J76</f>
        <v>-</v>
      </c>
      <c r="M17" s="56">
        <f>'Data 1'!K76</f>
        <v>349.4</v>
      </c>
      <c r="N17" s="56" t="str">
        <f>'Data 1'!L76</f>
        <v>-</v>
      </c>
      <c r="O17" s="56">
        <f>'Data 1'!M76</f>
        <v>24.29</v>
      </c>
      <c r="R17" s="57"/>
    </row>
    <row r="18" spans="3:18" ht="12.75" customHeight="1">
      <c r="C18" s="10"/>
      <c r="D18" s="10"/>
      <c r="E18" s="28" t="s">
        <v>116</v>
      </c>
      <c r="F18" s="56">
        <f>'Data 1'!D77</f>
        <v>230.529</v>
      </c>
      <c r="G18" s="56">
        <f>'Data 1'!E77</f>
        <v>42.335000000000001</v>
      </c>
      <c r="H18" s="56">
        <f>'Data 1'!F77</f>
        <v>91.210000000000008</v>
      </c>
      <c r="I18" s="56">
        <f>'Data 1'!G77</f>
        <v>2.13</v>
      </c>
      <c r="J18" s="56">
        <f>'Data 1'!H77</f>
        <v>12.893000000000001</v>
      </c>
      <c r="K18" s="56">
        <f>'Data 1'!I77</f>
        <v>3.6960000000000002</v>
      </c>
      <c r="L18" s="56">
        <f>'Data 1'!J77</f>
        <v>12.862</v>
      </c>
      <c r="M18" s="56">
        <f>'Data 1'!K77</f>
        <v>89.34</v>
      </c>
      <c r="N18" s="56">
        <f>'Data 1'!L77</f>
        <v>46.894999999999996</v>
      </c>
      <c r="O18" s="56">
        <f>'Data 1'!M77</f>
        <v>64.537999999999997</v>
      </c>
      <c r="R18" s="57"/>
    </row>
    <row r="19" spans="3:18" ht="12.75" customHeight="1">
      <c r="C19" s="10"/>
      <c r="D19" s="10"/>
      <c r="E19" s="28" t="s">
        <v>74</v>
      </c>
      <c r="F19" s="56">
        <f>'Data 1'!D78</f>
        <v>848.95950000000016</v>
      </c>
      <c r="G19" s="56">
        <f>'Data 1'!E78</f>
        <v>478.25900000000013</v>
      </c>
      <c r="H19" s="56">
        <f>'Data 1'!F78</f>
        <v>68.923999999999978</v>
      </c>
      <c r="I19" s="56">
        <f>'Data 1'!G78</f>
        <v>10.486999999999998</v>
      </c>
      <c r="J19" s="56">
        <f>'Data 1'!H78</f>
        <v>463.02499999999975</v>
      </c>
      <c r="K19" s="56" t="str">
        <f>'Data 1'!I78</f>
        <v>-</v>
      </c>
      <c r="L19" s="56">
        <f>'Data 1'!J78</f>
        <v>295.59950000000003</v>
      </c>
      <c r="M19" s="56">
        <f>'Data 1'!K78</f>
        <v>355.16800000000001</v>
      </c>
      <c r="N19" s="56">
        <f>'Data 1'!L78</f>
        <v>594.44899999999996</v>
      </c>
      <c r="O19" s="56">
        <f>'Data 1'!M78</f>
        <v>1011.3275000000007</v>
      </c>
      <c r="R19" s="57"/>
    </row>
    <row r="20" spans="3:18" ht="12.75" customHeight="1">
      <c r="C20" s="10"/>
      <c r="D20" s="10"/>
      <c r="E20" s="30" t="s">
        <v>96</v>
      </c>
      <c r="F20" s="56">
        <f>'Data 1'!D79</f>
        <v>83.540999999999997</v>
      </c>
      <c r="G20" s="56">
        <f>'Data 1'!E79</f>
        <v>49.9</v>
      </c>
      <c r="H20" s="56">
        <f>'Data 1'!F79</f>
        <v>74.387</v>
      </c>
      <c r="I20" s="56">
        <f>'Data 1'!G79</f>
        <v>37.400000000000006</v>
      </c>
      <c r="J20" s="56">
        <f>'Data 1'!H79</f>
        <v>63.087999999999994</v>
      </c>
      <c r="K20" s="56" t="str">
        <f>'Data 1'!I79</f>
        <v>-</v>
      </c>
      <c r="L20" s="56">
        <f>'Data 1'!J79</f>
        <v>4.9669999999999996</v>
      </c>
      <c r="M20" s="56">
        <f>'Data 1'!K79</f>
        <v>0.68</v>
      </c>
      <c r="N20" s="56" t="str">
        <f>'Data 1'!L79</f>
        <v>-</v>
      </c>
      <c r="O20" s="56">
        <f>'Data 1'!M79</f>
        <v>32.374500000000005</v>
      </c>
      <c r="R20" s="57"/>
    </row>
    <row r="21" spans="3:18" ht="12.75" customHeight="1">
      <c r="C21" s="10"/>
      <c r="D21" s="10"/>
      <c r="E21" s="30" t="s">
        <v>97</v>
      </c>
      <c r="F21" s="56" t="str">
        <f>'Data 1'!D80</f>
        <v>-</v>
      </c>
      <c r="G21" s="56" t="str">
        <f>'Data 1'!E80</f>
        <v>-</v>
      </c>
      <c r="H21" s="56" t="str">
        <f>'Data 1'!F80</f>
        <v>-</v>
      </c>
      <c r="I21" s="56">
        <f>'Data 1'!G80</f>
        <v>37.400000000000006</v>
      </c>
      <c r="J21" s="56" t="str">
        <f>'Data 1'!H80</f>
        <v>-</v>
      </c>
      <c r="K21" s="56" t="str">
        <f>'Data 1'!I80</f>
        <v>-</v>
      </c>
      <c r="L21" s="56">
        <f>'Data 1'!J80</f>
        <v>4.9669999999999996</v>
      </c>
      <c r="M21" s="56" t="str">
        <f>'Data 1'!K80</f>
        <v>-</v>
      </c>
      <c r="N21" s="56" t="str">
        <f>'Data 1'!L80</f>
        <v>-</v>
      </c>
      <c r="O21" s="56">
        <f>'Data 1'!M80</f>
        <v>27.174500000000002</v>
      </c>
      <c r="R21" s="57"/>
    </row>
    <row r="22" spans="3:18" ht="12.75" customHeight="1">
      <c r="C22" s="10"/>
      <c r="D22" s="10"/>
      <c r="E22" s="59" t="s">
        <v>121</v>
      </c>
      <c r="F22" s="59">
        <f t="shared" ref="F22:O22" si="0">SUM(F8:F21)</f>
        <v>15484.774527000056</v>
      </c>
      <c r="G22" s="59">
        <f t="shared" si="0"/>
        <v>7182.5856399999993</v>
      </c>
      <c r="H22" s="59">
        <f t="shared" si="0"/>
        <v>4512.0706</v>
      </c>
      <c r="I22" s="59">
        <f t="shared" si="0"/>
        <v>2285.0295449999999</v>
      </c>
      <c r="J22" s="59">
        <f t="shared" si="0"/>
        <v>8224.0851249999942</v>
      </c>
      <c r="K22" s="59">
        <f t="shared" si="0"/>
        <v>3006.0465699999995</v>
      </c>
      <c r="L22" s="59">
        <f t="shared" si="0"/>
        <v>815.341005</v>
      </c>
      <c r="M22" s="59">
        <f t="shared" si="0"/>
        <v>8204.2556500000755</v>
      </c>
      <c r="N22" s="59">
        <f t="shared" si="0"/>
        <v>13585.958850000006</v>
      </c>
      <c r="O22" s="59">
        <f t="shared" si="0"/>
        <v>11872.669180000001</v>
      </c>
    </row>
    <row r="23" spans="3:18" ht="12.75" customHeight="1">
      <c r="C23" s="10"/>
      <c r="D23" s="10"/>
      <c r="E23" s="60" t="s">
        <v>117</v>
      </c>
      <c r="F23" s="60">
        <f>'Data 1'!D63</f>
        <v>15482.762337000055</v>
      </c>
      <c r="G23" s="60">
        <f>'Data 1'!E63</f>
        <v>7141.905639999999</v>
      </c>
      <c r="H23" s="60">
        <f>'Data 1'!F63</f>
        <v>4481.5580999999993</v>
      </c>
      <c r="I23" s="60">
        <f>'Data 1'!G63</f>
        <v>2284.8925850000001</v>
      </c>
      <c r="J23" s="60">
        <f>'Data 1'!H63</f>
        <v>8249.8831349999946</v>
      </c>
      <c r="K23" s="60">
        <f>'Data 1'!I63</f>
        <v>2791.2315699999995</v>
      </c>
      <c r="L23" s="60">
        <f>'Data 1'!J63</f>
        <v>815.341005</v>
      </c>
      <c r="M23" s="60">
        <f>'Data 1'!K63</f>
        <v>8192.8538900000767</v>
      </c>
      <c r="N23" s="60">
        <f>'Data 1'!L63</f>
        <v>13585.711930000005</v>
      </c>
      <c r="O23" s="60">
        <f>'Data 1'!M63</f>
        <v>12260.36268</v>
      </c>
    </row>
    <row r="24" spans="3:18" ht="12.75" customHeight="1">
      <c r="C24" s="10"/>
      <c r="D24" s="10"/>
      <c r="E24" s="36" t="s">
        <v>113</v>
      </c>
      <c r="F24" s="61">
        <f t="shared" ref="F24:N24" si="1">(F22/F23-1)*100</f>
        <v>1.2996324274716642E-2</v>
      </c>
      <c r="G24" s="61">
        <f t="shared" si="1"/>
        <v>0.56959587609448636</v>
      </c>
      <c r="H24" s="61">
        <f t="shared" si="1"/>
        <v>0.68084579780414156</v>
      </c>
      <c r="I24" s="61">
        <f>(I22/I23-1)*100</f>
        <v>5.9941548630648711E-3</v>
      </c>
      <c r="J24" s="61">
        <f t="shared" si="1"/>
        <v>-0.3127075811601876</v>
      </c>
      <c r="K24" s="61">
        <f>(K22/K23-1)*100</f>
        <v>7.6960651458954477</v>
      </c>
      <c r="L24" s="61">
        <f>(L22/L23-1)*100</f>
        <v>0</v>
      </c>
      <c r="M24" s="61">
        <f>(M22/M23-1)*100</f>
        <v>0.13916713459172225</v>
      </c>
      <c r="N24" s="61">
        <f t="shared" si="1"/>
        <v>1.8174976863516434E-3</v>
      </c>
      <c r="O24" s="61">
        <f>(O22/O23-1)*100</f>
        <v>-3.1621699138838166</v>
      </c>
    </row>
    <row r="25" spans="3:18" ht="12.75" customHeight="1">
      <c r="C25" s="10"/>
      <c r="D25" s="10"/>
      <c r="E25" s="62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3:18" ht="57.75">
      <c r="C26" s="10"/>
      <c r="D26" s="10"/>
      <c r="E26" s="53"/>
      <c r="F26" s="54" t="s">
        <v>42</v>
      </c>
      <c r="G26" s="54" t="s">
        <v>101</v>
      </c>
      <c r="H26" s="54" t="s">
        <v>102</v>
      </c>
      <c r="I26" s="54" t="s">
        <v>103</v>
      </c>
      <c r="J26" s="54" t="s">
        <v>83</v>
      </c>
      <c r="K26" s="54" t="s">
        <v>39</v>
      </c>
      <c r="L26" s="54" t="s">
        <v>104</v>
      </c>
      <c r="M26" s="54" t="s">
        <v>105</v>
      </c>
      <c r="N26" s="54" t="s">
        <v>71</v>
      </c>
      <c r="O26" s="54" t="s">
        <v>29</v>
      </c>
    </row>
    <row r="27" spans="3:18" ht="12.75" customHeight="1">
      <c r="E27" s="55" t="s">
        <v>26</v>
      </c>
      <c r="F27" s="56" t="str">
        <f>'Data 1'!N67</f>
        <v>-</v>
      </c>
      <c r="G27" s="56">
        <f>'Data 1'!O67</f>
        <v>2277.8123000000001</v>
      </c>
      <c r="H27" s="56">
        <f>'Data 1'!P67</f>
        <v>3720.2476900000001</v>
      </c>
      <c r="I27" s="56">
        <f>'Data 1'!Q67</f>
        <v>52.205539999999999</v>
      </c>
      <c r="J27" s="56">
        <f>'Data 1'!R67</f>
        <v>108.51659999999998</v>
      </c>
      <c r="K27" s="56" t="str">
        <f>'Data 1'!S67</f>
        <v>-</v>
      </c>
      <c r="L27" s="56">
        <f>'Data 1'!T67</f>
        <v>33.592999999999996</v>
      </c>
      <c r="M27" s="56">
        <f>'Data 1'!U67</f>
        <v>254.77500000000001</v>
      </c>
      <c r="N27" s="56">
        <f>'Data 1'!V67</f>
        <v>170.67649999999998</v>
      </c>
      <c r="O27" s="56">
        <f>SUM(F8:O8,F27:N27)</f>
        <v>17050.928630000002</v>
      </c>
      <c r="P27" s="63"/>
      <c r="Q27" s="57"/>
      <c r="R27" s="57"/>
    </row>
    <row r="28" spans="3:18" ht="12.75" customHeight="1">
      <c r="E28" s="24" t="s">
        <v>68</v>
      </c>
      <c r="F28" s="56" t="str">
        <f>'Data 1'!N68</f>
        <v>-</v>
      </c>
      <c r="G28" s="56" t="str">
        <f>'Data 1'!O68</f>
        <v>-</v>
      </c>
      <c r="H28" s="56" t="str">
        <f>'Data 1'!P68</f>
        <v>-</v>
      </c>
      <c r="I28" s="56" t="str">
        <f>'Data 1'!Q68</f>
        <v>-</v>
      </c>
      <c r="J28" s="56" t="str">
        <f>'Data 1'!R68</f>
        <v>-</v>
      </c>
      <c r="K28" s="56" t="str">
        <f>'Data 1'!S68</f>
        <v>-</v>
      </c>
      <c r="L28" s="56" t="str">
        <f>'Data 1'!T68</f>
        <v>-</v>
      </c>
      <c r="M28" s="56" t="str">
        <f>'Data 1'!U68</f>
        <v>-</v>
      </c>
      <c r="N28" s="56" t="str">
        <f>'Data 1'!V68</f>
        <v>-</v>
      </c>
      <c r="O28" s="56">
        <f t="shared" ref="O28:O40" si="2">SUM(F9:O9,F28:N28)</f>
        <v>3328.8900000000003</v>
      </c>
      <c r="P28" s="63"/>
      <c r="Q28" s="57"/>
      <c r="R28" s="57"/>
    </row>
    <row r="29" spans="3:18" ht="12.75" customHeight="1">
      <c r="E29" s="55" t="s">
        <v>27</v>
      </c>
      <c r="F29" s="56" t="str">
        <f>'Data 1'!N69</f>
        <v>-</v>
      </c>
      <c r="G29" s="56">
        <f>'Data 1'!O69</f>
        <v>2017.13</v>
      </c>
      <c r="H29" s="56" t="str">
        <f>'Data 1'!P69</f>
        <v>-</v>
      </c>
      <c r="I29" s="56" t="str">
        <f>'Data 1'!Q69</f>
        <v>-</v>
      </c>
      <c r="J29" s="56" t="str">
        <f>'Data 1'!R69</f>
        <v>-</v>
      </c>
      <c r="K29" s="56" t="str">
        <f>'Data 1'!S69</f>
        <v>-</v>
      </c>
      <c r="L29" s="56" t="str">
        <f>'Data 1'!T69</f>
        <v>-</v>
      </c>
      <c r="M29" s="56" t="str">
        <f>'Data 1'!U69</f>
        <v>-</v>
      </c>
      <c r="N29" s="56" t="str">
        <f>'Data 1'!V69</f>
        <v>-</v>
      </c>
      <c r="O29" s="56">
        <f t="shared" si="2"/>
        <v>7117.29</v>
      </c>
      <c r="P29" s="63"/>
      <c r="Q29" s="57"/>
      <c r="R29" s="57"/>
    </row>
    <row r="30" spans="3:18" ht="12.75" customHeight="1">
      <c r="E30" s="55" t="s">
        <v>28</v>
      </c>
      <c r="F30" s="56" t="str">
        <f>'Data 1'!N70</f>
        <v>-</v>
      </c>
      <c r="G30" s="56" t="str">
        <f>'Data 1'!O70</f>
        <v>-</v>
      </c>
      <c r="H30" s="56">
        <f>'Data 1'!P70</f>
        <v>1960.39</v>
      </c>
      <c r="I30" s="56" t="str">
        <f>'Data 1'!Q70</f>
        <v>-</v>
      </c>
      <c r="J30" s="56" t="str">
        <f>'Data 1'!R70</f>
        <v>-</v>
      </c>
      <c r="K30" s="56" t="str">
        <f>'Data 1'!S70</f>
        <v>-</v>
      </c>
      <c r="L30" s="56" t="str">
        <f>'Data 1'!T70</f>
        <v>-</v>
      </c>
      <c r="M30" s="56" t="str">
        <f>'Data 1'!U70</f>
        <v>-</v>
      </c>
      <c r="N30" s="56" t="str">
        <f>'Data 1'!V70</f>
        <v>-</v>
      </c>
      <c r="O30" s="56">
        <f t="shared" si="2"/>
        <v>10030.284999999998</v>
      </c>
      <c r="P30" s="63"/>
      <c r="Q30" s="57"/>
      <c r="R30" s="57"/>
    </row>
    <row r="31" spans="3:18" ht="12.75" customHeight="1">
      <c r="E31" s="28" t="s">
        <v>115</v>
      </c>
      <c r="F31" s="56">
        <f>'Data 1'!N71</f>
        <v>90.82</v>
      </c>
      <c r="G31" s="56" t="str">
        <f>'Data 1'!O71</f>
        <v>-</v>
      </c>
      <c r="H31" s="56" t="str">
        <f>'Data 1'!P71</f>
        <v>-</v>
      </c>
      <c r="I31" s="56" t="str">
        <f>'Data 1'!Q71</f>
        <v>-</v>
      </c>
      <c r="J31" s="56" t="str">
        <f>'Data 1'!R71</f>
        <v>-</v>
      </c>
      <c r="K31" s="56">
        <f>'Data 1'!S71</f>
        <v>76.14</v>
      </c>
      <c r="L31" s="56" t="str">
        <f>'Data 1'!T71</f>
        <v>-</v>
      </c>
      <c r="M31" s="56" t="str">
        <f>'Data 1'!U71</f>
        <v>-</v>
      </c>
      <c r="N31" s="56" t="str">
        <f>'Data 1'!V71</f>
        <v>-</v>
      </c>
      <c r="O31" s="56">
        <f t="shared" si="2"/>
        <v>2490.06</v>
      </c>
      <c r="P31" s="63"/>
      <c r="Q31" s="57"/>
      <c r="R31" s="57"/>
    </row>
    <row r="32" spans="3:18" ht="12.75" customHeight="1">
      <c r="E32" s="28" t="s">
        <v>44</v>
      </c>
      <c r="F32" s="56" t="str">
        <f>'Data 1'!N72</f>
        <v>-</v>
      </c>
      <c r="G32" s="56" t="str">
        <f>'Data 1'!O72</f>
        <v>-</v>
      </c>
      <c r="H32" s="56">
        <f>'Data 1'!P72</f>
        <v>1246.98</v>
      </c>
      <c r="I32" s="56">
        <f>'Data 1'!Q72</f>
        <v>784.7</v>
      </c>
      <c r="J32" s="56" t="str">
        <f>'Data 1'!R72</f>
        <v>-</v>
      </c>
      <c r="K32" s="56" t="str">
        <f>'Data 1'!S72</f>
        <v>-</v>
      </c>
      <c r="L32" s="56">
        <f>'Data 1'!T72</f>
        <v>3263.71</v>
      </c>
      <c r="M32" s="56">
        <f>'Data 1'!U72</f>
        <v>1222.32</v>
      </c>
      <c r="N32" s="56">
        <f>'Data 1'!V72</f>
        <v>1968.07</v>
      </c>
      <c r="O32" s="56">
        <f t="shared" si="2"/>
        <v>26284.010000000002</v>
      </c>
      <c r="P32" s="63"/>
      <c r="Q32" s="57"/>
      <c r="R32" s="57"/>
    </row>
    <row r="33" spans="3:18" ht="12.75" customHeight="1">
      <c r="E33" s="55" t="s">
        <v>69</v>
      </c>
      <c r="F33" s="56" t="str">
        <f>'Data 1'!N73</f>
        <v>-</v>
      </c>
      <c r="G33" s="56" t="str">
        <f>'Data 1'!O73</f>
        <v>-</v>
      </c>
      <c r="H33" s="56" t="str">
        <f>'Data 1'!P73</f>
        <v>-</v>
      </c>
      <c r="I33" s="56" t="str">
        <f>'Data 1'!Q73</f>
        <v>-</v>
      </c>
      <c r="J33" s="56" t="str">
        <f>'Data 1'!R73</f>
        <v>-</v>
      </c>
      <c r="K33" s="56" t="str">
        <f>'Data 1'!S73</f>
        <v>-</v>
      </c>
      <c r="L33" s="56" t="str">
        <f>'Data 1'!T73</f>
        <v>-</v>
      </c>
      <c r="M33" s="56" t="str">
        <f>'Data 1'!U73</f>
        <v>-</v>
      </c>
      <c r="N33" s="56" t="str">
        <f>'Data 1'!V73</f>
        <v>-</v>
      </c>
      <c r="O33" s="56">
        <f t="shared" si="2"/>
        <v>11.39</v>
      </c>
      <c r="P33" s="63"/>
      <c r="Q33" s="57"/>
      <c r="R33" s="57"/>
    </row>
    <row r="34" spans="3:18" ht="12.75" customHeight="1">
      <c r="E34" s="55" t="s">
        <v>50</v>
      </c>
      <c r="F34" s="56" t="str">
        <f>'Data 1'!N74</f>
        <v>-</v>
      </c>
      <c r="G34" s="56" t="str">
        <f>'Data 1'!O74</f>
        <v>-</v>
      </c>
      <c r="H34" s="56">
        <f>'Data 1'!P74</f>
        <v>3411.152000000001</v>
      </c>
      <c r="I34" s="56">
        <f>'Data 1'!Q74</f>
        <v>448.12</v>
      </c>
      <c r="J34" s="56" t="str">
        <f>'Data 1'!R74</f>
        <v>-</v>
      </c>
      <c r="K34" s="56" t="str">
        <f>'Data 1'!S74</f>
        <v>-</v>
      </c>
      <c r="L34" s="56">
        <f>'Data 1'!T74</f>
        <v>262.77</v>
      </c>
      <c r="M34" s="56">
        <f>'Data 1'!U74</f>
        <v>995.15699999999993</v>
      </c>
      <c r="N34" s="56">
        <f>'Data 1'!V74</f>
        <v>153.38480000000001</v>
      </c>
      <c r="O34" s="56">
        <f t="shared" si="2"/>
        <v>23466.4535</v>
      </c>
      <c r="P34" s="63"/>
      <c r="Q34" s="57"/>
      <c r="R34" s="57"/>
    </row>
    <row r="35" spans="3:18" ht="12.75" customHeight="1">
      <c r="E35" s="55" t="s">
        <v>51</v>
      </c>
      <c r="F35" s="56" t="str">
        <f>'Data 1'!N75</f>
        <v>-</v>
      </c>
      <c r="G35" s="56">
        <f>'Data 1'!O75</f>
        <v>563.98898400001144</v>
      </c>
      <c r="H35" s="56">
        <f>'Data 1'!P75</f>
        <v>16.657694999999979</v>
      </c>
      <c r="I35" s="56">
        <f>'Data 1'!Q75</f>
        <v>85.602979999999761</v>
      </c>
      <c r="J35" s="56">
        <f>'Data 1'!R75</f>
        <v>63.698096000000035</v>
      </c>
      <c r="K35" s="56">
        <f>'Data 1'!S75</f>
        <v>5.9700000000000003E-2</v>
      </c>
      <c r="L35" s="56">
        <f>'Data 1'!T75</f>
        <v>437.64379599998955</v>
      </c>
      <c r="M35" s="56">
        <f>'Data 1'!U75</f>
        <v>162.02221999999648</v>
      </c>
      <c r="N35" s="56">
        <f>'Data 1'!V75</f>
        <v>27.009505000000111</v>
      </c>
      <c r="O35" s="56">
        <f t="shared" si="2"/>
        <v>4706.7444680001263</v>
      </c>
      <c r="P35" s="63"/>
      <c r="Q35" s="57"/>
      <c r="R35" s="57"/>
    </row>
    <row r="36" spans="3:18" ht="12.75" customHeight="1">
      <c r="E36" s="55" t="s">
        <v>67</v>
      </c>
      <c r="F36" s="56" t="str">
        <f>'Data 1'!N76</f>
        <v>-</v>
      </c>
      <c r="G36" s="56">
        <f>'Data 1'!O76</f>
        <v>849.09999999999991</v>
      </c>
      <c r="H36" s="56" t="str">
        <f>'Data 1'!P76</f>
        <v>-</v>
      </c>
      <c r="I36" s="56" t="str">
        <f>'Data 1'!Q76</f>
        <v>-</v>
      </c>
      <c r="J36" s="56" t="str">
        <f>'Data 1'!R76</f>
        <v>-</v>
      </c>
      <c r="K36" s="56" t="str">
        <f>'Data 1'!S76</f>
        <v>-</v>
      </c>
      <c r="L36" s="56">
        <f>'Data 1'!T76</f>
        <v>31.4</v>
      </c>
      <c r="M36" s="56" t="str">
        <f>'Data 1'!U76</f>
        <v>-</v>
      </c>
      <c r="N36" s="56" t="str">
        <f>'Data 1'!V76</f>
        <v>-</v>
      </c>
      <c r="O36" s="56">
        <f t="shared" si="2"/>
        <v>2304.1129999999998</v>
      </c>
      <c r="P36" s="63"/>
      <c r="Q36" s="57"/>
      <c r="R36" s="57"/>
    </row>
    <row r="37" spans="3:18" ht="12.75" customHeight="1">
      <c r="C37" s="64"/>
      <c r="D37" s="65"/>
      <c r="E37" s="28" t="s">
        <v>116</v>
      </c>
      <c r="F37" s="56" t="str">
        <f>'Data 1'!N77</f>
        <v>-</v>
      </c>
      <c r="G37" s="56">
        <f>'Data 1'!O77</f>
        <v>35.799999999999997</v>
      </c>
      <c r="H37" s="56">
        <f>'Data 1'!P77</f>
        <v>65.821000000000012</v>
      </c>
      <c r="I37" s="56">
        <f>'Data 1'!Q77</f>
        <v>4.1269999999999998</v>
      </c>
      <c r="J37" s="56">
        <f>'Data 1'!R77</f>
        <v>42.584000000000003</v>
      </c>
      <c r="K37" s="56" t="str">
        <f>'Data 1'!S77</f>
        <v>-</v>
      </c>
      <c r="L37" s="56">
        <f>'Data 1'!T77</f>
        <v>15.472000000000001</v>
      </c>
      <c r="M37" s="56">
        <f>'Data 1'!U77</f>
        <v>50.111000000000004</v>
      </c>
      <c r="N37" s="56">
        <f>'Data 1'!V77</f>
        <v>53.972000000000001</v>
      </c>
      <c r="O37" s="56">
        <f t="shared" si="2"/>
        <v>864.31499999999994</v>
      </c>
      <c r="P37" s="63"/>
      <c r="Q37" s="57"/>
      <c r="R37" s="57"/>
    </row>
    <row r="38" spans="3:18" ht="12.75" customHeight="1">
      <c r="E38" s="28" t="s">
        <v>74</v>
      </c>
      <c r="F38" s="56" t="str">
        <f>'Data 1'!N78</f>
        <v>-</v>
      </c>
      <c r="G38" s="56">
        <f>'Data 1'!O78</f>
        <v>18.077000000000002</v>
      </c>
      <c r="H38" s="56">
        <f>'Data 1'!P78</f>
        <v>500.90559999999994</v>
      </c>
      <c r="I38" s="56">
        <f>'Data 1'!Q78</f>
        <v>22.917000000000005</v>
      </c>
      <c r="J38" s="56">
        <f>'Data 1'!R78</f>
        <v>211.06189999999998</v>
      </c>
      <c r="K38" s="56" t="str">
        <f>'Data 1'!S78</f>
        <v>-</v>
      </c>
      <c r="L38" s="56">
        <f>'Data 1'!T78</f>
        <v>314.10199999999998</v>
      </c>
      <c r="M38" s="56">
        <f>'Data 1'!U78</f>
        <v>147.53149999999999</v>
      </c>
      <c r="N38" s="56">
        <f>'Data 1'!V78</f>
        <v>405.48889999999983</v>
      </c>
      <c r="O38" s="56">
        <f t="shared" si="2"/>
        <v>5746.2824000000001</v>
      </c>
      <c r="P38" s="63"/>
      <c r="Q38" s="57"/>
      <c r="R38" s="57"/>
    </row>
    <row r="39" spans="3:18" ht="12.75" customHeight="1">
      <c r="E39" s="30" t="s">
        <v>96</v>
      </c>
      <c r="F39" s="56" t="str">
        <f>'Data 1'!N79</f>
        <v>-</v>
      </c>
      <c r="G39" s="56" t="str">
        <f>'Data 1'!O79</f>
        <v>-</v>
      </c>
      <c r="H39" s="56">
        <f>'Data 1'!P79</f>
        <v>40.68</v>
      </c>
      <c r="I39" s="56" t="str">
        <f>'Data 1'!Q79</f>
        <v>-</v>
      </c>
      <c r="J39" s="56">
        <f>'Data 1'!R79</f>
        <v>16.149999999999999</v>
      </c>
      <c r="K39" s="56">
        <f>'Data 1'!S79</f>
        <v>1.0840000000000001</v>
      </c>
      <c r="L39" s="56">
        <f>'Data 1'!T79</f>
        <v>9.68</v>
      </c>
      <c r="M39" s="56" t="str">
        <f>'Data 1'!U79</f>
        <v>-</v>
      </c>
      <c r="N39" s="56">
        <f>'Data 1'!V79</f>
        <v>76.930000000000007</v>
      </c>
      <c r="O39" s="56">
        <f t="shared" si="2"/>
        <v>490.86150000000004</v>
      </c>
      <c r="P39" s="63"/>
      <c r="Q39" s="57"/>
      <c r="R39" s="57"/>
    </row>
    <row r="40" spans="3:18" ht="12.75" customHeight="1">
      <c r="E40" s="30" t="s">
        <v>97</v>
      </c>
      <c r="F40" s="56" t="str">
        <f>'Data 1'!N80</f>
        <v>-</v>
      </c>
      <c r="G40" s="56" t="str">
        <f>'Data 1'!O80</f>
        <v>-</v>
      </c>
      <c r="H40" s="56">
        <f>'Data 1'!P80</f>
        <v>25</v>
      </c>
      <c r="I40" s="56" t="str">
        <f>'Data 1'!Q80</f>
        <v>-</v>
      </c>
      <c r="J40" s="56">
        <f>'Data 1'!R80</f>
        <v>16.149999999999999</v>
      </c>
      <c r="K40" s="56">
        <f>'Data 1'!S80</f>
        <v>1.0840000000000001</v>
      </c>
      <c r="L40" s="56" t="str">
        <f>'Data 1'!T80</f>
        <v>-</v>
      </c>
      <c r="M40" s="56" t="str">
        <f>'Data 1'!U80</f>
        <v>-</v>
      </c>
      <c r="N40" s="56">
        <f>'Data 1'!V80</f>
        <v>49.75</v>
      </c>
      <c r="O40" s="56">
        <f t="shared" si="2"/>
        <v>161.52550000000002</v>
      </c>
      <c r="P40" s="63"/>
      <c r="Q40" s="57"/>
      <c r="R40" s="57"/>
    </row>
    <row r="41" spans="3:18" ht="12.75" customHeight="1">
      <c r="E41" s="59" t="s">
        <v>121</v>
      </c>
      <c r="F41" s="59">
        <f t="shared" ref="F41:N41" si="3">SUM(F27:F40)</f>
        <v>90.82</v>
      </c>
      <c r="G41" s="59">
        <f t="shared" si="3"/>
        <v>5761.9082840000119</v>
      </c>
      <c r="H41" s="59">
        <f t="shared" si="3"/>
        <v>10987.833985000001</v>
      </c>
      <c r="I41" s="59">
        <f t="shared" si="3"/>
        <v>1397.6725199999996</v>
      </c>
      <c r="J41" s="59">
        <f t="shared" si="3"/>
        <v>458.16059599999994</v>
      </c>
      <c r="K41" s="59">
        <f t="shared" si="3"/>
        <v>78.367700000000013</v>
      </c>
      <c r="L41" s="59">
        <f t="shared" si="3"/>
        <v>4368.3707959999902</v>
      </c>
      <c r="M41" s="59">
        <f t="shared" si="3"/>
        <v>2831.9167199999965</v>
      </c>
      <c r="N41" s="59">
        <f t="shared" si="3"/>
        <v>2905.2817049999994</v>
      </c>
      <c r="O41" s="59">
        <f>SUM(F22:O22,F41:N41)</f>
        <v>104053.14899800014</v>
      </c>
      <c r="P41" s="63"/>
      <c r="Q41" s="57"/>
    </row>
    <row r="42" spans="3:18" ht="12.75" customHeight="1">
      <c r="E42" s="60" t="s">
        <v>117</v>
      </c>
      <c r="F42" s="60">
        <f>'Data 1'!N63</f>
        <v>90.82</v>
      </c>
      <c r="G42" s="60">
        <f>'Data 1'!O63</f>
        <v>5761.8972840000133</v>
      </c>
      <c r="H42" s="60">
        <f>'Data 1'!P63</f>
        <v>10901.175705000001</v>
      </c>
      <c r="I42" s="60">
        <f>'Data 1'!Q63</f>
        <v>1415.4925199999998</v>
      </c>
      <c r="J42" s="60">
        <f>'Data 1'!R63</f>
        <v>459.09018099999992</v>
      </c>
      <c r="K42" s="60">
        <f>'Data 1'!S63</f>
        <v>78.367700000000013</v>
      </c>
      <c r="L42" s="60">
        <f>'Data 1'!T63</f>
        <v>4367.9286959999899</v>
      </c>
      <c r="M42" s="60">
        <f>'Data 1'!U63</f>
        <v>2839.8982599999963</v>
      </c>
      <c r="N42" s="60">
        <f>'Data 1'!V63</f>
        <v>2913.2201</v>
      </c>
      <c r="O42" s="60">
        <f>SUM(F23:O23,F42:N42)</f>
        <v>104114.39331800015</v>
      </c>
      <c r="P42" s="63"/>
    </row>
    <row r="43" spans="3:18" ht="12.75" customHeight="1">
      <c r="E43" s="36" t="s">
        <v>113</v>
      </c>
      <c r="F43" s="61">
        <f>(F41/F42-1)*100</f>
        <v>0</v>
      </c>
      <c r="G43" s="61">
        <f>(G41/G42-1)*100</f>
        <v>1.9090933864873705E-4</v>
      </c>
      <c r="H43" s="61">
        <f t="shared" ref="H43:N43" si="4">(H41/H42-1)*100</f>
        <v>0.79494434678502035</v>
      </c>
      <c r="I43" s="61">
        <f>(I41/I42-1)*100</f>
        <v>-1.2589257624618266</v>
      </c>
      <c r="J43" s="61">
        <f t="shared" si="4"/>
        <v>-0.20248418251401779</v>
      </c>
      <c r="K43" s="61">
        <f>(K41/K42-1)*100</f>
        <v>0</v>
      </c>
      <c r="L43" s="61">
        <f t="shared" si="4"/>
        <v>1.0121502221527301E-2</v>
      </c>
      <c r="M43" s="61">
        <f t="shared" si="4"/>
        <v>-0.28105020917191803</v>
      </c>
      <c r="N43" s="61">
        <f t="shared" si="4"/>
        <v>-0.27249554539324761</v>
      </c>
      <c r="O43" s="61">
        <f>(O41/O42-1)*100</f>
        <v>-5.8824066537033204E-2</v>
      </c>
      <c r="R43" s="63"/>
    </row>
    <row r="44" spans="3:18" ht="11.25" customHeight="1">
      <c r="E44" s="614" t="s">
        <v>118</v>
      </c>
      <c r="F44" s="614"/>
      <c r="G44" s="614"/>
      <c r="H44" s="614"/>
      <c r="I44" s="614"/>
      <c r="J44" s="614"/>
      <c r="K44" s="614"/>
      <c r="L44" s="614"/>
      <c r="M44" s="614"/>
      <c r="N44" s="614"/>
      <c r="O44" s="614"/>
    </row>
    <row r="45" spans="3:18"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3:18">
      <c r="E46" s="67"/>
      <c r="F46" s="67"/>
      <c r="G46" s="67"/>
      <c r="H46" s="67"/>
      <c r="I46" s="67"/>
      <c r="J46" s="67"/>
      <c r="K46" s="67"/>
    </row>
    <row r="47" spans="3:18">
      <c r="E47" s="68"/>
      <c r="F47" s="68"/>
      <c r="G47" s="68"/>
      <c r="H47" s="68"/>
      <c r="I47" s="68"/>
      <c r="J47" s="68"/>
      <c r="K47" s="68"/>
    </row>
    <row r="48" spans="3:18">
      <c r="E48" s="67"/>
      <c r="F48" s="67"/>
      <c r="G48" s="67"/>
      <c r="H48" s="67"/>
      <c r="I48" s="67"/>
      <c r="J48" s="67"/>
      <c r="K48" s="67"/>
    </row>
    <row r="49" spans="5:11">
      <c r="E49" s="67"/>
      <c r="F49" s="67"/>
      <c r="G49" s="67"/>
      <c r="H49" s="67"/>
      <c r="I49" s="67"/>
      <c r="J49" s="67"/>
      <c r="K49" s="67"/>
    </row>
  </sheetData>
  <mergeCells count="1">
    <mergeCell ref="E44:O44"/>
  </mergeCells>
  <hyperlinks>
    <hyperlink ref="C4" location="Indice!A1" display="Balance eléctrico, potencia instalada y red de transporte"/>
  </hyperlinks>
  <printOptions horizontalCentered="1" verticalCentered="1"/>
  <pageMargins left="0.39370078740157483" right="0.78740157480314965" top="0.39370078740157483" bottom="0.98425196850393704" header="0" footer="0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O41"/>
  <sheetViews>
    <sheetView showGridLines="0" showRowColHeaders="0" zoomScaleNormal="100" workbookViewId="0">
      <selection activeCell="G38" sqref="G38"/>
    </sheetView>
  </sheetViews>
  <sheetFormatPr baseColWidth="10" defaultRowHeight="12.75"/>
  <cols>
    <col min="1" max="1" width="0.140625" style="180" customWidth="1"/>
    <col min="2" max="2" width="2.7109375" style="180" customWidth="1"/>
    <col min="3" max="3" width="23.7109375" style="180" customWidth="1"/>
    <col min="4" max="4" width="1.28515625" style="180" customWidth="1"/>
    <col min="5" max="5" width="27.7109375" style="180" customWidth="1"/>
    <col min="6" max="11" width="10.7109375" style="180" customWidth="1"/>
    <col min="12" max="250" width="11.42578125" style="180"/>
    <col min="251" max="251" width="0.140625" style="180" customWidth="1"/>
    <col min="252" max="252" width="2.7109375" style="180" customWidth="1"/>
    <col min="253" max="253" width="18.5703125" style="180" customWidth="1"/>
    <col min="254" max="254" width="1.28515625" style="180" customWidth="1"/>
    <col min="255" max="255" width="22.85546875" style="180" customWidth="1"/>
    <col min="256" max="256" width="9.42578125" style="180" bestFit="1" customWidth="1"/>
    <col min="257" max="257" width="1.5703125" style="180" customWidth="1"/>
    <col min="258" max="258" width="10.5703125" style="180" customWidth="1"/>
    <col min="259" max="259" width="9.28515625" style="180" customWidth="1"/>
    <col min="260" max="260" width="1.5703125" style="180" customWidth="1"/>
    <col min="261" max="261" width="10.5703125" style="180" customWidth="1"/>
    <col min="262" max="262" width="9.5703125" style="180" customWidth="1"/>
    <col min="263" max="263" width="1.5703125" style="180" customWidth="1"/>
    <col min="264" max="264" width="9.5703125" style="180" customWidth="1"/>
    <col min="265" max="265" width="12" style="180" bestFit="1" customWidth="1"/>
    <col min="266" max="266" width="13.42578125" style="180" bestFit="1" customWidth="1"/>
    <col min="267" max="267" width="12" style="180" bestFit="1" customWidth="1"/>
    <col min="268" max="506" width="11.42578125" style="180"/>
    <col min="507" max="507" width="0.140625" style="180" customWidth="1"/>
    <col min="508" max="508" width="2.7109375" style="180" customWidth="1"/>
    <col min="509" max="509" width="18.5703125" style="180" customWidth="1"/>
    <col min="510" max="510" width="1.28515625" style="180" customWidth="1"/>
    <col min="511" max="511" width="22.85546875" style="180" customWidth="1"/>
    <col min="512" max="512" width="9.42578125" style="180" bestFit="1" customWidth="1"/>
    <col min="513" max="513" width="1.5703125" style="180" customWidth="1"/>
    <col min="514" max="514" width="10.5703125" style="180" customWidth="1"/>
    <col min="515" max="515" width="9.28515625" style="180" customWidth="1"/>
    <col min="516" max="516" width="1.5703125" style="180" customWidth="1"/>
    <col min="517" max="517" width="10.5703125" style="180" customWidth="1"/>
    <col min="518" max="518" width="9.5703125" style="180" customWidth="1"/>
    <col min="519" max="519" width="1.5703125" style="180" customWidth="1"/>
    <col min="520" max="520" width="9.5703125" style="180" customWidth="1"/>
    <col min="521" max="521" width="12" style="180" bestFit="1" customWidth="1"/>
    <col min="522" max="522" width="13.42578125" style="180" bestFit="1" customWidth="1"/>
    <col min="523" max="523" width="12" style="180" bestFit="1" customWidth="1"/>
    <col min="524" max="762" width="11.42578125" style="180"/>
    <col min="763" max="763" width="0.140625" style="180" customWidth="1"/>
    <col min="764" max="764" width="2.7109375" style="180" customWidth="1"/>
    <col min="765" max="765" width="18.5703125" style="180" customWidth="1"/>
    <col min="766" max="766" width="1.28515625" style="180" customWidth="1"/>
    <col min="767" max="767" width="22.85546875" style="180" customWidth="1"/>
    <col min="768" max="768" width="9.42578125" style="180" bestFit="1" customWidth="1"/>
    <col min="769" max="769" width="1.5703125" style="180" customWidth="1"/>
    <col min="770" max="770" width="10.5703125" style="180" customWidth="1"/>
    <col min="771" max="771" width="9.28515625" style="180" customWidth="1"/>
    <col min="772" max="772" width="1.5703125" style="180" customWidth="1"/>
    <col min="773" max="773" width="10.5703125" style="180" customWidth="1"/>
    <col min="774" max="774" width="9.5703125" style="180" customWidth="1"/>
    <col min="775" max="775" width="1.5703125" style="180" customWidth="1"/>
    <col min="776" max="776" width="9.5703125" style="180" customWidth="1"/>
    <col min="777" max="777" width="12" style="180" bestFit="1" customWidth="1"/>
    <col min="778" max="778" width="13.42578125" style="180" bestFit="1" customWidth="1"/>
    <col min="779" max="779" width="12" style="180" bestFit="1" customWidth="1"/>
    <col min="780" max="1018" width="11.42578125" style="180"/>
    <col min="1019" max="1019" width="0.140625" style="180" customWidth="1"/>
    <col min="1020" max="1020" width="2.7109375" style="180" customWidth="1"/>
    <col min="1021" max="1021" width="18.5703125" style="180" customWidth="1"/>
    <col min="1022" max="1022" width="1.28515625" style="180" customWidth="1"/>
    <col min="1023" max="1023" width="22.85546875" style="180" customWidth="1"/>
    <col min="1024" max="1024" width="9.42578125" style="180" bestFit="1" customWidth="1"/>
    <col min="1025" max="1025" width="1.5703125" style="180" customWidth="1"/>
    <col min="1026" max="1026" width="10.5703125" style="180" customWidth="1"/>
    <col min="1027" max="1027" width="9.28515625" style="180" customWidth="1"/>
    <col min="1028" max="1028" width="1.5703125" style="180" customWidth="1"/>
    <col min="1029" max="1029" width="10.5703125" style="180" customWidth="1"/>
    <col min="1030" max="1030" width="9.5703125" style="180" customWidth="1"/>
    <col min="1031" max="1031" width="1.5703125" style="180" customWidth="1"/>
    <col min="1032" max="1032" width="9.5703125" style="180" customWidth="1"/>
    <col min="1033" max="1033" width="12" style="180" bestFit="1" customWidth="1"/>
    <col min="1034" max="1034" width="13.42578125" style="180" bestFit="1" customWidth="1"/>
    <col min="1035" max="1035" width="12" style="180" bestFit="1" customWidth="1"/>
    <col min="1036" max="1274" width="11.42578125" style="180"/>
    <col min="1275" max="1275" width="0.140625" style="180" customWidth="1"/>
    <col min="1276" max="1276" width="2.7109375" style="180" customWidth="1"/>
    <col min="1277" max="1277" width="18.5703125" style="180" customWidth="1"/>
    <col min="1278" max="1278" width="1.28515625" style="180" customWidth="1"/>
    <col min="1279" max="1279" width="22.85546875" style="180" customWidth="1"/>
    <col min="1280" max="1280" width="9.42578125" style="180" bestFit="1" customWidth="1"/>
    <col min="1281" max="1281" width="1.5703125" style="180" customWidth="1"/>
    <col min="1282" max="1282" width="10.5703125" style="180" customWidth="1"/>
    <col min="1283" max="1283" width="9.28515625" style="180" customWidth="1"/>
    <col min="1284" max="1284" width="1.5703125" style="180" customWidth="1"/>
    <col min="1285" max="1285" width="10.5703125" style="180" customWidth="1"/>
    <col min="1286" max="1286" width="9.5703125" style="180" customWidth="1"/>
    <col min="1287" max="1287" width="1.5703125" style="180" customWidth="1"/>
    <col min="1288" max="1288" width="9.5703125" style="180" customWidth="1"/>
    <col min="1289" max="1289" width="12" style="180" bestFit="1" customWidth="1"/>
    <col min="1290" max="1290" width="13.42578125" style="180" bestFit="1" customWidth="1"/>
    <col min="1291" max="1291" width="12" style="180" bestFit="1" customWidth="1"/>
    <col min="1292" max="1530" width="11.42578125" style="180"/>
    <col min="1531" max="1531" width="0.140625" style="180" customWidth="1"/>
    <col min="1532" max="1532" width="2.7109375" style="180" customWidth="1"/>
    <col min="1533" max="1533" width="18.5703125" style="180" customWidth="1"/>
    <col min="1534" max="1534" width="1.28515625" style="180" customWidth="1"/>
    <col min="1535" max="1535" width="22.85546875" style="180" customWidth="1"/>
    <col min="1536" max="1536" width="9.42578125" style="180" bestFit="1" customWidth="1"/>
    <col min="1537" max="1537" width="1.5703125" style="180" customWidth="1"/>
    <col min="1538" max="1538" width="10.5703125" style="180" customWidth="1"/>
    <col min="1539" max="1539" width="9.28515625" style="180" customWidth="1"/>
    <col min="1540" max="1540" width="1.5703125" style="180" customWidth="1"/>
    <col min="1541" max="1541" width="10.5703125" style="180" customWidth="1"/>
    <col min="1542" max="1542" width="9.5703125" style="180" customWidth="1"/>
    <col min="1543" max="1543" width="1.5703125" style="180" customWidth="1"/>
    <col min="1544" max="1544" width="9.5703125" style="180" customWidth="1"/>
    <col min="1545" max="1545" width="12" style="180" bestFit="1" customWidth="1"/>
    <col min="1546" max="1546" width="13.42578125" style="180" bestFit="1" customWidth="1"/>
    <col min="1547" max="1547" width="12" style="180" bestFit="1" customWidth="1"/>
    <col min="1548" max="1786" width="11.42578125" style="180"/>
    <col min="1787" max="1787" width="0.140625" style="180" customWidth="1"/>
    <col min="1788" max="1788" width="2.7109375" style="180" customWidth="1"/>
    <col min="1789" max="1789" width="18.5703125" style="180" customWidth="1"/>
    <col min="1790" max="1790" width="1.28515625" style="180" customWidth="1"/>
    <col min="1791" max="1791" width="22.85546875" style="180" customWidth="1"/>
    <col min="1792" max="1792" width="9.42578125" style="180" bestFit="1" customWidth="1"/>
    <col min="1793" max="1793" width="1.5703125" style="180" customWidth="1"/>
    <col min="1794" max="1794" width="10.5703125" style="180" customWidth="1"/>
    <col min="1795" max="1795" width="9.28515625" style="180" customWidth="1"/>
    <col min="1796" max="1796" width="1.5703125" style="180" customWidth="1"/>
    <col min="1797" max="1797" width="10.5703125" style="180" customWidth="1"/>
    <col min="1798" max="1798" width="9.5703125" style="180" customWidth="1"/>
    <col min="1799" max="1799" width="1.5703125" style="180" customWidth="1"/>
    <col min="1800" max="1800" width="9.5703125" style="180" customWidth="1"/>
    <col min="1801" max="1801" width="12" style="180" bestFit="1" customWidth="1"/>
    <col min="1802" max="1802" width="13.42578125" style="180" bestFit="1" customWidth="1"/>
    <col min="1803" max="1803" width="12" style="180" bestFit="1" customWidth="1"/>
    <col min="1804" max="2042" width="11.42578125" style="180"/>
    <col min="2043" max="2043" width="0.140625" style="180" customWidth="1"/>
    <col min="2044" max="2044" width="2.7109375" style="180" customWidth="1"/>
    <col min="2045" max="2045" width="18.5703125" style="180" customWidth="1"/>
    <col min="2046" max="2046" width="1.28515625" style="180" customWidth="1"/>
    <col min="2047" max="2047" width="22.85546875" style="180" customWidth="1"/>
    <col min="2048" max="2048" width="9.42578125" style="180" bestFit="1" customWidth="1"/>
    <col min="2049" max="2049" width="1.5703125" style="180" customWidth="1"/>
    <col min="2050" max="2050" width="10.5703125" style="180" customWidth="1"/>
    <col min="2051" max="2051" width="9.28515625" style="180" customWidth="1"/>
    <col min="2052" max="2052" width="1.5703125" style="180" customWidth="1"/>
    <col min="2053" max="2053" width="10.5703125" style="180" customWidth="1"/>
    <col min="2054" max="2054" width="9.5703125" style="180" customWidth="1"/>
    <col min="2055" max="2055" width="1.5703125" style="180" customWidth="1"/>
    <col min="2056" max="2056" width="9.5703125" style="180" customWidth="1"/>
    <col min="2057" max="2057" width="12" style="180" bestFit="1" customWidth="1"/>
    <col min="2058" max="2058" width="13.42578125" style="180" bestFit="1" customWidth="1"/>
    <col min="2059" max="2059" width="12" style="180" bestFit="1" customWidth="1"/>
    <col min="2060" max="2298" width="11.42578125" style="180"/>
    <col min="2299" max="2299" width="0.140625" style="180" customWidth="1"/>
    <col min="2300" max="2300" width="2.7109375" style="180" customWidth="1"/>
    <col min="2301" max="2301" width="18.5703125" style="180" customWidth="1"/>
    <col min="2302" max="2302" width="1.28515625" style="180" customWidth="1"/>
    <col min="2303" max="2303" width="22.85546875" style="180" customWidth="1"/>
    <col min="2304" max="2304" width="9.42578125" style="180" bestFit="1" customWidth="1"/>
    <col min="2305" max="2305" width="1.5703125" style="180" customWidth="1"/>
    <col min="2306" max="2306" width="10.5703125" style="180" customWidth="1"/>
    <col min="2307" max="2307" width="9.28515625" style="180" customWidth="1"/>
    <col min="2308" max="2308" width="1.5703125" style="180" customWidth="1"/>
    <col min="2309" max="2309" width="10.5703125" style="180" customWidth="1"/>
    <col min="2310" max="2310" width="9.5703125" style="180" customWidth="1"/>
    <col min="2311" max="2311" width="1.5703125" style="180" customWidth="1"/>
    <col min="2312" max="2312" width="9.5703125" style="180" customWidth="1"/>
    <col min="2313" max="2313" width="12" style="180" bestFit="1" customWidth="1"/>
    <col min="2314" max="2314" width="13.42578125" style="180" bestFit="1" customWidth="1"/>
    <col min="2315" max="2315" width="12" style="180" bestFit="1" customWidth="1"/>
    <col min="2316" max="2554" width="11.42578125" style="180"/>
    <col min="2555" max="2555" width="0.140625" style="180" customWidth="1"/>
    <col min="2556" max="2556" width="2.7109375" style="180" customWidth="1"/>
    <col min="2557" max="2557" width="18.5703125" style="180" customWidth="1"/>
    <col min="2558" max="2558" width="1.28515625" style="180" customWidth="1"/>
    <col min="2559" max="2559" width="22.85546875" style="180" customWidth="1"/>
    <col min="2560" max="2560" width="9.42578125" style="180" bestFit="1" customWidth="1"/>
    <col min="2561" max="2561" width="1.5703125" style="180" customWidth="1"/>
    <col min="2562" max="2562" width="10.5703125" style="180" customWidth="1"/>
    <col min="2563" max="2563" width="9.28515625" style="180" customWidth="1"/>
    <col min="2564" max="2564" width="1.5703125" style="180" customWidth="1"/>
    <col min="2565" max="2565" width="10.5703125" style="180" customWidth="1"/>
    <col min="2566" max="2566" width="9.5703125" style="180" customWidth="1"/>
    <col min="2567" max="2567" width="1.5703125" style="180" customWidth="1"/>
    <col min="2568" max="2568" width="9.5703125" style="180" customWidth="1"/>
    <col min="2569" max="2569" width="12" style="180" bestFit="1" customWidth="1"/>
    <col min="2570" max="2570" width="13.42578125" style="180" bestFit="1" customWidth="1"/>
    <col min="2571" max="2571" width="12" style="180" bestFit="1" customWidth="1"/>
    <col min="2572" max="2810" width="11.42578125" style="180"/>
    <col min="2811" max="2811" width="0.140625" style="180" customWidth="1"/>
    <col min="2812" max="2812" width="2.7109375" style="180" customWidth="1"/>
    <col min="2813" max="2813" width="18.5703125" style="180" customWidth="1"/>
    <col min="2814" max="2814" width="1.28515625" style="180" customWidth="1"/>
    <col min="2815" max="2815" width="22.85546875" style="180" customWidth="1"/>
    <col min="2816" max="2816" width="9.42578125" style="180" bestFit="1" customWidth="1"/>
    <col min="2817" max="2817" width="1.5703125" style="180" customWidth="1"/>
    <col min="2818" max="2818" width="10.5703125" style="180" customWidth="1"/>
    <col min="2819" max="2819" width="9.28515625" style="180" customWidth="1"/>
    <col min="2820" max="2820" width="1.5703125" style="180" customWidth="1"/>
    <col min="2821" max="2821" width="10.5703125" style="180" customWidth="1"/>
    <col min="2822" max="2822" width="9.5703125" style="180" customWidth="1"/>
    <col min="2823" max="2823" width="1.5703125" style="180" customWidth="1"/>
    <col min="2824" max="2824" width="9.5703125" style="180" customWidth="1"/>
    <col min="2825" max="2825" width="12" style="180" bestFit="1" customWidth="1"/>
    <col min="2826" max="2826" width="13.42578125" style="180" bestFit="1" customWidth="1"/>
    <col min="2827" max="2827" width="12" style="180" bestFit="1" customWidth="1"/>
    <col min="2828" max="3066" width="11.42578125" style="180"/>
    <col min="3067" max="3067" width="0.140625" style="180" customWidth="1"/>
    <col min="3068" max="3068" width="2.7109375" style="180" customWidth="1"/>
    <col min="3069" max="3069" width="18.5703125" style="180" customWidth="1"/>
    <col min="3070" max="3070" width="1.28515625" style="180" customWidth="1"/>
    <col min="3071" max="3071" width="22.85546875" style="180" customWidth="1"/>
    <col min="3072" max="3072" width="9.42578125" style="180" bestFit="1" customWidth="1"/>
    <col min="3073" max="3073" width="1.5703125" style="180" customWidth="1"/>
    <col min="3074" max="3074" width="10.5703125" style="180" customWidth="1"/>
    <col min="3075" max="3075" width="9.28515625" style="180" customWidth="1"/>
    <col min="3076" max="3076" width="1.5703125" style="180" customWidth="1"/>
    <col min="3077" max="3077" width="10.5703125" style="180" customWidth="1"/>
    <col min="3078" max="3078" width="9.5703125" style="180" customWidth="1"/>
    <col min="3079" max="3079" width="1.5703125" style="180" customWidth="1"/>
    <col min="3080" max="3080" width="9.5703125" style="180" customWidth="1"/>
    <col min="3081" max="3081" width="12" style="180" bestFit="1" customWidth="1"/>
    <col min="3082" max="3082" width="13.42578125" style="180" bestFit="1" customWidth="1"/>
    <col min="3083" max="3083" width="12" style="180" bestFit="1" customWidth="1"/>
    <col min="3084" max="3322" width="11.42578125" style="180"/>
    <col min="3323" max="3323" width="0.140625" style="180" customWidth="1"/>
    <col min="3324" max="3324" width="2.7109375" style="180" customWidth="1"/>
    <col min="3325" max="3325" width="18.5703125" style="180" customWidth="1"/>
    <col min="3326" max="3326" width="1.28515625" style="180" customWidth="1"/>
    <col min="3327" max="3327" width="22.85546875" style="180" customWidth="1"/>
    <col min="3328" max="3328" width="9.42578125" style="180" bestFit="1" customWidth="1"/>
    <col min="3329" max="3329" width="1.5703125" style="180" customWidth="1"/>
    <col min="3330" max="3330" width="10.5703125" style="180" customWidth="1"/>
    <col min="3331" max="3331" width="9.28515625" style="180" customWidth="1"/>
    <col min="3332" max="3332" width="1.5703125" style="180" customWidth="1"/>
    <col min="3333" max="3333" width="10.5703125" style="180" customWidth="1"/>
    <col min="3334" max="3334" width="9.5703125" style="180" customWidth="1"/>
    <col min="3335" max="3335" width="1.5703125" style="180" customWidth="1"/>
    <col min="3336" max="3336" width="9.5703125" style="180" customWidth="1"/>
    <col min="3337" max="3337" width="12" style="180" bestFit="1" customWidth="1"/>
    <col min="3338" max="3338" width="13.42578125" style="180" bestFit="1" customWidth="1"/>
    <col min="3339" max="3339" width="12" style="180" bestFit="1" customWidth="1"/>
    <col min="3340" max="3578" width="11.42578125" style="180"/>
    <col min="3579" max="3579" width="0.140625" style="180" customWidth="1"/>
    <col min="3580" max="3580" width="2.7109375" style="180" customWidth="1"/>
    <col min="3581" max="3581" width="18.5703125" style="180" customWidth="1"/>
    <col min="3582" max="3582" width="1.28515625" style="180" customWidth="1"/>
    <col min="3583" max="3583" width="22.85546875" style="180" customWidth="1"/>
    <col min="3584" max="3584" width="9.42578125" style="180" bestFit="1" customWidth="1"/>
    <col min="3585" max="3585" width="1.5703125" style="180" customWidth="1"/>
    <col min="3586" max="3586" width="10.5703125" style="180" customWidth="1"/>
    <col min="3587" max="3587" width="9.28515625" style="180" customWidth="1"/>
    <col min="3588" max="3588" width="1.5703125" style="180" customWidth="1"/>
    <col min="3589" max="3589" width="10.5703125" style="180" customWidth="1"/>
    <col min="3590" max="3590" width="9.5703125" style="180" customWidth="1"/>
    <col min="3591" max="3591" width="1.5703125" style="180" customWidth="1"/>
    <col min="3592" max="3592" width="9.5703125" style="180" customWidth="1"/>
    <col min="3593" max="3593" width="12" style="180" bestFit="1" customWidth="1"/>
    <col min="3594" max="3594" width="13.42578125" style="180" bestFit="1" customWidth="1"/>
    <col min="3595" max="3595" width="12" style="180" bestFit="1" customWidth="1"/>
    <col min="3596" max="3834" width="11.42578125" style="180"/>
    <col min="3835" max="3835" width="0.140625" style="180" customWidth="1"/>
    <col min="3836" max="3836" width="2.7109375" style="180" customWidth="1"/>
    <col min="3837" max="3837" width="18.5703125" style="180" customWidth="1"/>
    <col min="3838" max="3838" width="1.28515625" style="180" customWidth="1"/>
    <col min="3839" max="3839" width="22.85546875" style="180" customWidth="1"/>
    <col min="3840" max="3840" width="9.42578125" style="180" bestFit="1" customWidth="1"/>
    <col min="3841" max="3841" width="1.5703125" style="180" customWidth="1"/>
    <col min="3842" max="3842" width="10.5703125" style="180" customWidth="1"/>
    <col min="3843" max="3843" width="9.28515625" style="180" customWidth="1"/>
    <col min="3844" max="3844" width="1.5703125" style="180" customWidth="1"/>
    <col min="3845" max="3845" width="10.5703125" style="180" customWidth="1"/>
    <col min="3846" max="3846" width="9.5703125" style="180" customWidth="1"/>
    <col min="3847" max="3847" width="1.5703125" style="180" customWidth="1"/>
    <col min="3848" max="3848" width="9.5703125" style="180" customWidth="1"/>
    <col min="3849" max="3849" width="12" style="180" bestFit="1" customWidth="1"/>
    <col min="3850" max="3850" width="13.42578125" style="180" bestFit="1" customWidth="1"/>
    <col min="3851" max="3851" width="12" style="180" bestFit="1" customWidth="1"/>
    <col min="3852" max="4090" width="11.42578125" style="180"/>
    <col min="4091" max="4091" width="0.140625" style="180" customWidth="1"/>
    <col min="4092" max="4092" width="2.7109375" style="180" customWidth="1"/>
    <col min="4093" max="4093" width="18.5703125" style="180" customWidth="1"/>
    <col min="4094" max="4094" width="1.28515625" style="180" customWidth="1"/>
    <col min="4095" max="4095" width="22.85546875" style="180" customWidth="1"/>
    <col min="4096" max="4096" width="9.42578125" style="180" bestFit="1" customWidth="1"/>
    <col min="4097" max="4097" width="1.5703125" style="180" customWidth="1"/>
    <col min="4098" max="4098" width="10.5703125" style="180" customWidth="1"/>
    <col min="4099" max="4099" width="9.28515625" style="180" customWidth="1"/>
    <col min="4100" max="4100" width="1.5703125" style="180" customWidth="1"/>
    <col min="4101" max="4101" width="10.5703125" style="180" customWidth="1"/>
    <col min="4102" max="4102" width="9.5703125" style="180" customWidth="1"/>
    <col min="4103" max="4103" width="1.5703125" style="180" customWidth="1"/>
    <col min="4104" max="4104" width="9.5703125" style="180" customWidth="1"/>
    <col min="4105" max="4105" width="12" style="180" bestFit="1" customWidth="1"/>
    <col min="4106" max="4106" width="13.42578125" style="180" bestFit="1" customWidth="1"/>
    <col min="4107" max="4107" width="12" style="180" bestFit="1" customWidth="1"/>
    <col min="4108" max="4346" width="11.42578125" style="180"/>
    <col min="4347" max="4347" width="0.140625" style="180" customWidth="1"/>
    <col min="4348" max="4348" width="2.7109375" style="180" customWidth="1"/>
    <col min="4349" max="4349" width="18.5703125" style="180" customWidth="1"/>
    <col min="4350" max="4350" width="1.28515625" style="180" customWidth="1"/>
    <col min="4351" max="4351" width="22.85546875" style="180" customWidth="1"/>
    <col min="4352" max="4352" width="9.42578125" style="180" bestFit="1" customWidth="1"/>
    <col min="4353" max="4353" width="1.5703125" style="180" customWidth="1"/>
    <col min="4354" max="4354" width="10.5703125" style="180" customWidth="1"/>
    <col min="4355" max="4355" width="9.28515625" style="180" customWidth="1"/>
    <col min="4356" max="4356" width="1.5703125" style="180" customWidth="1"/>
    <col min="4357" max="4357" width="10.5703125" style="180" customWidth="1"/>
    <col min="4358" max="4358" width="9.5703125" style="180" customWidth="1"/>
    <col min="4359" max="4359" width="1.5703125" style="180" customWidth="1"/>
    <col min="4360" max="4360" width="9.5703125" style="180" customWidth="1"/>
    <col min="4361" max="4361" width="12" style="180" bestFit="1" customWidth="1"/>
    <col min="4362" max="4362" width="13.42578125" style="180" bestFit="1" customWidth="1"/>
    <col min="4363" max="4363" width="12" style="180" bestFit="1" customWidth="1"/>
    <col min="4364" max="4602" width="11.42578125" style="180"/>
    <col min="4603" max="4603" width="0.140625" style="180" customWidth="1"/>
    <col min="4604" max="4604" width="2.7109375" style="180" customWidth="1"/>
    <col min="4605" max="4605" width="18.5703125" style="180" customWidth="1"/>
    <col min="4606" max="4606" width="1.28515625" style="180" customWidth="1"/>
    <col min="4607" max="4607" width="22.85546875" style="180" customWidth="1"/>
    <col min="4608" max="4608" width="9.42578125" style="180" bestFit="1" customWidth="1"/>
    <col min="4609" max="4609" width="1.5703125" style="180" customWidth="1"/>
    <col min="4610" max="4610" width="10.5703125" style="180" customWidth="1"/>
    <col min="4611" max="4611" width="9.28515625" style="180" customWidth="1"/>
    <col min="4612" max="4612" width="1.5703125" style="180" customWidth="1"/>
    <col min="4613" max="4613" width="10.5703125" style="180" customWidth="1"/>
    <col min="4614" max="4614" width="9.5703125" style="180" customWidth="1"/>
    <col min="4615" max="4615" width="1.5703125" style="180" customWidth="1"/>
    <col min="4616" max="4616" width="9.5703125" style="180" customWidth="1"/>
    <col min="4617" max="4617" width="12" style="180" bestFit="1" customWidth="1"/>
    <col min="4618" max="4618" width="13.42578125" style="180" bestFit="1" customWidth="1"/>
    <col min="4619" max="4619" width="12" style="180" bestFit="1" customWidth="1"/>
    <col min="4620" max="4858" width="11.42578125" style="180"/>
    <col min="4859" max="4859" width="0.140625" style="180" customWidth="1"/>
    <col min="4860" max="4860" width="2.7109375" style="180" customWidth="1"/>
    <col min="4861" max="4861" width="18.5703125" style="180" customWidth="1"/>
    <col min="4862" max="4862" width="1.28515625" style="180" customWidth="1"/>
    <col min="4863" max="4863" width="22.85546875" style="180" customWidth="1"/>
    <col min="4864" max="4864" width="9.42578125" style="180" bestFit="1" customWidth="1"/>
    <col min="4865" max="4865" width="1.5703125" style="180" customWidth="1"/>
    <col min="4866" max="4866" width="10.5703125" style="180" customWidth="1"/>
    <col min="4867" max="4867" width="9.28515625" style="180" customWidth="1"/>
    <col min="4868" max="4868" width="1.5703125" style="180" customWidth="1"/>
    <col min="4869" max="4869" width="10.5703125" style="180" customWidth="1"/>
    <col min="4870" max="4870" width="9.5703125" style="180" customWidth="1"/>
    <col min="4871" max="4871" width="1.5703125" style="180" customWidth="1"/>
    <col min="4872" max="4872" width="9.5703125" style="180" customWidth="1"/>
    <col min="4873" max="4873" width="12" style="180" bestFit="1" customWidth="1"/>
    <col min="4874" max="4874" width="13.42578125" style="180" bestFit="1" customWidth="1"/>
    <col min="4875" max="4875" width="12" style="180" bestFit="1" customWidth="1"/>
    <col min="4876" max="5114" width="11.42578125" style="180"/>
    <col min="5115" max="5115" width="0.140625" style="180" customWidth="1"/>
    <col min="5116" max="5116" width="2.7109375" style="180" customWidth="1"/>
    <col min="5117" max="5117" width="18.5703125" style="180" customWidth="1"/>
    <col min="5118" max="5118" width="1.28515625" style="180" customWidth="1"/>
    <col min="5119" max="5119" width="22.85546875" style="180" customWidth="1"/>
    <col min="5120" max="5120" width="9.42578125" style="180" bestFit="1" customWidth="1"/>
    <col min="5121" max="5121" width="1.5703125" style="180" customWidth="1"/>
    <col min="5122" max="5122" width="10.5703125" style="180" customWidth="1"/>
    <col min="5123" max="5123" width="9.28515625" style="180" customWidth="1"/>
    <col min="5124" max="5124" width="1.5703125" style="180" customWidth="1"/>
    <col min="5125" max="5125" width="10.5703125" style="180" customWidth="1"/>
    <col min="5126" max="5126" width="9.5703125" style="180" customWidth="1"/>
    <col min="5127" max="5127" width="1.5703125" style="180" customWidth="1"/>
    <col min="5128" max="5128" width="9.5703125" style="180" customWidth="1"/>
    <col min="5129" max="5129" width="12" style="180" bestFit="1" customWidth="1"/>
    <col min="5130" max="5130" width="13.42578125" style="180" bestFit="1" customWidth="1"/>
    <col min="5131" max="5131" width="12" style="180" bestFit="1" customWidth="1"/>
    <col min="5132" max="5370" width="11.42578125" style="180"/>
    <col min="5371" max="5371" width="0.140625" style="180" customWidth="1"/>
    <col min="5372" max="5372" width="2.7109375" style="180" customWidth="1"/>
    <col min="5373" max="5373" width="18.5703125" style="180" customWidth="1"/>
    <col min="5374" max="5374" width="1.28515625" style="180" customWidth="1"/>
    <col min="5375" max="5375" width="22.85546875" style="180" customWidth="1"/>
    <col min="5376" max="5376" width="9.42578125" style="180" bestFit="1" customWidth="1"/>
    <col min="5377" max="5377" width="1.5703125" style="180" customWidth="1"/>
    <col min="5378" max="5378" width="10.5703125" style="180" customWidth="1"/>
    <col min="5379" max="5379" width="9.28515625" style="180" customWidth="1"/>
    <col min="5380" max="5380" width="1.5703125" style="180" customWidth="1"/>
    <col min="5381" max="5381" width="10.5703125" style="180" customWidth="1"/>
    <col min="5382" max="5382" width="9.5703125" style="180" customWidth="1"/>
    <col min="5383" max="5383" width="1.5703125" style="180" customWidth="1"/>
    <col min="5384" max="5384" width="9.5703125" style="180" customWidth="1"/>
    <col min="5385" max="5385" width="12" style="180" bestFit="1" customWidth="1"/>
    <col min="5386" max="5386" width="13.42578125" style="180" bestFit="1" customWidth="1"/>
    <col min="5387" max="5387" width="12" style="180" bestFit="1" customWidth="1"/>
    <col min="5388" max="5626" width="11.42578125" style="180"/>
    <col min="5627" max="5627" width="0.140625" style="180" customWidth="1"/>
    <col min="5628" max="5628" width="2.7109375" style="180" customWidth="1"/>
    <col min="5629" max="5629" width="18.5703125" style="180" customWidth="1"/>
    <col min="5630" max="5630" width="1.28515625" style="180" customWidth="1"/>
    <col min="5631" max="5631" width="22.85546875" style="180" customWidth="1"/>
    <col min="5632" max="5632" width="9.42578125" style="180" bestFit="1" customWidth="1"/>
    <col min="5633" max="5633" width="1.5703125" style="180" customWidth="1"/>
    <col min="5634" max="5634" width="10.5703125" style="180" customWidth="1"/>
    <col min="5635" max="5635" width="9.28515625" style="180" customWidth="1"/>
    <col min="5636" max="5636" width="1.5703125" style="180" customWidth="1"/>
    <col min="5637" max="5637" width="10.5703125" style="180" customWidth="1"/>
    <col min="5638" max="5638" width="9.5703125" style="180" customWidth="1"/>
    <col min="5639" max="5639" width="1.5703125" style="180" customWidth="1"/>
    <col min="5640" max="5640" width="9.5703125" style="180" customWidth="1"/>
    <col min="5641" max="5641" width="12" style="180" bestFit="1" customWidth="1"/>
    <col min="5642" max="5642" width="13.42578125" style="180" bestFit="1" customWidth="1"/>
    <col min="5643" max="5643" width="12" style="180" bestFit="1" customWidth="1"/>
    <col min="5644" max="5882" width="11.42578125" style="180"/>
    <col min="5883" max="5883" width="0.140625" style="180" customWidth="1"/>
    <col min="5884" max="5884" width="2.7109375" style="180" customWidth="1"/>
    <col min="5885" max="5885" width="18.5703125" style="180" customWidth="1"/>
    <col min="5886" max="5886" width="1.28515625" style="180" customWidth="1"/>
    <col min="5887" max="5887" width="22.85546875" style="180" customWidth="1"/>
    <col min="5888" max="5888" width="9.42578125" style="180" bestFit="1" customWidth="1"/>
    <col min="5889" max="5889" width="1.5703125" style="180" customWidth="1"/>
    <col min="5890" max="5890" width="10.5703125" style="180" customWidth="1"/>
    <col min="5891" max="5891" width="9.28515625" style="180" customWidth="1"/>
    <col min="5892" max="5892" width="1.5703125" style="180" customWidth="1"/>
    <col min="5893" max="5893" width="10.5703125" style="180" customWidth="1"/>
    <col min="5894" max="5894" width="9.5703125" style="180" customWidth="1"/>
    <col min="5895" max="5895" width="1.5703125" style="180" customWidth="1"/>
    <col min="5896" max="5896" width="9.5703125" style="180" customWidth="1"/>
    <col min="5897" max="5897" width="12" style="180" bestFit="1" customWidth="1"/>
    <col min="5898" max="5898" width="13.42578125" style="180" bestFit="1" customWidth="1"/>
    <col min="5899" max="5899" width="12" style="180" bestFit="1" customWidth="1"/>
    <col min="5900" max="6138" width="11.42578125" style="180"/>
    <col min="6139" max="6139" width="0.140625" style="180" customWidth="1"/>
    <col min="6140" max="6140" width="2.7109375" style="180" customWidth="1"/>
    <col min="6141" max="6141" width="18.5703125" style="180" customWidth="1"/>
    <col min="6142" max="6142" width="1.28515625" style="180" customWidth="1"/>
    <col min="6143" max="6143" width="22.85546875" style="180" customWidth="1"/>
    <col min="6144" max="6144" width="9.42578125" style="180" bestFit="1" customWidth="1"/>
    <col min="6145" max="6145" width="1.5703125" style="180" customWidth="1"/>
    <col min="6146" max="6146" width="10.5703125" style="180" customWidth="1"/>
    <col min="6147" max="6147" width="9.28515625" style="180" customWidth="1"/>
    <col min="6148" max="6148" width="1.5703125" style="180" customWidth="1"/>
    <col min="6149" max="6149" width="10.5703125" style="180" customWidth="1"/>
    <col min="6150" max="6150" width="9.5703125" style="180" customWidth="1"/>
    <col min="6151" max="6151" width="1.5703125" style="180" customWidth="1"/>
    <col min="6152" max="6152" width="9.5703125" style="180" customWidth="1"/>
    <col min="6153" max="6153" width="12" style="180" bestFit="1" customWidth="1"/>
    <col min="6154" max="6154" width="13.42578125" style="180" bestFit="1" customWidth="1"/>
    <col min="6155" max="6155" width="12" style="180" bestFit="1" customWidth="1"/>
    <col min="6156" max="6394" width="11.42578125" style="180"/>
    <col min="6395" max="6395" width="0.140625" style="180" customWidth="1"/>
    <col min="6396" max="6396" width="2.7109375" style="180" customWidth="1"/>
    <col min="6397" max="6397" width="18.5703125" style="180" customWidth="1"/>
    <col min="6398" max="6398" width="1.28515625" style="180" customWidth="1"/>
    <col min="6399" max="6399" width="22.85546875" style="180" customWidth="1"/>
    <col min="6400" max="6400" width="9.42578125" style="180" bestFit="1" customWidth="1"/>
    <col min="6401" max="6401" width="1.5703125" style="180" customWidth="1"/>
    <col min="6402" max="6402" width="10.5703125" style="180" customWidth="1"/>
    <col min="6403" max="6403" width="9.28515625" style="180" customWidth="1"/>
    <col min="6404" max="6404" width="1.5703125" style="180" customWidth="1"/>
    <col min="6405" max="6405" width="10.5703125" style="180" customWidth="1"/>
    <col min="6406" max="6406" width="9.5703125" style="180" customWidth="1"/>
    <col min="6407" max="6407" width="1.5703125" style="180" customWidth="1"/>
    <col min="6408" max="6408" width="9.5703125" style="180" customWidth="1"/>
    <col min="6409" max="6409" width="12" style="180" bestFit="1" customWidth="1"/>
    <col min="6410" max="6410" width="13.42578125" style="180" bestFit="1" customWidth="1"/>
    <col min="6411" max="6411" width="12" style="180" bestFit="1" customWidth="1"/>
    <col min="6412" max="6650" width="11.42578125" style="180"/>
    <col min="6651" max="6651" width="0.140625" style="180" customWidth="1"/>
    <col min="6652" max="6652" width="2.7109375" style="180" customWidth="1"/>
    <col min="6653" max="6653" width="18.5703125" style="180" customWidth="1"/>
    <col min="6654" max="6654" width="1.28515625" style="180" customWidth="1"/>
    <col min="6655" max="6655" width="22.85546875" style="180" customWidth="1"/>
    <col min="6656" max="6656" width="9.42578125" style="180" bestFit="1" customWidth="1"/>
    <col min="6657" max="6657" width="1.5703125" style="180" customWidth="1"/>
    <col min="6658" max="6658" width="10.5703125" style="180" customWidth="1"/>
    <col min="6659" max="6659" width="9.28515625" style="180" customWidth="1"/>
    <col min="6660" max="6660" width="1.5703125" style="180" customWidth="1"/>
    <col min="6661" max="6661" width="10.5703125" style="180" customWidth="1"/>
    <col min="6662" max="6662" width="9.5703125" style="180" customWidth="1"/>
    <col min="6663" max="6663" width="1.5703125" style="180" customWidth="1"/>
    <col min="6664" max="6664" width="9.5703125" style="180" customWidth="1"/>
    <col min="6665" max="6665" width="12" style="180" bestFit="1" customWidth="1"/>
    <col min="6666" max="6666" width="13.42578125" style="180" bestFit="1" customWidth="1"/>
    <col min="6667" max="6667" width="12" style="180" bestFit="1" customWidth="1"/>
    <col min="6668" max="6906" width="11.42578125" style="180"/>
    <col min="6907" max="6907" width="0.140625" style="180" customWidth="1"/>
    <col min="6908" max="6908" width="2.7109375" style="180" customWidth="1"/>
    <col min="6909" max="6909" width="18.5703125" style="180" customWidth="1"/>
    <col min="6910" max="6910" width="1.28515625" style="180" customWidth="1"/>
    <col min="6911" max="6911" width="22.85546875" style="180" customWidth="1"/>
    <col min="6912" max="6912" width="9.42578125" style="180" bestFit="1" customWidth="1"/>
    <col min="6913" max="6913" width="1.5703125" style="180" customWidth="1"/>
    <col min="6914" max="6914" width="10.5703125" style="180" customWidth="1"/>
    <col min="6915" max="6915" width="9.28515625" style="180" customWidth="1"/>
    <col min="6916" max="6916" width="1.5703125" style="180" customWidth="1"/>
    <col min="6917" max="6917" width="10.5703125" style="180" customWidth="1"/>
    <col min="6918" max="6918" width="9.5703125" style="180" customWidth="1"/>
    <col min="6919" max="6919" width="1.5703125" style="180" customWidth="1"/>
    <col min="6920" max="6920" width="9.5703125" style="180" customWidth="1"/>
    <col min="6921" max="6921" width="12" style="180" bestFit="1" customWidth="1"/>
    <col min="6922" max="6922" width="13.42578125" style="180" bestFit="1" customWidth="1"/>
    <col min="6923" max="6923" width="12" style="180" bestFit="1" customWidth="1"/>
    <col min="6924" max="7162" width="11.42578125" style="180"/>
    <col min="7163" max="7163" width="0.140625" style="180" customWidth="1"/>
    <col min="7164" max="7164" width="2.7109375" style="180" customWidth="1"/>
    <col min="7165" max="7165" width="18.5703125" style="180" customWidth="1"/>
    <col min="7166" max="7166" width="1.28515625" style="180" customWidth="1"/>
    <col min="7167" max="7167" width="22.85546875" style="180" customWidth="1"/>
    <col min="7168" max="7168" width="9.42578125" style="180" bestFit="1" customWidth="1"/>
    <col min="7169" max="7169" width="1.5703125" style="180" customWidth="1"/>
    <col min="7170" max="7170" width="10.5703125" style="180" customWidth="1"/>
    <col min="7171" max="7171" width="9.28515625" style="180" customWidth="1"/>
    <col min="7172" max="7172" width="1.5703125" style="180" customWidth="1"/>
    <col min="7173" max="7173" width="10.5703125" style="180" customWidth="1"/>
    <col min="7174" max="7174" width="9.5703125" style="180" customWidth="1"/>
    <col min="7175" max="7175" width="1.5703125" style="180" customWidth="1"/>
    <col min="7176" max="7176" width="9.5703125" style="180" customWidth="1"/>
    <col min="7177" max="7177" width="12" style="180" bestFit="1" customWidth="1"/>
    <col min="7178" max="7178" width="13.42578125" style="180" bestFit="1" customWidth="1"/>
    <col min="7179" max="7179" width="12" style="180" bestFit="1" customWidth="1"/>
    <col min="7180" max="7418" width="11.42578125" style="180"/>
    <col min="7419" max="7419" width="0.140625" style="180" customWidth="1"/>
    <col min="7420" max="7420" width="2.7109375" style="180" customWidth="1"/>
    <col min="7421" max="7421" width="18.5703125" style="180" customWidth="1"/>
    <col min="7422" max="7422" width="1.28515625" style="180" customWidth="1"/>
    <col min="7423" max="7423" width="22.85546875" style="180" customWidth="1"/>
    <col min="7424" max="7424" width="9.42578125" style="180" bestFit="1" customWidth="1"/>
    <col min="7425" max="7425" width="1.5703125" style="180" customWidth="1"/>
    <col min="7426" max="7426" width="10.5703125" style="180" customWidth="1"/>
    <col min="7427" max="7427" width="9.28515625" style="180" customWidth="1"/>
    <col min="7428" max="7428" width="1.5703125" style="180" customWidth="1"/>
    <col min="7429" max="7429" width="10.5703125" style="180" customWidth="1"/>
    <col min="7430" max="7430" width="9.5703125" style="180" customWidth="1"/>
    <col min="7431" max="7431" width="1.5703125" style="180" customWidth="1"/>
    <col min="7432" max="7432" width="9.5703125" style="180" customWidth="1"/>
    <col min="7433" max="7433" width="12" style="180" bestFit="1" customWidth="1"/>
    <col min="7434" max="7434" width="13.42578125" style="180" bestFit="1" customWidth="1"/>
    <col min="7435" max="7435" width="12" style="180" bestFit="1" customWidth="1"/>
    <col min="7436" max="7674" width="11.42578125" style="180"/>
    <col min="7675" max="7675" width="0.140625" style="180" customWidth="1"/>
    <col min="7676" max="7676" width="2.7109375" style="180" customWidth="1"/>
    <col min="7677" max="7677" width="18.5703125" style="180" customWidth="1"/>
    <col min="7678" max="7678" width="1.28515625" style="180" customWidth="1"/>
    <col min="7679" max="7679" width="22.85546875" style="180" customWidth="1"/>
    <col min="7680" max="7680" width="9.42578125" style="180" bestFit="1" customWidth="1"/>
    <col min="7681" max="7681" width="1.5703125" style="180" customWidth="1"/>
    <col min="7682" max="7682" width="10.5703125" style="180" customWidth="1"/>
    <col min="7683" max="7683" width="9.28515625" style="180" customWidth="1"/>
    <col min="7684" max="7684" width="1.5703125" style="180" customWidth="1"/>
    <col min="7685" max="7685" width="10.5703125" style="180" customWidth="1"/>
    <col min="7686" max="7686" width="9.5703125" style="180" customWidth="1"/>
    <col min="7687" max="7687" width="1.5703125" style="180" customWidth="1"/>
    <col min="7688" max="7688" width="9.5703125" style="180" customWidth="1"/>
    <col min="7689" max="7689" width="12" style="180" bestFit="1" customWidth="1"/>
    <col min="7690" max="7690" width="13.42578125" style="180" bestFit="1" customWidth="1"/>
    <col min="7691" max="7691" width="12" style="180" bestFit="1" customWidth="1"/>
    <col min="7692" max="7930" width="11.42578125" style="180"/>
    <col min="7931" max="7931" width="0.140625" style="180" customWidth="1"/>
    <col min="7932" max="7932" width="2.7109375" style="180" customWidth="1"/>
    <col min="7933" max="7933" width="18.5703125" style="180" customWidth="1"/>
    <col min="7934" max="7934" width="1.28515625" style="180" customWidth="1"/>
    <col min="7935" max="7935" width="22.85546875" style="180" customWidth="1"/>
    <col min="7936" max="7936" width="9.42578125" style="180" bestFit="1" customWidth="1"/>
    <col min="7937" max="7937" width="1.5703125" style="180" customWidth="1"/>
    <col min="7938" max="7938" width="10.5703125" style="180" customWidth="1"/>
    <col min="7939" max="7939" width="9.28515625" style="180" customWidth="1"/>
    <col min="7940" max="7940" width="1.5703125" style="180" customWidth="1"/>
    <col min="7941" max="7941" width="10.5703125" style="180" customWidth="1"/>
    <col min="7942" max="7942" width="9.5703125" style="180" customWidth="1"/>
    <col min="7943" max="7943" width="1.5703125" style="180" customWidth="1"/>
    <col min="7944" max="7944" width="9.5703125" style="180" customWidth="1"/>
    <col min="7945" max="7945" width="12" style="180" bestFit="1" customWidth="1"/>
    <col min="7946" max="7946" width="13.42578125" style="180" bestFit="1" customWidth="1"/>
    <col min="7947" max="7947" width="12" style="180" bestFit="1" customWidth="1"/>
    <col min="7948" max="8186" width="11.42578125" style="180"/>
    <col min="8187" max="8187" width="0.140625" style="180" customWidth="1"/>
    <col min="8188" max="8188" width="2.7109375" style="180" customWidth="1"/>
    <col min="8189" max="8189" width="18.5703125" style="180" customWidth="1"/>
    <col min="8190" max="8190" width="1.28515625" style="180" customWidth="1"/>
    <col min="8191" max="8191" width="22.85546875" style="180" customWidth="1"/>
    <col min="8192" max="8192" width="9.42578125" style="180" bestFit="1" customWidth="1"/>
    <col min="8193" max="8193" width="1.5703125" style="180" customWidth="1"/>
    <col min="8194" max="8194" width="10.5703125" style="180" customWidth="1"/>
    <col min="8195" max="8195" width="9.28515625" style="180" customWidth="1"/>
    <col min="8196" max="8196" width="1.5703125" style="180" customWidth="1"/>
    <col min="8197" max="8197" width="10.5703125" style="180" customWidth="1"/>
    <col min="8198" max="8198" width="9.5703125" style="180" customWidth="1"/>
    <col min="8199" max="8199" width="1.5703125" style="180" customWidth="1"/>
    <col min="8200" max="8200" width="9.5703125" style="180" customWidth="1"/>
    <col min="8201" max="8201" width="12" style="180" bestFit="1" customWidth="1"/>
    <col min="8202" max="8202" width="13.42578125" style="180" bestFit="1" customWidth="1"/>
    <col min="8203" max="8203" width="12" style="180" bestFit="1" customWidth="1"/>
    <col min="8204" max="8442" width="11.42578125" style="180"/>
    <col min="8443" max="8443" width="0.140625" style="180" customWidth="1"/>
    <col min="8444" max="8444" width="2.7109375" style="180" customWidth="1"/>
    <col min="8445" max="8445" width="18.5703125" style="180" customWidth="1"/>
    <col min="8446" max="8446" width="1.28515625" style="180" customWidth="1"/>
    <col min="8447" max="8447" width="22.85546875" style="180" customWidth="1"/>
    <col min="8448" max="8448" width="9.42578125" style="180" bestFit="1" customWidth="1"/>
    <col min="8449" max="8449" width="1.5703125" style="180" customWidth="1"/>
    <col min="8450" max="8450" width="10.5703125" style="180" customWidth="1"/>
    <col min="8451" max="8451" width="9.28515625" style="180" customWidth="1"/>
    <col min="8452" max="8452" width="1.5703125" style="180" customWidth="1"/>
    <col min="8453" max="8453" width="10.5703125" style="180" customWidth="1"/>
    <col min="8454" max="8454" width="9.5703125" style="180" customWidth="1"/>
    <col min="8455" max="8455" width="1.5703125" style="180" customWidth="1"/>
    <col min="8456" max="8456" width="9.5703125" style="180" customWidth="1"/>
    <col min="8457" max="8457" width="12" style="180" bestFit="1" customWidth="1"/>
    <col min="8458" max="8458" width="13.42578125" style="180" bestFit="1" customWidth="1"/>
    <col min="8459" max="8459" width="12" style="180" bestFit="1" customWidth="1"/>
    <col min="8460" max="8698" width="11.42578125" style="180"/>
    <col min="8699" max="8699" width="0.140625" style="180" customWidth="1"/>
    <col min="8700" max="8700" width="2.7109375" style="180" customWidth="1"/>
    <col min="8701" max="8701" width="18.5703125" style="180" customWidth="1"/>
    <col min="8702" max="8702" width="1.28515625" style="180" customWidth="1"/>
    <col min="8703" max="8703" width="22.85546875" style="180" customWidth="1"/>
    <col min="8704" max="8704" width="9.42578125" style="180" bestFit="1" customWidth="1"/>
    <col min="8705" max="8705" width="1.5703125" style="180" customWidth="1"/>
    <col min="8706" max="8706" width="10.5703125" style="180" customWidth="1"/>
    <col min="8707" max="8707" width="9.28515625" style="180" customWidth="1"/>
    <col min="8708" max="8708" width="1.5703125" style="180" customWidth="1"/>
    <col min="8709" max="8709" width="10.5703125" style="180" customWidth="1"/>
    <col min="8710" max="8710" width="9.5703125" style="180" customWidth="1"/>
    <col min="8711" max="8711" width="1.5703125" style="180" customWidth="1"/>
    <col min="8712" max="8712" width="9.5703125" style="180" customWidth="1"/>
    <col min="8713" max="8713" width="12" style="180" bestFit="1" customWidth="1"/>
    <col min="8714" max="8714" width="13.42578125" style="180" bestFit="1" customWidth="1"/>
    <col min="8715" max="8715" width="12" style="180" bestFit="1" customWidth="1"/>
    <col min="8716" max="8954" width="11.42578125" style="180"/>
    <col min="8955" max="8955" width="0.140625" style="180" customWidth="1"/>
    <col min="8956" max="8956" width="2.7109375" style="180" customWidth="1"/>
    <col min="8957" max="8957" width="18.5703125" style="180" customWidth="1"/>
    <col min="8958" max="8958" width="1.28515625" style="180" customWidth="1"/>
    <col min="8959" max="8959" width="22.85546875" style="180" customWidth="1"/>
    <col min="8960" max="8960" width="9.42578125" style="180" bestFit="1" customWidth="1"/>
    <col min="8961" max="8961" width="1.5703125" style="180" customWidth="1"/>
    <col min="8962" max="8962" width="10.5703125" style="180" customWidth="1"/>
    <col min="8963" max="8963" width="9.28515625" style="180" customWidth="1"/>
    <col min="8964" max="8964" width="1.5703125" style="180" customWidth="1"/>
    <col min="8965" max="8965" width="10.5703125" style="180" customWidth="1"/>
    <col min="8966" max="8966" width="9.5703125" style="180" customWidth="1"/>
    <col min="8967" max="8967" width="1.5703125" style="180" customWidth="1"/>
    <col min="8968" max="8968" width="9.5703125" style="180" customWidth="1"/>
    <col min="8969" max="8969" width="12" style="180" bestFit="1" customWidth="1"/>
    <col min="8970" max="8970" width="13.42578125" style="180" bestFit="1" customWidth="1"/>
    <col min="8971" max="8971" width="12" style="180" bestFit="1" customWidth="1"/>
    <col min="8972" max="9210" width="11.42578125" style="180"/>
    <col min="9211" max="9211" width="0.140625" style="180" customWidth="1"/>
    <col min="9212" max="9212" width="2.7109375" style="180" customWidth="1"/>
    <col min="9213" max="9213" width="18.5703125" style="180" customWidth="1"/>
    <col min="9214" max="9214" width="1.28515625" style="180" customWidth="1"/>
    <col min="9215" max="9215" width="22.85546875" style="180" customWidth="1"/>
    <col min="9216" max="9216" width="9.42578125" style="180" bestFit="1" customWidth="1"/>
    <col min="9217" max="9217" width="1.5703125" style="180" customWidth="1"/>
    <col min="9218" max="9218" width="10.5703125" style="180" customWidth="1"/>
    <col min="9219" max="9219" width="9.28515625" style="180" customWidth="1"/>
    <col min="9220" max="9220" width="1.5703125" style="180" customWidth="1"/>
    <col min="9221" max="9221" width="10.5703125" style="180" customWidth="1"/>
    <col min="9222" max="9222" width="9.5703125" style="180" customWidth="1"/>
    <col min="9223" max="9223" width="1.5703125" style="180" customWidth="1"/>
    <col min="9224" max="9224" width="9.5703125" style="180" customWidth="1"/>
    <col min="9225" max="9225" width="12" style="180" bestFit="1" customWidth="1"/>
    <col min="9226" max="9226" width="13.42578125" style="180" bestFit="1" customWidth="1"/>
    <col min="9227" max="9227" width="12" style="180" bestFit="1" customWidth="1"/>
    <col min="9228" max="9466" width="11.42578125" style="180"/>
    <col min="9467" max="9467" width="0.140625" style="180" customWidth="1"/>
    <col min="9468" max="9468" width="2.7109375" style="180" customWidth="1"/>
    <col min="9469" max="9469" width="18.5703125" style="180" customWidth="1"/>
    <col min="9470" max="9470" width="1.28515625" style="180" customWidth="1"/>
    <col min="9471" max="9471" width="22.85546875" style="180" customWidth="1"/>
    <col min="9472" max="9472" width="9.42578125" style="180" bestFit="1" customWidth="1"/>
    <col min="9473" max="9473" width="1.5703125" style="180" customWidth="1"/>
    <col min="9474" max="9474" width="10.5703125" style="180" customWidth="1"/>
    <col min="9475" max="9475" width="9.28515625" style="180" customWidth="1"/>
    <col min="9476" max="9476" width="1.5703125" style="180" customWidth="1"/>
    <col min="9477" max="9477" width="10.5703125" style="180" customWidth="1"/>
    <col min="9478" max="9478" width="9.5703125" style="180" customWidth="1"/>
    <col min="9479" max="9479" width="1.5703125" style="180" customWidth="1"/>
    <col min="9480" max="9480" width="9.5703125" style="180" customWidth="1"/>
    <col min="9481" max="9481" width="12" style="180" bestFit="1" customWidth="1"/>
    <col min="9482" max="9482" width="13.42578125" style="180" bestFit="1" customWidth="1"/>
    <col min="9483" max="9483" width="12" style="180" bestFit="1" customWidth="1"/>
    <col min="9484" max="9722" width="11.42578125" style="180"/>
    <col min="9723" max="9723" width="0.140625" style="180" customWidth="1"/>
    <col min="9724" max="9724" width="2.7109375" style="180" customWidth="1"/>
    <col min="9725" max="9725" width="18.5703125" style="180" customWidth="1"/>
    <col min="9726" max="9726" width="1.28515625" style="180" customWidth="1"/>
    <col min="9727" max="9727" width="22.85546875" style="180" customWidth="1"/>
    <col min="9728" max="9728" width="9.42578125" style="180" bestFit="1" customWidth="1"/>
    <col min="9729" max="9729" width="1.5703125" style="180" customWidth="1"/>
    <col min="9730" max="9730" width="10.5703125" style="180" customWidth="1"/>
    <col min="9731" max="9731" width="9.28515625" style="180" customWidth="1"/>
    <col min="9732" max="9732" width="1.5703125" style="180" customWidth="1"/>
    <col min="9733" max="9733" width="10.5703125" style="180" customWidth="1"/>
    <col min="9734" max="9734" width="9.5703125" style="180" customWidth="1"/>
    <col min="9735" max="9735" width="1.5703125" style="180" customWidth="1"/>
    <col min="9736" max="9736" width="9.5703125" style="180" customWidth="1"/>
    <col min="9737" max="9737" width="12" style="180" bestFit="1" customWidth="1"/>
    <col min="9738" max="9738" width="13.42578125" style="180" bestFit="1" customWidth="1"/>
    <col min="9739" max="9739" width="12" style="180" bestFit="1" customWidth="1"/>
    <col min="9740" max="9978" width="11.42578125" style="180"/>
    <col min="9979" max="9979" width="0.140625" style="180" customWidth="1"/>
    <col min="9980" max="9980" width="2.7109375" style="180" customWidth="1"/>
    <col min="9981" max="9981" width="18.5703125" style="180" customWidth="1"/>
    <col min="9982" max="9982" width="1.28515625" style="180" customWidth="1"/>
    <col min="9983" max="9983" width="22.85546875" style="180" customWidth="1"/>
    <col min="9984" max="9984" width="9.42578125" style="180" bestFit="1" customWidth="1"/>
    <col min="9985" max="9985" width="1.5703125" style="180" customWidth="1"/>
    <col min="9986" max="9986" width="10.5703125" style="180" customWidth="1"/>
    <col min="9987" max="9987" width="9.28515625" style="180" customWidth="1"/>
    <col min="9988" max="9988" width="1.5703125" style="180" customWidth="1"/>
    <col min="9989" max="9989" width="10.5703125" style="180" customWidth="1"/>
    <col min="9990" max="9990" width="9.5703125" style="180" customWidth="1"/>
    <col min="9991" max="9991" width="1.5703125" style="180" customWidth="1"/>
    <col min="9992" max="9992" width="9.5703125" style="180" customWidth="1"/>
    <col min="9993" max="9993" width="12" style="180" bestFit="1" customWidth="1"/>
    <col min="9994" max="9994" width="13.42578125" style="180" bestFit="1" customWidth="1"/>
    <col min="9995" max="9995" width="12" style="180" bestFit="1" customWidth="1"/>
    <col min="9996" max="10234" width="11.42578125" style="180"/>
    <col min="10235" max="10235" width="0.140625" style="180" customWidth="1"/>
    <col min="10236" max="10236" width="2.7109375" style="180" customWidth="1"/>
    <col min="10237" max="10237" width="18.5703125" style="180" customWidth="1"/>
    <col min="10238" max="10238" width="1.28515625" style="180" customWidth="1"/>
    <col min="10239" max="10239" width="22.85546875" style="180" customWidth="1"/>
    <col min="10240" max="10240" width="9.42578125" style="180" bestFit="1" customWidth="1"/>
    <col min="10241" max="10241" width="1.5703125" style="180" customWidth="1"/>
    <col min="10242" max="10242" width="10.5703125" style="180" customWidth="1"/>
    <col min="10243" max="10243" width="9.28515625" style="180" customWidth="1"/>
    <col min="10244" max="10244" width="1.5703125" style="180" customWidth="1"/>
    <col min="10245" max="10245" width="10.5703125" style="180" customWidth="1"/>
    <col min="10246" max="10246" width="9.5703125" style="180" customWidth="1"/>
    <col min="10247" max="10247" width="1.5703125" style="180" customWidth="1"/>
    <col min="10248" max="10248" width="9.5703125" style="180" customWidth="1"/>
    <col min="10249" max="10249" width="12" style="180" bestFit="1" customWidth="1"/>
    <col min="10250" max="10250" width="13.42578125" style="180" bestFit="1" customWidth="1"/>
    <col min="10251" max="10251" width="12" style="180" bestFit="1" customWidth="1"/>
    <col min="10252" max="10490" width="11.42578125" style="180"/>
    <col min="10491" max="10491" width="0.140625" style="180" customWidth="1"/>
    <col min="10492" max="10492" width="2.7109375" style="180" customWidth="1"/>
    <col min="10493" max="10493" width="18.5703125" style="180" customWidth="1"/>
    <col min="10494" max="10494" width="1.28515625" style="180" customWidth="1"/>
    <col min="10495" max="10495" width="22.85546875" style="180" customWidth="1"/>
    <col min="10496" max="10496" width="9.42578125" style="180" bestFit="1" customWidth="1"/>
    <col min="10497" max="10497" width="1.5703125" style="180" customWidth="1"/>
    <col min="10498" max="10498" width="10.5703125" style="180" customWidth="1"/>
    <col min="10499" max="10499" width="9.28515625" style="180" customWidth="1"/>
    <col min="10500" max="10500" width="1.5703125" style="180" customWidth="1"/>
    <col min="10501" max="10501" width="10.5703125" style="180" customWidth="1"/>
    <col min="10502" max="10502" width="9.5703125" style="180" customWidth="1"/>
    <col min="10503" max="10503" width="1.5703125" style="180" customWidth="1"/>
    <col min="10504" max="10504" width="9.5703125" style="180" customWidth="1"/>
    <col min="10505" max="10505" width="12" style="180" bestFit="1" customWidth="1"/>
    <col min="10506" max="10506" width="13.42578125" style="180" bestFit="1" customWidth="1"/>
    <col min="10507" max="10507" width="12" style="180" bestFit="1" customWidth="1"/>
    <col min="10508" max="10746" width="11.42578125" style="180"/>
    <col min="10747" max="10747" width="0.140625" style="180" customWidth="1"/>
    <col min="10748" max="10748" width="2.7109375" style="180" customWidth="1"/>
    <col min="10749" max="10749" width="18.5703125" style="180" customWidth="1"/>
    <col min="10750" max="10750" width="1.28515625" style="180" customWidth="1"/>
    <col min="10751" max="10751" width="22.85546875" style="180" customWidth="1"/>
    <col min="10752" max="10752" width="9.42578125" style="180" bestFit="1" customWidth="1"/>
    <col min="10753" max="10753" width="1.5703125" style="180" customWidth="1"/>
    <col min="10754" max="10754" width="10.5703125" style="180" customWidth="1"/>
    <col min="10755" max="10755" width="9.28515625" style="180" customWidth="1"/>
    <col min="10756" max="10756" width="1.5703125" style="180" customWidth="1"/>
    <col min="10757" max="10757" width="10.5703125" style="180" customWidth="1"/>
    <col min="10758" max="10758" width="9.5703125" style="180" customWidth="1"/>
    <col min="10759" max="10759" width="1.5703125" style="180" customWidth="1"/>
    <col min="10760" max="10760" width="9.5703125" style="180" customWidth="1"/>
    <col min="10761" max="10761" width="12" style="180" bestFit="1" customWidth="1"/>
    <col min="10762" max="10762" width="13.42578125" style="180" bestFit="1" customWidth="1"/>
    <col min="10763" max="10763" width="12" style="180" bestFit="1" customWidth="1"/>
    <col min="10764" max="11002" width="11.42578125" style="180"/>
    <col min="11003" max="11003" width="0.140625" style="180" customWidth="1"/>
    <col min="11004" max="11004" width="2.7109375" style="180" customWidth="1"/>
    <col min="11005" max="11005" width="18.5703125" style="180" customWidth="1"/>
    <col min="11006" max="11006" width="1.28515625" style="180" customWidth="1"/>
    <col min="11007" max="11007" width="22.85546875" style="180" customWidth="1"/>
    <col min="11008" max="11008" width="9.42578125" style="180" bestFit="1" customWidth="1"/>
    <col min="11009" max="11009" width="1.5703125" style="180" customWidth="1"/>
    <col min="11010" max="11010" width="10.5703125" style="180" customWidth="1"/>
    <col min="11011" max="11011" width="9.28515625" style="180" customWidth="1"/>
    <col min="11012" max="11012" width="1.5703125" style="180" customWidth="1"/>
    <col min="11013" max="11013" width="10.5703125" style="180" customWidth="1"/>
    <col min="11014" max="11014" width="9.5703125" style="180" customWidth="1"/>
    <col min="11015" max="11015" width="1.5703125" style="180" customWidth="1"/>
    <col min="11016" max="11016" width="9.5703125" style="180" customWidth="1"/>
    <col min="11017" max="11017" width="12" style="180" bestFit="1" customWidth="1"/>
    <col min="11018" max="11018" width="13.42578125" style="180" bestFit="1" customWidth="1"/>
    <col min="11019" max="11019" width="12" style="180" bestFit="1" customWidth="1"/>
    <col min="11020" max="11258" width="11.42578125" style="180"/>
    <col min="11259" max="11259" width="0.140625" style="180" customWidth="1"/>
    <col min="11260" max="11260" width="2.7109375" style="180" customWidth="1"/>
    <col min="11261" max="11261" width="18.5703125" style="180" customWidth="1"/>
    <col min="11262" max="11262" width="1.28515625" style="180" customWidth="1"/>
    <col min="11263" max="11263" width="22.85546875" style="180" customWidth="1"/>
    <col min="11264" max="11264" width="9.42578125" style="180" bestFit="1" customWidth="1"/>
    <col min="11265" max="11265" width="1.5703125" style="180" customWidth="1"/>
    <col min="11266" max="11266" width="10.5703125" style="180" customWidth="1"/>
    <col min="11267" max="11267" width="9.28515625" style="180" customWidth="1"/>
    <col min="11268" max="11268" width="1.5703125" style="180" customWidth="1"/>
    <col min="11269" max="11269" width="10.5703125" style="180" customWidth="1"/>
    <col min="11270" max="11270" width="9.5703125" style="180" customWidth="1"/>
    <col min="11271" max="11271" width="1.5703125" style="180" customWidth="1"/>
    <col min="11272" max="11272" width="9.5703125" style="180" customWidth="1"/>
    <col min="11273" max="11273" width="12" style="180" bestFit="1" customWidth="1"/>
    <col min="11274" max="11274" width="13.42578125" style="180" bestFit="1" customWidth="1"/>
    <col min="11275" max="11275" width="12" style="180" bestFit="1" customWidth="1"/>
    <col min="11276" max="11514" width="11.42578125" style="180"/>
    <col min="11515" max="11515" width="0.140625" style="180" customWidth="1"/>
    <col min="11516" max="11516" width="2.7109375" style="180" customWidth="1"/>
    <col min="11517" max="11517" width="18.5703125" style="180" customWidth="1"/>
    <col min="11518" max="11518" width="1.28515625" style="180" customWidth="1"/>
    <col min="11519" max="11519" width="22.85546875" style="180" customWidth="1"/>
    <col min="11520" max="11520" width="9.42578125" style="180" bestFit="1" customWidth="1"/>
    <col min="11521" max="11521" width="1.5703125" style="180" customWidth="1"/>
    <col min="11522" max="11522" width="10.5703125" style="180" customWidth="1"/>
    <col min="11523" max="11523" width="9.28515625" style="180" customWidth="1"/>
    <col min="11524" max="11524" width="1.5703125" style="180" customWidth="1"/>
    <col min="11525" max="11525" width="10.5703125" style="180" customWidth="1"/>
    <col min="11526" max="11526" width="9.5703125" style="180" customWidth="1"/>
    <col min="11527" max="11527" width="1.5703125" style="180" customWidth="1"/>
    <col min="11528" max="11528" width="9.5703125" style="180" customWidth="1"/>
    <col min="11529" max="11529" width="12" style="180" bestFit="1" customWidth="1"/>
    <col min="11530" max="11530" width="13.42578125" style="180" bestFit="1" customWidth="1"/>
    <col min="11531" max="11531" width="12" style="180" bestFit="1" customWidth="1"/>
    <col min="11532" max="11770" width="11.42578125" style="180"/>
    <col min="11771" max="11771" width="0.140625" style="180" customWidth="1"/>
    <col min="11772" max="11772" width="2.7109375" style="180" customWidth="1"/>
    <col min="11773" max="11773" width="18.5703125" style="180" customWidth="1"/>
    <col min="11774" max="11774" width="1.28515625" style="180" customWidth="1"/>
    <col min="11775" max="11775" width="22.85546875" style="180" customWidth="1"/>
    <col min="11776" max="11776" width="9.42578125" style="180" bestFit="1" customWidth="1"/>
    <col min="11777" max="11777" width="1.5703125" style="180" customWidth="1"/>
    <col min="11778" max="11778" width="10.5703125" style="180" customWidth="1"/>
    <col min="11779" max="11779" width="9.28515625" style="180" customWidth="1"/>
    <col min="11780" max="11780" width="1.5703125" style="180" customWidth="1"/>
    <col min="11781" max="11781" width="10.5703125" style="180" customWidth="1"/>
    <col min="11782" max="11782" width="9.5703125" style="180" customWidth="1"/>
    <col min="11783" max="11783" width="1.5703125" style="180" customWidth="1"/>
    <col min="11784" max="11784" width="9.5703125" style="180" customWidth="1"/>
    <col min="11785" max="11785" width="12" style="180" bestFit="1" customWidth="1"/>
    <col min="11786" max="11786" width="13.42578125" style="180" bestFit="1" customWidth="1"/>
    <col min="11787" max="11787" width="12" style="180" bestFit="1" customWidth="1"/>
    <col min="11788" max="12026" width="11.42578125" style="180"/>
    <col min="12027" max="12027" width="0.140625" style="180" customWidth="1"/>
    <col min="12028" max="12028" width="2.7109375" style="180" customWidth="1"/>
    <col min="12029" max="12029" width="18.5703125" style="180" customWidth="1"/>
    <col min="12030" max="12030" width="1.28515625" style="180" customWidth="1"/>
    <col min="12031" max="12031" width="22.85546875" style="180" customWidth="1"/>
    <col min="12032" max="12032" width="9.42578125" style="180" bestFit="1" customWidth="1"/>
    <col min="12033" max="12033" width="1.5703125" style="180" customWidth="1"/>
    <col min="12034" max="12034" width="10.5703125" style="180" customWidth="1"/>
    <col min="12035" max="12035" width="9.28515625" style="180" customWidth="1"/>
    <col min="12036" max="12036" width="1.5703125" style="180" customWidth="1"/>
    <col min="12037" max="12037" width="10.5703125" style="180" customWidth="1"/>
    <col min="12038" max="12038" width="9.5703125" style="180" customWidth="1"/>
    <col min="12039" max="12039" width="1.5703125" style="180" customWidth="1"/>
    <col min="12040" max="12040" width="9.5703125" style="180" customWidth="1"/>
    <col min="12041" max="12041" width="12" style="180" bestFit="1" customWidth="1"/>
    <col min="12042" max="12042" width="13.42578125" style="180" bestFit="1" customWidth="1"/>
    <col min="12043" max="12043" width="12" style="180" bestFit="1" customWidth="1"/>
    <col min="12044" max="12282" width="11.42578125" style="180"/>
    <col min="12283" max="12283" width="0.140625" style="180" customWidth="1"/>
    <col min="12284" max="12284" width="2.7109375" style="180" customWidth="1"/>
    <col min="12285" max="12285" width="18.5703125" style="180" customWidth="1"/>
    <col min="12286" max="12286" width="1.28515625" style="180" customWidth="1"/>
    <col min="12287" max="12287" width="22.85546875" style="180" customWidth="1"/>
    <col min="12288" max="12288" width="9.42578125" style="180" bestFit="1" customWidth="1"/>
    <col min="12289" max="12289" width="1.5703125" style="180" customWidth="1"/>
    <col min="12290" max="12290" width="10.5703125" style="180" customWidth="1"/>
    <col min="12291" max="12291" width="9.28515625" style="180" customWidth="1"/>
    <col min="12292" max="12292" width="1.5703125" style="180" customWidth="1"/>
    <col min="12293" max="12293" width="10.5703125" style="180" customWidth="1"/>
    <col min="12294" max="12294" width="9.5703125" style="180" customWidth="1"/>
    <col min="12295" max="12295" width="1.5703125" style="180" customWidth="1"/>
    <col min="12296" max="12296" width="9.5703125" style="180" customWidth="1"/>
    <col min="12297" max="12297" width="12" style="180" bestFit="1" customWidth="1"/>
    <col min="12298" max="12298" width="13.42578125" style="180" bestFit="1" customWidth="1"/>
    <col min="12299" max="12299" width="12" style="180" bestFit="1" customWidth="1"/>
    <col min="12300" max="12538" width="11.42578125" style="180"/>
    <col min="12539" max="12539" width="0.140625" style="180" customWidth="1"/>
    <col min="12540" max="12540" width="2.7109375" style="180" customWidth="1"/>
    <col min="12541" max="12541" width="18.5703125" style="180" customWidth="1"/>
    <col min="12542" max="12542" width="1.28515625" style="180" customWidth="1"/>
    <col min="12543" max="12543" width="22.85546875" style="180" customWidth="1"/>
    <col min="12544" max="12544" width="9.42578125" style="180" bestFit="1" customWidth="1"/>
    <col min="12545" max="12545" width="1.5703125" style="180" customWidth="1"/>
    <col min="12546" max="12546" width="10.5703125" style="180" customWidth="1"/>
    <col min="12547" max="12547" width="9.28515625" style="180" customWidth="1"/>
    <col min="12548" max="12548" width="1.5703125" style="180" customWidth="1"/>
    <col min="12549" max="12549" width="10.5703125" style="180" customWidth="1"/>
    <col min="12550" max="12550" width="9.5703125" style="180" customWidth="1"/>
    <col min="12551" max="12551" width="1.5703125" style="180" customWidth="1"/>
    <col min="12552" max="12552" width="9.5703125" style="180" customWidth="1"/>
    <col min="12553" max="12553" width="12" style="180" bestFit="1" customWidth="1"/>
    <col min="12554" max="12554" width="13.42578125" style="180" bestFit="1" customWidth="1"/>
    <col min="12555" max="12555" width="12" style="180" bestFit="1" customWidth="1"/>
    <col min="12556" max="12794" width="11.42578125" style="180"/>
    <col min="12795" max="12795" width="0.140625" style="180" customWidth="1"/>
    <col min="12796" max="12796" width="2.7109375" style="180" customWidth="1"/>
    <col min="12797" max="12797" width="18.5703125" style="180" customWidth="1"/>
    <col min="12798" max="12798" width="1.28515625" style="180" customWidth="1"/>
    <col min="12799" max="12799" width="22.85546875" style="180" customWidth="1"/>
    <col min="12800" max="12800" width="9.42578125" style="180" bestFit="1" customWidth="1"/>
    <col min="12801" max="12801" width="1.5703125" style="180" customWidth="1"/>
    <col min="12802" max="12802" width="10.5703125" style="180" customWidth="1"/>
    <col min="12803" max="12803" width="9.28515625" style="180" customWidth="1"/>
    <col min="12804" max="12804" width="1.5703125" style="180" customWidth="1"/>
    <col min="12805" max="12805" width="10.5703125" style="180" customWidth="1"/>
    <col min="12806" max="12806" width="9.5703125" style="180" customWidth="1"/>
    <col min="12807" max="12807" width="1.5703125" style="180" customWidth="1"/>
    <col min="12808" max="12808" width="9.5703125" style="180" customWidth="1"/>
    <col min="12809" max="12809" width="12" style="180" bestFit="1" customWidth="1"/>
    <col min="12810" max="12810" width="13.42578125" style="180" bestFit="1" customWidth="1"/>
    <col min="12811" max="12811" width="12" style="180" bestFit="1" customWidth="1"/>
    <col min="12812" max="13050" width="11.42578125" style="180"/>
    <col min="13051" max="13051" width="0.140625" style="180" customWidth="1"/>
    <col min="13052" max="13052" width="2.7109375" style="180" customWidth="1"/>
    <col min="13053" max="13053" width="18.5703125" style="180" customWidth="1"/>
    <col min="13054" max="13054" width="1.28515625" style="180" customWidth="1"/>
    <col min="13055" max="13055" width="22.85546875" style="180" customWidth="1"/>
    <col min="13056" max="13056" width="9.42578125" style="180" bestFit="1" customWidth="1"/>
    <col min="13057" max="13057" width="1.5703125" style="180" customWidth="1"/>
    <col min="13058" max="13058" width="10.5703125" style="180" customWidth="1"/>
    <col min="13059" max="13059" width="9.28515625" style="180" customWidth="1"/>
    <col min="13060" max="13060" width="1.5703125" style="180" customWidth="1"/>
    <col min="13061" max="13061" width="10.5703125" style="180" customWidth="1"/>
    <col min="13062" max="13062" width="9.5703125" style="180" customWidth="1"/>
    <col min="13063" max="13063" width="1.5703125" style="180" customWidth="1"/>
    <col min="13064" max="13064" width="9.5703125" style="180" customWidth="1"/>
    <col min="13065" max="13065" width="12" style="180" bestFit="1" customWidth="1"/>
    <col min="13066" max="13066" width="13.42578125" style="180" bestFit="1" customWidth="1"/>
    <col min="13067" max="13067" width="12" style="180" bestFit="1" customWidth="1"/>
    <col min="13068" max="13306" width="11.42578125" style="180"/>
    <col min="13307" max="13307" width="0.140625" style="180" customWidth="1"/>
    <col min="13308" max="13308" width="2.7109375" style="180" customWidth="1"/>
    <col min="13309" max="13309" width="18.5703125" style="180" customWidth="1"/>
    <col min="13310" max="13310" width="1.28515625" style="180" customWidth="1"/>
    <col min="13311" max="13311" width="22.85546875" style="180" customWidth="1"/>
    <col min="13312" max="13312" width="9.42578125" style="180" bestFit="1" customWidth="1"/>
    <col min="13313" max="13313" width="1.5703125" style="180" customWidth="1"/>
    <col min="13314" max="13314" width="10.5703125" style="180" customWidth="1"/>
    <col min="13315" max="13315" width="9.28515625" style="180" customWidth="1"/>
    <col min="13316" max="13316" width="1.5703125" style="180" customWidth="1"/>
    <col min="13317" max="13317" width="10.5703125" style="180" customWidth="1"/>
    <col min="13318" max="13318" width="9.5703125" style="180" customWidth="1"/>
    <col min="13319" max="13319" width="1.5703125" style="180" customWidth="1"/>
    <col min="13320" max="13320" width="9.5703125" style="180" customWidth="1"/>
    <col min="13321" max="13321" width="12" style="180" bestFit="1" customWidth="1"/>
    <col min="13322" max="13322" width="13.42578125" style="180" bestFit="1" customWidth="1"/>
    <col min="13323" max="13323" width="12" style="180" bestFit="1" customWidth="1"/>
    <col min="13324" max="13562" width="11.42578125" style="180"/>
    <col min="13563" max="13563" width="0.140625" style="180" customWidth="1"/>
    <col min="13564" max="13564" width="2.7109375" style="180" customWidth="1"/>
    <col min="13565" max="13565" width="18.5703125" style="180" customWidth="1"/>
    <col min="13566" max="13566" width="1.28515625" style="180" customWidth="1"/>
    <col min="13567" max="13567" width="22.85546875" style="180" customWidth="1"/>
    <col min="13568" max="13568" width="9.42578125" style="180" bestFit="1" customWidth="1"/>
    <col min="13569" max="13569" width="1.5703125" style="180" customWidth="1"/>
    <col min="13570" max="13570" width="10.5703125" style="180" customWidth="1"/>
    <col min="13571" max="13571" width="9.28515625" style="180" customWidth="1"/>
    <col min="13572" max="13572" width="1.5703125" style="180" customWidth="1"/>
    <col min="13573" max="13573" width="10.5703125" style="180" customWidth="1"/>
    <col min="13574" max="13574" width="9.5703125" style="180" customWidth="1"/>
    <col min="13575" max="13575" width="1.5703125" style="180" customWidth="1"/>
    <col min="13576" max="13576" width="9.5703125" style="180" customWidth="1"/>
    <col min="13577" max="13577" width="12" style="180" bestFit="1" customWidth="1"/>
    <col min="13578" max="13578" width="13.42578125" style="180" bestFit="1" customWidth="1"/>
    <col min="13579" max="13579" width="12" style="180" bestFit="1" customWidth="1"/>
    <col min="13580" max="13818" width="11.42578125" style="180"/>
    <col min="13819" max="13819" width="0.140625" style="180" customWidth="1"/>
    <col min="13820" max="13820" width="2.7109375" style="180" customWidth="1"/>
    <col min="13821" max="13821" width="18.5703125" style="180" customWidth="1"/>
    <col min="13822" max="13822" width="1.28515625" style="180" customWidth="1"/>
    <col min="13823" max="13823" width="22.85546875" style="180" customWidth="1"/>
    <col min="13824" max="13824" width="9.42578125" style="180" bestFit="1" customWidth="1"/>
    <col min="13825" max="13825" width="1.5703125" style="180" customWidth="1"/>
    <col min="13826" max="13826" width="10.5703125" style="180" customWidth="1"/>
    <col min="13827" max="13827" width="9.28515625" style="180" customWidth="1"/>
    <col min="13828" max="13828" width="1.5703125" style="180" customWidth="1"/>
    <col min="13829" max="13829" width="10.5703125" style="180" customWidth="1"/>
    <col min="13830" max="13830" width="9.5703125" style="180" customWidth="1"/>
    <col min="13831" max="13831" width="1.5703125" style="180" customWidth="1"/>
    <col min="13832" max="13832" width="9.5703125" style="180" customWidth="1"/>
    <col min="13833" max="13833" width="12" style="180" bestFit="1" customWidth="1"/>
    <col min="13834" max="13834" width="13.42578125" style="180" bestFit="1" customWidth="1"/>
    <col min="13835" max="13835" width="12" style="180" bestFit="1" customWidth="1"/>
    <col min="13836" max="14074" width="11.42578125" style="180"/>
    <col min="14075" max="14075" width="0.140625" style="180" customWidth="1"/>
    <col min="14076" max="14076" width="2.7109375" style="180" customWidth="1"/>
    <col min="14077" max="14077" width="18.5703125" style="180" customWidth="1"/>
    <col min="14078" max="14078" width="1.28515625" style="180" customWidth="1"/>
    <col min="14079" max="14079" width="22.85546875" style="180" customWidth="1"/>
    <col min="14080" max="14080" width="9.42578125" style="180" bestFit="1" customWidth="1"/>
    <col min="14081" max="14081" width="1.5703125" style="180" customWidth="1"/>
    <col min="14082" max="14082" width="10.5703125" style="180" customWidth="1"/>
    <col min="14083" max="14083" width="9.28515625" style="180" customWidth="1"/>
    <col min="14084" max="14084" width="1.5703125" style="180" customWidth="1"/>
    <col min="14085" max="14085" width="10.5703125" style="180" customWidth="1"/>
    <col min="14086" max="14086" width="9.5703125" style="180" customWidth="1"/>
    <col min="14087" max="14087" width="1.5703125" style="180" customWidth="1"/>
    <col min="14088" max="14088" width="9.5703125" style="180" customWidth="1"/>
    <col min="14089" max="14089" width="12" style="180" bestFit="1" customWidth="1"/>
    <col min="14090" max="14090" width="13.42578125" style="180" bestFit="1" customWidth="1"/>
    <col min="14091" max="14091" width="12" style="180" bestFit="1" customWidth="1"/>
    <col min="14092" max="14330" width="11.42578125" style="180"/>
    <col min="14331" max="14331" width="0.140625" style="180" customWidth="1"/>
    <col min="14332" max="14332" width="2.7109375" style="180" customWidth="1"/>
    <col min="14333" max="14333" width="18.5703125" style="180" customWidth="1"/>
    <col min="14334" max="14334" width="1.28515625" style="180" customWidth="1"/>
    <col min="14335" max="14335" width="22.85546875" style="180" customWidth="1"/>
    <col min="14336" max="14336" width="9.42578125" style="180" bestFit="1" customWidth="1"/>
    <col min="14337" max="14337" width="1.5703125" style="180" customWidth="1"/>
    <col min="14338" max="14338" width="10.5703125" style="180" customWidth="1"/>
    <col min="14339" max="14339" width="9.28515625" style="180" customWidth="1"/>
    <col min="14340" max="14340" width="1.5703125" style="180" customWidth="1"/>
    <col min="14341" max="14341" width="10.5703125" style="180" customWidth="1"/>
    <col min="14342" max="14342" width="9.5703125" style="180" customWidth="1"/>
    <col min="14343" max="14343" width="1.5703125" style="180" customWidth="1"/>
    <col min="14344" max="14344" width="9.5703125" style="180" customWidth="1"/>
    <col min="14345" max="14345" width="12" style="180" bestFit="1" customWidth="1"/>
    <col min="14346" max="14346" width="13.42578125" style="180" bestFit="1" customWidth="1"/>
    <col min="14347" max="14347" width="12" style="180" bestFit="1" customWidth="1"/>
    <col min="14348" max="14586" width="11.42578125" style="180"/>
    <col min="14587" max="14587" width="0.140625" style="180" customWidth="1"/>
    <col min="14588" max="14588" width="2.7109375" style="180" customWidth="1"/>
    <col min="14589" max="14589" width="18.5703125" style="180" customWidth="1"/>
    <col min="14590" max="14590" width="1.28515625" style="180" customWidth="1"/>
    <col min="14591" max="14591" width="22.85546875" style="180" customWidth="1"/>
    <col min="14592" max="14592" width="9.42578125" style="180" bestFit="1" customWidth="1"/>
    <col min="14593" max="14593" width="1.5703125" style="180" customWidth="1"/>
    <col min="14594" max="14594" width="10.5703125" style="180" customWidth="1"/>
    <col min="14595" max="14595" width="9.28515625" style="180" customWidth="1"/>
    <col min="14596" max="14596" width="1.5703125" style="180" customWidth="1"/>
    <col min="14597" max="14597" width="10.5703125" style="180" customWidth="1"/>
    <col min="14598" max="14598" width="9.5703125" style="180" customWidth="1"/>
    <col min="14599" max="14599" width="1.5703125" style="180" customWidth="1"/>
    <col min="14600" max="14600" width="9.5703125" style="180" customWidth="1"/>
    <col min="14601" max="14601" width="12" style="180" bestFit="1" customWidth="1"/>
    <col min="14602" max="14602" width="13.42578125" style="180" bestFit="1" customWidth="1"/>
    <col min="14603" max="14603" width="12" style="180" bestFit="1" customWidth="1"/>
    <col min="14604" max="14842" width="11.42578125" style="180"/>
    <col min="14843" max="14843" width="0.140625" style="180" customWidth="1"/>
    <col min="14844" max="14844" width="2.7109375" style="180" customWidth="1"/>
    <col min="14845" max="14845" width="18.5703125" style="180" customWidth="1"/>
    <col min="14846" max="14846" width="1.28515625" style="180" customWidth="1"/>
    <col min="14847" max="14847" width="22.85546875" style="180" customWidth="1"/>
    <col min="14848" max="14848" width="9.42578125" style="180" bestFit="1" customWidth="1"/>
    <col min="14849" max="14849" width="1.5703125" style="180" customWidth="1"/>
    <col min="14850" max="14850" width="10.5703125" style="180" customWidth="1"/>
    <col min="14851" max="14851" width="9.28515625" style="180" customWidth="1"/>
    <col min="14852" max="14852" width="1.5703125" style="180" customWidth="1"/>
    <col min="14853" max="14853" width="10.5703125" style="180" customWidth="1"/>
    <col min="14854" max="14854" width="9.5703125" style="180" customWidth="1"/>
    <col min="14855" max="14855" width="1.5703125" style="180" customWidth="1"/>
    <col min="14856" max="14856" width="9.5703125" style="180" customWidth="1"/>
    <col min="14857" max="14857" width="12" style="180" bestFit="1" customWidth="1"/>
    <col min="14858" max="14858" width="13.42578125" style="180" bestFit="1" customWidth="1"/>
    <col min="14859" max="14859" width="12" style="180" bestFit="1" customWidth="1"/>
    <col min="14860" max="15098" width="11.42578125" style="180"/>
    <col min="15099" max="15099" width="0.140625" style="180" customWidth="1"/>
    <col min="15100" max="15100" width="2.7109375" style="180" customWidth="1"/>
    <col min="15101" max="15101" width="18.5703125" style="180" customWidth="1"/>
    <col min="15102" max="15102" width="1.28515625" style="180" customWidth="1"/>
    <col min="15103" max="15103" width="22.85546875" style="180" customWidth="1"/>
    <col min="15104" max="15104" width="9.42578125" style="180" bestFit="1" customWidth="1"/>
    <col min="15105" max="15105" width="1.5703125" style="180" customWidth="1"/>
    <col min="15106" max="15106" width="10.5703125" style="180" customWidth="1"/>
    <col min="15107" max="15107" width="9.28515625" style="180" customWidth="1"/>
    <col min="15108" max="15108" width="1.5703125" style="180" customWidth="1"/>
    <col min="15109" max="15109" width="10.5703125" style="180" customWidth="1"/>
    <col min="15110" max="15110" width="9.5703125" style="180" customWidth="1"/>
    <col min="15111" max="15111" width="1.5703125" style="180" customWidth="1"/>
    <col min="15112" max="15112" width="9.5703125" style="180" customWidth="1"/>
    <col min="15113" max="15113" width="12" style="180" bestFit="1" customWidth="1"/>
    <col min="15114" max="15114" width="13.42578125" style="180" bestFit="1" customWidth="1"/>
    <col min="15115" max="15115" width="12" style="180" bestFit="1" customWidth="1"/>
    <col min="15116" max="15354" width="11.42578125" style="180"/>
    <col min="15355" max="15355" width="0.140625" style="180" customWidth="1"/>
    <col min="15356" max="15356" width="2.7109375" style="180" customWidth="1"/>
    <col min="15357" max="15357" width="18.5703125" style="180" customWidth="1"/>
    <col min="15358" max="15358" width="1.28515625" style="180" customWidth="1"/>
    <col min="15359" max="15359" width="22.85546875" style="180" customWidth="1"/>
    <col min="15360" max="15360" width="9.42578125" style="180" bestFit="1" customWidth="1"/>
    <col min="15361" max="15361" width="1.5703125" style="180" customWidth="1"/>
    <col min="15362" max="15362" width="10.5703125" style="180" customWidth="1"/>
    <col min="15363" max="15363" width="9.28515625" style="180" customWidth="1"/>
    <col min="15364" max="15364" width="1.5703125" style="180" customWidth="1"/>
    <col min="15365" max="15365" width="10.5703125" style="180" customWidth="1"/>
    <col min="15366" max="15366" width="9.5703125" style="180" customWidth="1"/>
    <col min="15367" max="15367" width="1.5703125" style="180" customWidth="1"/>
    <col min="15368" max="15368" width="9.5703125" style="180" customWidth="1"/>
    <col min="15369" max="15369" width="12" style="180" bestFit="1" customWidth="1"/>
    <col min="15370" max="15370" width="13.42578125" style="180" bestFit="1" customWidth="1"/>
    <col min="15371" max="15371" width="12" style="180" bestFit="1" customWidth="1"/>
    <col min="15372" max="15610" width="11.42578125" style="180"/>
    <col min="15611" max="15611" width="0.140625" style="180" customWidth="1"/>
    <col min="15612" max="15612" width="2.7109375" style="180" customWidth="1"/>
    <col min="15613" max="15613" width="18.5703125" style="180" customWidth="1"/>
    <col min="15614" max="15614" width="1.28515625" style="180" customWidth="1"/>
    <col min="15615" max="15615" width="22.85546875" style="180" customWidth="1"/>
    <col min="15616" max="15616" width="9.42578125" style="180" bestFit="1" customWidth="1"/>
    <col min="15617" max="15617" width="1.5703125" style="180" customWidth="1"/>
    <col min="15618" max="15618" width="10.5703125" style="180" customWidth="1"/>
    <col min="15619" max="15619" width="9.28515625" style="180" customWidth="1"/>
    <col min="15620" max="15620" width="1.5703125" style="180" customWidth="1"/>
    <col min="15621" max="15621" width="10.5703125" style="180" customWidth="1"/>
    <col min="15622" max="15622" width="9.5703125" style="180" customWidth="1"/>
    <col min="15623" max="15623" width="1.5703125" style="180" customWidth="1"/>
    <col min="15624" max="15624" width="9.5703125" style="180" customWidth="1"/>
    <col min="15625" max="15625" width="12" style="180" bestFit="1" customWidth="1"/>
    <col min="15626" max="15626" width="13.42578125" style="180" bestFit="1" customWidth="1"/>
    <col min="15627" max="15627" width="12" style="180" bestFit="1" customWidth="1"/>
    <col min="15628" max="15866" width="11.42578125" style="180"/>
    <col min="15867" max="15867" width="0.140625" style="180" customWidth="1"/>
    <col min="15868" max="15868" width="2.7109375" style="180" customWidth="1"/>
    <col min="15869" max="15869" width="18.5703125" style="180" customWidth="1"/>
    <col min="15870" max="15870" width="1.28515625" style="180" customWidth="1"/>
    <col min="15871" max="15871" width="22.85546875" style="180" customWidth="1"/>
    <col min="15872" max="15872" width="9.42578125" style="180" bestFit="1" customWidth="1"/>
    <col min="15873" max="15873" width="1.5703125" style="180" customWidth="1"/>
    <col min="15874" max="15874" width="10.5703125" style="180" customWidth="1"/>
    <col min="15875" max="15875" width="9.28515625" style="180" customWidth="1"/>
    <col min="15876" max="15876" width="1.5703125" style="180" customWidth="1"/>
    <col min="15877" max="15877" width="10.5703125" style="180" customWidth="1"/>
    <col min="15878" max="15878" width="9.5703125" style="180" customWidth="1"/>
    <col min="15879" max="15879" width="1.5703125" style="180" customWidth="1"/>
    <col min="15880" max="15880" width="9.5703125" style="180" customWidth="1"/>
    <col min="15881" max="15881" width="12" style="180" bestFit="1" customWidth="1"/>
    <col min="15882" max="15882" width="13.42578125" style="180" bestFit="1" customWidth="1"/>
    <col min="15883" max="15883" width="12" style="180" bestFit="1" customWidth="1"/>
    <col min="15884" max="16122" width="11.42578125" style="180"/>
    <col min="16123" max="16123" width="0.140625" style="180" customWidth="1"/>
    <col min="16124" max="16124" width="2.7109375" style="180" customWidth="1"/>
    <col min="16125" max="16125" width="18.5703125" style="180" customWidth="1"/>
    <col min="16126" max="16126" width="1.28515625" style="180" customWidth="1"/>
    <col min="16127" max="16127" width="22.85546875" style="180" customWidth="1"/>
    <col min="16128" max="16128" width="9.42578125" style="180" bestFit="1" customWidth="1"/>
    <col min="16129" max="16129" width="1.5703125" style="180" customWidth="1"/>
    <col min="16130" max="16130" width="10.5703125" style="180" customWidth="1"/>
    <col min="16131" max="16131" width="9.28515625" style="180" customWidth="1"/>
    <col min="16132" max="16132" width="1.5703125" style="180" customWidth="1"/>
    <col min="16133" max="16133" width="10.5703125" style="180" customWidth="1"/>
    <col min="16134" max="16134" width="9.5703125" style="180" customWidth="1"/>
    <col min="16135" max="16135" width="1.5703125" style="180" customWidth="1"/>
    <col min="16136" max="16136" width="9.5703125" style="180" customWidth="1"/>
    <col min="16137" max="16137" width="12" style="180" bestFit="1" customWidth="1"/>
    <col min="16138" max="16138" width="13.42578125" style="180" bestFit="1" customWidth="1"/>
    <col min="16139" max="16139" width="12" style="180" bestFit="1" customWidth="1"/>
    <col min="16140" max="16384" width="11.42578125" style="180"/>
  </cols>
  <sheetData>
    <row r="1" spans="2:15" ht="0.75" customHeight="1"/>
    <row r="2" spans="2:15" ht="21" customHeight="1">
      <c r="E2" s="484"/>
      <c r="K2" s="437" t="s">
        <v>87</v>
      </c>
    </row>
    <row r="3" spans="2:15" ht="15" customHeight="1">
      <c r="E3" s="136"/>
      <c r="F3" s="136"/>
      <c r="G3" s="136"/>
      <c r="H3" s="136"/>
      <c r="I3" s="136"/>
      <c r="J3" s="136"/>
      <c r="K3" s="437" t="s">
        <v>119</v>
      </c>
    </row>
    <row r="4" spans="2:15" s="485" customFormat="1" ht="20.25" customHeight="1">
      <c r="B4" s="486"/>
      <c r="C4" s="168" t="s">
        <v>136</v>
      </c>
    </row>
    <row r="5" spans="2:15" s="485" customFormat="1" ht="12.75" customHeight="1">
      <c r="B5" s="486"/>
      <c r="C5" s="183"/>
    </row>
    <row r="6" spans="2:15" s="485" customFormat="1" ht="13.5" customHeight="1">
      <c r="B6" s="486"/>
      <c r="C6" s="184"/>
      <c r="D6" s="488"/>
      <c r="E6" s="488"/>
    </row>
    <row r="7" spans="2:15" s="485" customFormat="1" ht="12.75" customHeight="1">
      <c r="B7" s="486"/>
      <c r="C7" s="608" t="s">
        <v>402</v>
      </c>
      <c r="D7" s="488"/>
      <c r="E7" s="517"/>
      <c r="F7" s="616" t="s">
        <v>390</v>
      </c>
      <c r="G7" s="616"/>
      <c r="H7" s="616" t="s">
        <v>391</v>
      </c>
      <c r="I7" s="616"/>
      <c r="J7" s="616" t="s">
        <v>392</v>
      </c>
      <c r="K7" s="617"/>
    </row>
    <row r="8" spans="2:15" s="485" customFormat="1" ht="12.75" customHeight="1">
      <c r="B8" s="486"/>
      <c r="C8" s="608"/>
      <c r="D8" s="488"/>
      <c r="E8" s="517"/>
      <c r="F8" s="618" t="s">
        <v>393</v>
      </c>
      <c r="G8" s="618"/>
      <c r="H8" s="618" t="s">
        <v>394</v>
      </c>
      <c r="I8" s="618"/>
      <c r="J8" s="618" t="s">
        <v>395</v>
      </c>
      <c r="K8" s="618"/>
    </row>
    <row r="9" spans="2:15" s="485" customFormat="1" ht="12.75" customHeight="1">
      <c r="B9" s="486"/>
      <c r="C9" s="608"/>
      <c r="D9" s="488"/>
      <c r="E9" s="518"/>
      <c r="F9" s="519" t="s">
        <v>31</v>
      </c>
      <c r="G9" s="492" t="s">
        <v>320</v>
      </c>
      <c r="H9" s="519" t="s">
        <v>31</v>
      </c>
      <c r="I9" s="519" t="s">
        <v>320</v>
      </c>
      <c r="J9" s="519" t="s">
        <v>31</v>
      </c>
      <c r="K9" s="519" t="s">
        <v>320</v>
      </c>
      <c r="L9" s="520"/>
      <c r="M9" s="520"/>
      <c r="N9" s="520"/>
    </row>
    <row r="10" spans="2:15" s="485" customFormat="1" ht="12.75" customHeight="1">
      <c r="B10" s="486"/>
      <c r="C10" s="15"/>
      <c r="D10" s="488"/>
      <c r="E10" s="28" t="s">
        <v>26</v>
      </c>
      <c r="F10" s="495">
        <f>'Data 1'!X67</f>
        <v>17048.908629999998</v>
      </c>
      <c r="G10" s="496">
        <f>(('Data 1'!X67/'Data 1'!X49)-1)*100</f>
        <v>0.10971082534687593</v>
      </c>
      <c r="H10" s="495">
        <f>'Data 1'!Y67</f>
        <v>2.02</v>
      </c>
      <c r="I10" s="496">
        <f>(('Data 1'!Y67/'Data 1'!Y49)-1)*100</f>
        <v>0</v>
      </c>
      <c r="J10" s="495">
        <f>'Data 1'!W67</f>
        <v>17050.928630000002</v>
      </c>
      <c r="K10" s="496">
        <f>(('Data 1'!W67/'Data 1'!W49)-1)*100</f>
        <v>0.10969781379899235</v>
      </c>
      <c r="O10" s="532"/>
    </row>
    <row r="11" spans="2:15" s="485" customFormat="1" ht="12.75" customHeight="1">
      <c r="B11" s="486"/>
      <c r="C11" s="15"/>
      <c r="D11" s="488"/>
      <c r="E11" s="28" t="s">
        <v>52</v>
      </c>
      <c r="F11" s="495">
        <f>'Data 1'!X68</f>
        <v>3328.8900000000003</v>
      </c>
      <c r="G11" s="496">
        <f>(('Data 1'!X68/'Data 1'!X50)-1)*100</f>
        <v>0</v>
      </c>
      <c r="H11" s="495" t="s">
        <v>0</v>
      </c>
      <c r="I11" s="496" t="s">
        <v>0</v>
      </c>
      <c r="J11" s="495">
        <f>'Data 1'!W68</f>
        <v>3328.8900000000003</v>
      </c>
      <c r="K11" s="496">
        <f>(('Data 1'!W68/'Data 1'!W50)-1)*100</f>
        <v>0</v>
      </c>
      <c r="O11" s="532"/>
    </row>
    <row r="12" spans="2:15" s="485" customFormat="1" ht="12.75" customHeight="1">
      <c r="B12" s="486"/>
      <c r="C12" s="15"/>
      <c r="D12" s="488"/>
      <c r="E12" s="28" t="s">
        <v>27</v>
      </c>
      <c r="F12" s="495">
        <f>'Data 1'!X69</f>
        <v>7117.29</v>
      </c>
      <c r="G12" s="496">
        <f>(('Data 1'!X69/'Data 1'!X51)-1)*100</f>
        <v>0</v>
      </c>
      <c r="H12" s="495" t="s">
        <v>0</v>
      </c>
      <c r="I12" s="496" t="s">
        <v>0</v>
      </c>
      <c r="J12" s="495">
        <f>'Data 1'!W69</f>
        <v>7117.29</v>
      </c>
      <c r="K12" s="496">
        <f>(('Data 1'!W69/'Data 1'!W51)-1)*100</f>
        <v>0</v>
      </c>
      <c r="O12" s="532"/>
    </row>
    <row r="13" spans="2:15" s="485" customFormat="1" ht="12.75" customHeight="1">
      <c r="B13" s="486"/>
      <c r="D13" s="488"/>
      <c r="E13" s="28" t="s">
        <v>28</v>
      </c>
      <c r="F13" s="495">
        <f>'Data 1'!X70</f>
        <v>9561.8849999999984</v>
      </c>
      <c r="G13" s="496">
        <f>(('Data 1'!X70/'Data 1'!X52)-1)*100</f>
        <v>0.27281202449278563</v>
      </c>
      <c r="H13" s="495">
        <f>'Data 1'!Y70</f>
        <v>468.4</v>
      </c>
      <c r="I13" s="496">
        <f>(('Data 1'!Y70/'Data 1'!Y52)-1)*100</f>
        <v>0</v>
      </c>
      <c r="J13" s="495">
        <f>'Data 1'!W70</f>
        <v>10030.284999999998</v>
      </c>
      <c r="K13" s="496">
        <f>(('Data 1'!W70/'Data 1'!W52)-1)*100</f>
        <v>0.26003896336264098</v>
      </c>
      <c r="O13" s="532"/>
    </row>
    <row r="14" spans="2:15" s="485" customFormat="1" ht="12.75" customHeight="1">
      <c r="B14" s="486"/>
      <c r="D14" s="488"/>
      <c r="E14" s="28" t="s">
        <v>115</v>
      </c>
      <c r="F14" s="495" t="s">
        <v>0</v>
      </c>
      <c r="G14" s="496" t="s">
        <v>0</v>
      </c>
      <c r="H14" s="495">
        <f>'Data 1'!Y71</f>
        <v>2490.06</v>
      </c>
      <c r="I14" s="496">
        <f>(('Data 1'!Y71/'Data 1'!Y53)-1)*100</f>
        <v>0</v>
      </c>
      <c r="J14" s="495">
        <f>'Data 1'!W71</f>
        <v>2490.06</v>
      </c>
      <c r="K14" s="496">
        <f>(('Data 1'!W71/'Data 1'!W53)-1)*100</f>
        <v>0</v>
      </c>
      <c r="O14" s="532"/>
    </row>
    <row r="15" spans="2:15" s="485" customFormat="1" ht="12.75" customHeight="1">
      <c r="B15" s="486"/>
      <c r="C15" s="498"/>
      <c r="D15" s="488"/>
      <c r="E15" s="28" t="s">
        <v>44</v>
      </c>
      <c r="F15" s="495">
        <f>'Data 1'!X72</f>
        <v>24561.86</v>
      </c>
      <c r="G15" s="496">
        <f>(('Data 1'!X72/'Data 1'!X54)-1)*100</f>
        <v>-1.5466349416439318</v>
      </c>
      <c r="H15" s="495">
        <f>'Data 1'!Y72</f>
        <v>1722.15</v>
      </c>
      <c r="I15" s="496">
        <f>(('Data 1'!Y72/'Data 1'!Y54)-1)*100</f>
        <v>0</v>
      </c>
      <c r="J15" s="495">
        <f>'Data 1'!W72</f>
        <v>26284.010000000002</v>
      </c>
      <c r="K15" s="496">
        <f>(('Data 1'!W72/'Data 1'!W54)-1)*100</f>
        <v>-1.4467642499810585</v>
      </c>
      <c r="O15" s="532"/>
    </row>
    <row r="16" spans="2:15" s="485" customFormat="1" ht="12.75" customHeight="1">
      <c r="B16" s="486"/>
      <c r="C16" s="498"/>
      <c r="D16" s="488"/>
      <c r="E16" s="284" t="s">
        <v>69</v>
      </c>
      <c r="F16" s="495" t="s">
        <v>0</v>
      </c>
      <c r="G16" s="496" t="s">
        <v>0</v>
      </c>
      <c r="H16" s="495">
        <f>'Data 1'!Y73</f>
        <v>11.39</v>
      </c>
      <c r="I16" s="496">
        <f>(('Data 1'!Y73/'Data 1'!Y55)-1)*100</f>
        <v>0</v>
      </c>
      <c r="J16" s="495">
        <f>'Data 1'!W73</f>
        <v>11.39</v>
      </c>
      <c r="K16" s="496">
        <f>(('Data 1'!W73/'Data 1'!W55)-1)*100</f>
        <v>0</v>
      </c>
      <c r="O16" s="532"/>
    </row>
    <row r="17" spans="2:15" s="485" customFormat="1" ht="12.75" customHeight="1">
      <c r="B17" s="486"/>
      <c r="C17" s="498"/>
      <c r="D17" s="488"/>
      <c r="E17" s="28" t="s">
        <v>50</v>
      </c>
      <c r="F17" s="495">
        <f>'Data 1'!X74</f>
        <v>23041.100999999999</v>
      </c>
      <c r="G17" s="496">
        <f>(('Data 1'!X74/'Data 1'!X56)-1)*100</f>
        <v>0.5288781418395283</v>
      </c>
      <c r="H17" s="495">
        <f>'Data 1'!Y74</f>
        <v>425.35249999999996</v>
      </c>
      <c r="I17" s="496">
        <f>(('Data 1'!Y74/'Data 1'!Y56)-1)*100</f>
        <v>102.02210902527939</v>
      </c>
      <c r="J17" s="495">
        <f>'Data 1'!W74</f>
        <v>23466.4535</v>
      </c>
      <c r="K17" s="496">
        <f>(('Data 1'!W74/'Data 1'!W56)-1)*100</f>
        <v>1.4527323805401338</v>
      </c>
      <c r="O17" s="532"/>
    </row>
    <row r="18" spans="2:15" s="485" customFormat="1" ht="12.75" customHeight="1">
      <c r="B18" s="486"/>
      <c r="C18" s="498"/>
      <c r="D18" s="488"/>
      <c r="E18" s="28" t="s">
        <v>51</v>
      </c>
      <c r="F18" s="495">
        <f>'Data 1'!X75</f>
        <v>4459.1341530001273</v>
      </c>
      <c r="G18" s="496">
        <f>(('Data 1'!X75/'Data 1'!X57)-1)*100</f>
        <v>0.41667681227790521</v>
      </c>
      <c r="H18" s="495">
        <f>'Data 1'!Y75</f>
        <v>247.61031499999947</v>
      </c>
      <c r="I18" s="496">
        <f>(('Data 1'!Y75/'Data 1'!Y57)-1)*100</f>
        <v>5.9386570589414767E-2</v>
      </c>
      <c r="J18" s="495">
        <f>'Data 1'!W75</f>
        <v>4706.7444680001263</v>
      </c>
      <c r="K18" s="496">
        <f>(('Data 1'!W75/'Data 1'!W57)-1)*100</f>
        <v>0.39781707229722407</v>
      </c>
      <c r="O18" s="532"/>
    </row>
    <row r="19" spans="2:15" s="485" customFormat="1" ht="12.75" customHeight="1">
      <c r="B19" s="486"/>
      <c r="C19" s="498"/>
      <c r="D19" s="488"/>
      <c r="E19" s="28" t="s">
        <v>67</v>
      </c>
      <c r="F19" s="495">
        <f>'Data 1'!X76</f>
        <v>2304.1129999999998</v>
      </c>
      <c r="G19" s="496">
        <f>(('Data 1'!X76/'Data 1'!X58)-1)*100</f>
        <v>0</v>
      </c>
      <c r="H19" s="495" t="s">
        <v>0</v>
      </c>
      <c r="I19" s="496" t="s">
        <v>0</v>
      </c>
      <c r="J19" s="495">
        <f>'Data 1'!W76</f>
        <v>2304.1129999999998</v>
      </c>
      <c r="K19" s="496">
        <f>(('Data 1'!W76/'Data 1'!W58)-1)*100</f>
        <v>0</v>
      </c>
      <c r="O19" s="532"/>
    </row>
    <row r="20" spans="2:15" s="485" customFormat="1" ht="12.75" customHeight="1">
      <c r="B20" s="486"/>
      <c r="C20" s="498"/>
      <c r="D20" s="488"/>
      <c r="E20" s="28" t="s">
        <v>116</v>
      </c>
      <c r="F20" s="495">
        <f>'Data 1'!X77</f>
        <v>858.48899999999992</v>
      </c>
      <c r="G20" s="496">
        <f>(('Data 1'!X77/'Data 1'!X59)-1)*100</f>
        <v>0.59761726481122324</v>
      </c>
      <c r="H20" s="495">
        <f>'Data 1'!Y77</f>
        <v>5.8260000000000005</v>
      </c>
      <c r="I20" s="496">
        <f>(('Data 1'!Y77/'Data 1'!Y59)-1)*100</f>
        <v>0</v>
      </c>
      <c r="J20" s="495">
        <f>'Data 1'!W77</f>
        <v>864.31499999999994</v>
      </c>
      <c r="K20" s="496">
        <f>(('Data 1'!W77/'Data 1'!W59)-1)*100</f>
        <v>0.59356505647596425</v>
      </c>
      <c r="O20" s="532"/>
    </row>
    <row r="21" spans="2:15" s="485" customFormat="1" ht="12.75" customHeight="1">
      <c r="B21" s="486"/>
      <c r="C21" s="498"/>
      <c r="D21" s="488"/>
      <c r="E21" s="28" t="s">
        <v>74</v>
      </c>
      <c r="F21" s="495">
        <f>'Data 1'!X78</f>
        <v>5735.7954000000009</v>
      </c>
      <c r="G21" s="496">
        <f>(('Data 1'!X78/'Data 1'!X60)-1)*100</f>
        <v>-1.2624706173717581</v>
      </c>
      <c r="H21" s="495">
        <f>'Data 1'!Y78</f>
        <v>10.486999999999998</v>
      </c>
      <c r="I21" s="496">
        <f>(('Data 1'!Y78/'Data 1'!Y60)-1)*100</f>
        <v>0</v>
      </c>
      <c r="J21" s="495">
        <f>'Data 1'!W78</f>
        <v>5746.2824000000001</v>
      </c>
      <c r="K21" s="496">
        <f>(('Data 1'!W78/'Data 1'!W60)-1)*100</f>
        <v>-1.2601956360041466</v>
      </c>
      <c r="O21" s="532"/>
    </row>
    <row r="22" spans="2:15" s="485" customFormat="1" ht="12.75" customHeight="1">
      <c r="B22" s="486"/>
      <c r="C22" s="498"/>
      <c r="D22" s="488"/>
      <c r="E22" s="28" t="s">
        <v>96</v>
      </c>
      <c r="F22" s="495">
        <f>'Data 1'!X79</f>
        <v>452.3775</v>
      </c>
      <c r="G22" s="496">
        <f>(('Data 1'!X79/'Data 1'!X61)-1)*100</f>
        <v>-1.4225150929766506</v>
      </c>
      <c r="H22" s="495">
        <f>'Data 1'!Y79</f>
        <v>38.484000000000009</v>
      </c>
      <c r="I22" s="496">
        <f>(('Data 1'!Y79/'Data 1'!Y61)-1)*100</f>
        <v>0</v>
      </c>
      <c r="J22" s="495">
        <f>'Data 1'!W79</f>
        <v>490.86150000000004</v>
      </c>
      <c r="K22" s="496">
        <f>(('Data 1'!W79/'Data 1'!W61)-1)*100</f>
        <v>-1.3124523135289223</v>
      </c>
      <c r="O22" s="532"/>
    </row>
    <row r="23" spans="2:15" s="485" customFormat="1" ht="12.75" customHeight="1">
      <c r="B23" s="486"/>
      <c r="C23" s="498"/>
      <c r="D23" s="488"/>
      <c r="E23" s="28" t="s">
        <v>97</v>
      </c>
      <c r="F23" s="495">
        <f>'Data 1'!X80</f>
        <v>123.0415</v>
      </c>
      <c r="G23" s="496">
        <f>(('Data 1'!X80/'Data 1'!X62)-1)*100</f>
        <v>0</v>
      </c>
      <c r="H23" s="495">
        <f>'Data 1'!Y80</f>
        <v>38.484000000000009</v>
      </c>
      <c r="I23" s="496">
        <f>(('Data 1'!Y80/'Data 1'!Y62)-1)*100</f>
        <v>0</v>
      </c>
      <c r="J23" s="495">
        <f>'Data 1'!W80</f>
        <v>161.52550000000002</v>
      </c>
      <c r="K23" s="496">
        <f>(('Data 1'!W80/'Data 1'!W62)-1)*100</f>
        <v>0</v>
      </c>
      <c r="O23" s="532"/>
    </row>
    <row r="24" spans="2:15" s="485" customFormat="1" ht="16.149999999999999" customHeight="1">
      <c r="B24" s="486"/>
      <c r="C24" s="184"/>
      <c r="D24" s="488"/>
      <c r="E24" s="59" t="s">
        <v>32</v>
      </c>
      <c r="F24" s="317">
        <f>SUM(F10:F23)</f>
        <v>98592.885183000122</v>
      </c>
      <c r="G24" s="521">
        <f>(('Data 1'!X81/'Data 1'!X63)-1)*100</f>
        <v>-0.27935556385579874</v>
      </c>
      <c r="H24" s="317">
        <f>SUM(H10:H23)</f>
        <v>5460.2638150000012</v>
      </c>
      <c r="I24" s="521">
        <f>(('Data 1'!Y81/'Data 1'!Y63)-1)*100</f>
        <v>4.0979824639997497</v>
      </c>
      <c r="J24" s="317">
        <f>SUM(J10:J23)</f>
        <v>104053.14899800012</v>
      </c>
      <c r="K24" s="521">
        <f>(('Data 1'!W81/'Data 1'!W63)-1)*100</f>
        <v>-5.8824066537033204E-2</v>
      </c>
      <c r="O24" s="532"/>
    </row>
    <row r="25" spans="2:15" ht="16.149999999999999" customHeight="1">
      <c r="E25" s="615" t="s">
        <v>118</v>
      </c>
      <c r="F25" s="615"/>
      <c r="G25" s="615"/>
      <c r="H25" s="615"/>
      <c r="I25" s="615"/>
      <c r="J25" s="615"/>
      <c r="K25" s="615"/>
      <c r="N25" s="522"/>
    </row>
    <row r="27" spans="2:15">
      <c r="D27" s="523"/>
      <c r="E27" s="523"/>
      <c r="F27" s="524"/>
      <c r="G27" s="525"/>
      <c r="H27" s="526"/>
      <c r="I27" s="527"/>
      <c r="J27" s="526"/>
      <c r="K27" s="527"/>
    </row>
    <row r="28" spans="2:15">
      <c r="D28" s="523"/>
      <c r="E28" s="523"/>
      <c r="F28" s="524"/>
      <c r="G28" s="525"/>
      <c r="H28" s="526"/>
      <c r="I28" s="527"/>
      <c r="J28" s="526"/>
      <c r="K28" s="527"/>
    </row>
    <row r="29" spans="2:15">
      <c r="D29" s="523"/>
      <c r="E29" s="523"/>
      <c r="F29" s="524"/>
      <c r="G29" s="525"/>
      <c r="H29" s="526"/>
      <c r="I29" s="527"/>
      <c r="J29" s="526"/>
      <c r="K29" s="527"/>
    </row>
    <row r="30" spans="2:15">
      <c r="D30" s="523"/>
      <c r="E30" s="523"/>
      <c r="F30" s="524"/>
      <c r="G30" s="525"/>
      <c r="H30" s="526"/>
      <c r="I30" s="527"/>
      <c r="J30" s="526"/>
      <c r="K30" s="527"/>
    </row>
    <row r="31" spans="2:15">
      <c r="D31" s="523"/>
      <c r="E31" s="523"/>
      <c r="F31" s="524"/>
      <c r="G31" s="525"/>
      <c r="H31" s="526"/>
      <c r="I31" s="527"/>
      <c r="J31" s="526"/>
      <c r="K31" s="527"/>
    </row>
    <row r="32" spans="2:15">
      <c r="D32" s="523"/>
      <c r="E32" s="523"/>
      <c r="F32" s="524"/>
      <c r="G32" s="525"/>
      <c r="H32" s="526"/>
      <c r="I32" s="527"/>
      <c r="J32" s="526"/>
      <c r="K32" s="527"/>
    </row>
    <row r="33" spans="4:11">
      <c r="D33" s="523"/>
      <c r="E33" s="523"/>
      <c r="F33" s="524"/>
      <c r="G33" s="525"/>
      <c r="H33" s="526"/>
      <c r="I33" s="527"/>
      <c r="J33" s="526"/>
      <c r="K33" s="527"/>
    </row>
    <row r="34" spans="4:11">
      <c r="D34" s="523"/>
      <c r="E34" s="523"/>
      <c r="F34" s="524"/>
      <c r="G34" s="525"/>
      <c r="H34" s="526"/>
      <c r="I34" s="527"/>
      <c r="J34" s="526"/>
      <c r="K34" s="527"/>
    </row>
    <row r="35" spans="4:11">
      <c r="D35" s="523"/>
      <c r="E35" s="523"/>
      <c r="F35" s="524"/>
      <c r="G35" s="525"/>
      <c r="H35" s="526"/>
      <c r="I35" s="527"/>
      <c r="J35" s="526"/>
      <c r="K35" s="527"/>
    </row>
    <row r="36" spans="4:11">
      <c r="D36" s="523"/>
      <c r="E36" s="523"/>
      <c r="F36" s="524"/>
      <c r="G36" s="525"/>
      <c r="H36" s="526"/>
      <c r="I36" s="527"/>
      <c r="J36" s="526"/>
      <c r="K36" s="527"/>
    </row>
    <row r="37" spans="4:11">
      <c r="D37" s="523"/>
      <c r="E37" s="523"/>
      <c r="F37" s="524"/>
      <c r="G37" s="525"/>
      <c r="H37" s="526"/>
      <c r="I37" s="527"/>
      <c r="J37" s="526"/>
      <c r="K37" s="527"/>
    </row>
    <row r="38" spans="4:11">
      <c r="D38" s="523"/>
      <c r="E38" s="523"/>
      <c r="F38" s="524"/>
      <c r="G38" s="525"/>
      <c r="H38" s="526"/>
      <c r="I38" s="527"/>
      <c r="J38" s="526"/>
      <c r="K38" s="527"/>
    </row>
    <row r="39" spans="4:11">
      <c r="E39" s="523"/>
      <c r="F39" s="524"/>
      <c r="G39" s="525"/>
      <c r="H39" s="526"/>
      <c r="I39" s="527"/>
      <c r="J39" s="526"/>
      <c r="K39" s="527"/>
    </row>
    <row r="40" spans="4:11">
      <c r="E40" s="523"/>
      <c r="F40" s="524"/>
      <c r="G40" s="525"/>
      <c r="H40" s="526"/>
      <c r="I40" s="527"/>
      <c r="J40" s="526"/>
      <c r="K40" s="527"/>
    </row>
    <row r="41" spans="4:11">
      <c r="F41" s="524"/>
      <c r="G41" s="525"/>
      <c r="H41" s="526"/>
      <c r="I41" s="527"/>
      <c r="J41" s="526"/>
      <c r="K41" s="527"/>
    </row>
  </sheetData>
  <mergeCells count="8">
    <mergeCell ref="E25:K25"/>
    <mergeCell ref="C7:C9"/>
    <mergeCell ref="F7:G7"/>
    <mergeCell ref="H7:I7"/>
    <mergeCell ref="J7:K7"/>
    <mergeCell ref="F8:G8"/>
    <mergeCell ref="H8:I8"/>
    <mergeCell ref="J8:K8"/>
  </mergeCells>
  <hyperlinks>
    <hyperlink ref="C4" location="Indice!A1" display="Balance eléctrico, potencia instalada y red de transporte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24 G2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B1:K28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19" customWidth="1"/>
    <col min="2" max="2" width="2.7109375" style="119" customWidth="1"/>
    <col min="3" max="3" width="23.7109375" style="119" customWidth="1"/>
    <col min="4" max="4" width="1.28515625" style="119" customWidth="1"/>
    <col min="5" max="5" width="105.7109375" style="119" customWidth="1"/>
    <col min="6" max="16384" width="11.42578125" style="119"/>
  </cols>
  <sheetData>
    <row r="1" spans="2:11" ht="0.75" customHeight="1"/>
    <row r="2" spans="2:11" ht="21" customHeight="1">
      <c r="E2" s="7" t="s">
        <v>87</v>
      </c>
    </row>
    <row r="3" spans="2:11" ht="15" customHeight="1">
      <c r="E3" s="7" t="s">
        <v>119</v>
      </c>
    </row>
    <row r="4" spans="2:11" s="121" customFormat="1" ht="20.25" customHeight="1">
      <c r="B4" s="120"/>
      <c r="C4" s="168" t="s">
        <v>136</v>
      </c>
    </row>
    <row r="5" spans="2:11" s="121" customFormat="1" ht="12.6" customHeight="1">
      <c r="B5" s="120"/>
      <c r="C5" s="122"/>
    </row>
    <row r="6" spans="2:11" s="121" customFormat="1" ht="12.6" customHeight="1">
      <c r="B6" s="120"/>
      <c r="C6" s="123"/>
      <c r="D6" s="124"/>
      <c r="E6" s="124"/>
    </row>
    <row r="7" spans="2:11" s="121" customFormat="1" ht="12.75" customHeight="1">
      <c r="B7" s="120"/>
      <c r="C7" s="619" t="s">
        <v>134</v>
      </c>
      <c r="D7" s="124"/>
      <c r="E7" s="125"/>
    </row>
    <row r="8" spans="2:11" s="121" customFormat="1" ht="12.75" customHeight="1">
      <c r="B8" s="120"/>
      <c r="C8" s="619"/>
      <c r="D8" s="124"/>
      <c r="E8" s="125"/>
    </row>
    <row r="9" spans="2:11" s="121" customFormat="1" ht="12.75" customHeight="1">
      <c r="B9" s="120"/>
      <c r="C9" s="619"/>
      <c r="D9" s="124"/>
      <c r="E9" s="125"/>
    </row>
    <row r="10" spans="2:11" s="121" customFormat="1" ht="12.75" customHeight="1">
      <c r="B10" s="120"/>
      <c r="C10" s="16" t="s">
        <v>135</v>
      </c>
      <c r="D10" s="124"/>
      <c r="E10" s="125"/>
    </row>
    <row r="11" spans="2:11" s="121" customFormat="1" ht="12.75" customHeight="1">
      <c r="B11" s="120"/>
      <c r="D11" s="124"/>
      <c r="E11" s="126"/>
      <c r="G11" s="127"/>
      <c r="H11" s="127"/>
      <c r="I11" s="127"/>
      <c r="J11" s="127"/>
      <c r="K11" s="127"/>
    </row>
    <row r="12" spans="2:11" s="121" customFormat="1" ht="12.75" customHeight="1">
      <c r="B12" s="120"/>
      <c r="D12" s="128"/>
      <c r="E12" s="126"/>
    </row>
    <row r="13" spans="2:11" s="121" customFormat="1" ht="12.75" customHeight="1">
      <c r="B13" s="120"/>
      <c r="C13" s="123"/>
      <c r="D13" s="124"/>
      <c r="E13" s="126"/>
      <c r="F13" s="129"/>
    </row>
    <row r="14" spans="2:11" s="121" customFormat="1" ht="12.75" customHeight="1">
      <c r="B14" s="120"/>
      <c r="C14" s="123"/>
      <c r="D14" s="124"/>
      <c r="E14" s="126"/>
      <c r="F14" s="129"/>
    </row>
    <row r="15" spans="2:11" s="121" customFormat="1" ht="12.75" customHeight="1">
      <c r="B15" s="120"/>
      <c r="C15" s="123"/>
      <c r="D15" s="124"/>
      <c r="E15" s="126"/>
      <c r="F15" s="129"/>
    </row>
    <row r="16" spans="2:11" s="121" customFormat="1" ht="12.75" customHeight="1">
      <c r="B16" s="120"/>
      <c r="C16" s="123"/>
      <c r="D16" s="124"/>
      <c r="E16" s="126"/>
      <c r="F16" s="129"/>
    </row>
    <row r="17" spans="2:11" s="121" customFormat="1" ht="12.75" customHeight="1">
      <c r="B17" s="120"/>
      <c r="C17" s="123"/>
      <c r="D17" s="124"/>
      <c r="E17" s="126"/>
      <c r="F17" s="129"/>
    </row>
    <row r="18" spans="2:11" s="121" customFormat="1" ht="12.75" customHeight="1">
      <c r="B18" s="120"/>
      <c r="C18" s="123"/>
      <c r="D18" s="124"/>
      <c r="E18" s="126"/>
    </row>
    <row r="19" spans="2:11" s="121" customFormat="1" ht="12.75" customHeight="1">
      <c r="B19" s="120"/>
      <c r="C19" s="123"/>
      <c r="D19" s="124"/>
      <c r="E19" s="126"/>
    </row>
    <row r="20" spans="2:11" s="121" customFormat="1" ht="12.75" customHeight="1">
      <c r="B20" s="120"/>
      <c r="C20" s="123"/>
      <c r="D20" s="124"/>
      <c r="E20" s="126"/>
    </row>
    <row r="21" spans="2:11" s="121" customFormat="1" ht="12.75" customHeight="1">
      <c r="B21" s="120"/>
      <c r="C21" s="123"/>
      <c r="D21" s="124"/>
      <c r="E21" s="126"/>
    </row>
    <row r="22" spans="2:11" ht="15" customHeight="1">
      <c r="E22" s="301"/>
    </row>
    <row r="23" spans="2:11">
      <c r="C23" s="131"/>
      <c r="D23" s="299"/>
      <c r="E23" s="302"/>
      <c r="F23" s="132"/>
      <c r="G23" s="132"/>
      <c r="H23" s="132"/>
    </row>
    <row r="24" spans="2:11">
      <c r="E24" s="301"/>
    </row>
    <row r="25" spans="2:11">
      <c r="E25" s="130" t="s">
        <v>280</v>
      </c>
    </row>
    <row r="26" spans="2:11">
      <c r="E26" s="352" t="s">
        <v>464</v>
      </c>
      <c r="F26" s="352"/>
      <c r="G26" s="352"/>
      <c r="H26" s="352"/>
      <c r="I26" s="352"/>
      <c r="J26" s="352"/>
      <c r="K26" s="352"/>
    </row>
    <row r="28" spans="2:11">
      <c r="B28" s="300"/>
      <c r="C28" s="300"/>
    </row>
  </sheetData>
  <mergeCells count="1">
    <mergeCell ref="C7:C9"/>
  </mergeCells>
  <hyperlinks>
    <hyperlink ref="C4" location="Indice!A1" display="Balance eléctrico, potencia instalada y red de transporte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A1:R35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33" customWidth="1"/>
    <col min="2" max="2" width="2.7109375" style="133" customWidth="1"/>
    <col min="3" max="3" width="23.7109375" style="133" customWidth="1"/>
    <col min="4" max="4" width="1.28515625" style="133" customWidth="1"/>
    <col min="5" max="5" width="19" style="147" customWidth="1"/>
    <col min="6" max="6" width="10.7109375" style="147" customWidth="1"/>
    <col min="7" max="7" width="6.140625" style="147" customWidth="1"/>
    <col min="8" max="11" width="10.7109375" style="147" customWidth="1"/>
    <col min="12" max="16384" width="11.42578125" style="147"/>
  </cols>
  <sheetData>
    <row r="1" spans="1:18" s="133" customFormat="1" ht="0.75" customHeight="1"/>
    <row r="2" spans="1:18" s="133" customFormat="1" ht="21" customHeight="1">
      <c r="E2" s="134"/>
      <c r="K2" s="7" t="s">
        <v>87</v>
      </c>
      <c r="R2" s="135"/>
    </row>
    <row r="3" spans="1:18" s="133" customFormat="1" ht="15" customHeight="1">
      <c r="F3" s="136"/>
      <c r="G3" s="136"/>
      <c r="H3" s="136"/>
      <c r="K3" s="7" t="s">
        <v>119</v>
      </c>
      <c r="R3" s="135"/>
    </row>
    <row r="4" spans="1:18" s="137" customFormat="1" ht="20.25" customHeight="1">
      <c r="B4" s="138"/>
      <c r="C4" s="9" t="s">
        <v>136</v>
      </c>
    </row>
    <row r="5" spans="1:18" s="137" customFormat="1" ht="12.6" customHeight="1">
      <c r="B5" s="138"/>
      <c r="C5" s="139"/>
      <c r="G5" s="140"/>
      <c r="H5" s="140"/>
      <c r="I5" s="140"/>
      <c r="J5" s="140"/>
      <c r="K5" s="140"/>
    </row>
    <row r="6" spans="1:18" s="137" customFormat="1" ht="12.6" customHeight="1">
      <c r="B6" s="138"/>
      <c r="C6" s="141"/>
      <c r="D6" s="142"/>
      <c r="E6" s="142"/>
      <c r="G6" s="140"/>
      <c r="H6" s="140"/>
      <c r="I6" s="140"/>
      <c r="J6" s="140"/>
      <c r="K6" s="140"/>
    </row>
    <row r="7" spans="1:18" ht="12.75" customHeight="1">
      <c r="A7" s="137"/>
      <c r="B7" s="138"/>
      <c r="C7" s="623" t="s">
        <v>80</v>
      </c>
      <c r="D7" s="142"/>
      <c r="E7" s="143"/>
      <c r="F7" s="144" t="s">
        <v>58</v>
      </c>
      <c r="G7" s="145"/>
      <c r="H7" s="620" t="s">
        <v>56</v>
      </c>
      <c r="I7" s="620"/>
      <c r="J7" s="620"/>
      <c r="K7" s="146"/>
    </row>
    <row r="8" spans="1:18" ht="12.75" customHeight="1">
      <c r="A8" s="137"/>
      <c r="B8" s="138"/>
      <c r="C8" s="623"/>
      <c r="D8" s="142"/>
      <c r="E8" s="143"/>
      <c r="F8" s="146" t="s">
        <v>57</v>
      </c>
      <c r="G8" s="148"/>
      <c r="H8" s="146" t="s">
        <v>57</v>
      </c>
      <c r="I8" s="146" t="s">
        <v>37</v>
      </c>
      <c r="J8" s="146" t="s">
        <v>38</v>
      </c>
      <c r="K8" s="146" t="s">
        <v>32</v>
      </c>
    </row>
    <row r="9" spans="1:18" ht="12.75" customHeight="1">
      <c r="A9" s="137"/>
      <c r="B9" s="138"/>
      <c r="C9" s="623"/>
      <c r="D9" s="142"/>
      <c r="E9" s="149" t="s">
        <v>59</v>
      </c>
      <c r="F9" s="150">
        <f>SUM(F10:F12)</f>
        <v>21729.688999999998</v>
      </c>
      <c r="G9" s="150"/>
      <c r="H9" s="150">
        <f>SUM(H10:H12)</f>
        <v>19132.852270000007</v>
      </c>
      <c r="I9" s="150">
        <f>SUM(I10:I12)</f>
        <v>1853.6220000000003</v>
      </c>
      <c r="J9" s="150">
        <f>SUM(J10:J12)</f>
        <v>1490.559</v>
      </c>
      <c r="K9" s="150">
        <f>SUM(F9,H9:J9)</f>
        <v>44206.722270000006</v>
      </c>
      <c r="L9" s="151"/>
      <c r="M9" s="151"/>
      <c r="N9" s="151"/>
      <c r="O9" s="152"/>
    </row>
    <row r="10" spans="1:18" ht="12.75" customHeight="1">
      <c r="A10" s="137"/>
      <c r="B10" s="138"/>
      <c r="C10" s="178"/>
      <c r="D10" s="142"/>
      <c r="E10" s="153" t="s">
        <v>60</v>
      </c>
      <c r="F10" s="154">
        <v>21612.699000000001</v>
      </c>
      <c r="G10" s="154"/>
      <c r="H10" s="154">
        <v>18343.372270000007</v>
      </c>
      <c r="I10" s="154">
        <v>1132.662</v>
      </c>
      <c r="J10" s="154">
        <v>1187.4939999999999</v>
      </c>
      <c r="K10" s="154">
        <f>SUM(F10,H10:J10)</f>
        <v>42276.227270000003</v>
      </c>
      <c r="L10" s="151"/>
      <c r="M10" s="155"/>
      <c r="N10" s="151"/>
      <c r="O10" s="152"/>
    </row>
    <row r="11" spans="1:18" ht="12.75" customHeight="1">
      <c r="A11" s="137"/>
      <c r="B11" s="138"/>
      <c r="C11" s="178"/>
      <c r="D11" s="142"/>
      <c r="E11" s="153" t="s">
        <v>61</v>
      </c>
      <c r="F11" s="154">
        <v>28.85</v>
      </c>
      <c r="G11" s="154"/>
      <c r="H11" s="154">
        <v>236</v>
      </c>
      <c r="I11" s="154">
        <v>539.995</v>
      </c>
      <c r="J11" s="154">
        <v>30</v>
      </c>
      <c r="K11" s="154">
        <f>SUM(F11,H11:J11)</f>
        <v>834.84500000000003</v>
      </c>
      <c r="L11" s="151"/>
      <c r="M11" s="155"/>
      <c r="N11" s="151"/>
      <c r="O11" s="156"/>
      <c r="P11" s="157"/>
      <c r="Q11" s="157"/>
      <c r="R11" s="157"/>
    </row>
    <row r="12" spans="1:18" ht="13.5" customHeight="1">
      <c r="A12" s="137"/>
      <c r="B12" s="138"/>
      <c r="C12" s="158"/>
      <c r="D12" s="142"/>
      <c r="E12" s="159" t="s">
        <v>62</v>
      </c>
      <c r="F12" s="154">
        <v>88.14</v>
      </c>
      <c r="G12" s="154"/>
      <c r="H12" s="154">
        <v>553.48</v>
      </c>
      <c r="I12" s="154">
        <v>180.96500000000003</v>
      </c>
      <c r="J12" s="154">
        <v>273.065</v>
      </c>
      <c r="K12" s="154">
        <f>SUM(F12,H12:J12)</f>
        <v>1095.6500000000001</v>
      </c>
      <c r="M12" s="151"/>
    </row>
    <row r="13" spans="1:18" ht="12.75" customHeight="1">
      <c r="A13" s="137"/>
      <c r="B13" s="138"/>
      <c r="C13" s="141"/>
      <c r="D13" s="142"/>
      <c r="E13" s="160" t="s">
        <v>63</v>
      </c>
      <c r="F13" s="161">
        <v>81490.48</v>
      </c>
      <c r="G13" s="161"/>
      <c r="H13" s="161">
        <v>613</v>
      </c>
      <c r="I13" s="161">
        <v>3433</v>
      </c>
      <c r="J13" s="161">
        <v>3310</v>
      </c>
      <c r="K13" s="161">
        <f>SUM(F13,H13:J13)</f>
        <v>88846.48</v>
      </c>
      <c r="L13" s="151"/>
      <c r="M13" s="151"/>
      <c r="N13" s="151"/>
    </row>
    <row r="14" spans="1:18" ht="15" customHeight="1">
      <c r="E14" s="621" t="s">
        <v>133</v>
      </c>
      <c r="F14" s="621"/>
      <c r="G14" s="621"/>
      <c r="H14" s="621"/>
      <c r="I14" s="621"/>
      <c r="J14" s="621"/>
      <c r="K14" s="621"/>
    </row>
    <row r="15" spans="1:18" ht="24" customHeight="1">
      <c r="C15" s="147"/>
      <c r="E15" s="622" t="s">
        <v>465</v>
      </c>
      <c r="F15" s="622"/>
      <c r="G15" s="622"/>
      <c r="H15" s="622"/>
      <c r="I15" s="622"/>
      <c r="J15" s="622"/>
      <c r="K15" s="622"/>
      <c r="M15" s="151"/>
    </row>
    <row r="16" spans="1:18" ht="12.75" customHeight="1">
      <c r="C16" s="147"/>
      <c r="E16" s="162"/>
      <c r="F16" s="162"/>
      <c r="G16" s="163"/>
      <c r="H16" s="163"/>
      <c r="I16" s="163"/>
      <c r="J16" s="163"/>
      <c r="K16" s="163"/>
      <c r="M16" s="152"/>
    </row>
    <row r="17" spans="3:11" ht="12.75" customHeight="1">
      <c r="C17" s="147"/>
      <c r="E17" s="164"/>
      <c r="F17" s="162"/>
      <c r="G17" s="163"/>
      <c r="H17" s="163"/>
      <c r="I17" s="163"/>
      <c r="J17" s="163"/>
      <c r="K17" s="163"/>
    </row>
    <row r="18" spans="3:11" ht="12.75" customHeight="1">
      <c r="C18" s="147"/>
      <c r="E18" s="164"/>
      <c r="F18" s="165"/>
      <c r="G18" s="163"/>
      <c r="H18" s="163"/>
      <c r="I18" s="163"/>
      <c r="J18" s="163"/>
      <c r="K18" s="163"/>
    </row>
    <row r="19" spans="3:11" ht="12.75" customHeight="1">
      <c r="C19" s="147"/>
      <c r="E19" s="164"/>
    </row>
    <row r="20" spans="3:11" ht="12.75" customHeight="1">
      <c r="C20" s="147"/>
      <c r="E20" s="164"/>
      <c r="F20" s="162"/>
      <c r="G20" s="163"/>
      <c r="H20" s="163"/>
      <c r="I20" s="163"/>
      <c r="J20" s="163"/>
      <c r="K20" s="163"/>
    </row>
    <row r="21" spans="3:11" ht="12.75" customHeight="1">
      <c r="F21" s="162"/>
      <c r="G21" s="163"/>
      <c r="H21" s="163"/>
      <c r="I21" s="163"/>
      <c r="J21" s="163"/>
      <c r="K21" s="163"/>
    </row>
    <row r="22" spans="3:11" ht="12.75" customHeight="1">
      <c r="F22" s="165"/>
      <c r="G22" s="166"/>
      <c r="H22" s="166"/>
      <c r="I22" s="166"/>
      <c r="J22" s="166"/>
      <c r="K22" s="166"/>
    </row>
    <row r="23" spans="3:11" ht="12.75" customHeight="1">
      <c r="G23" s="152"/>
      <c r="H23" s="152"/>
      <c r="I23" s="152"/>
      <c r="J23" s="152"/>
      <c r="K23" s="152"/>
    </row>
    <row r="24" spans="3:11" ht="12.75" customHeight="1">
      <c r="F24" s="165"/>
      <c r="G24" s="163"/>
      <c r="H24" s="163"/>
      <c r="I24" s="163"/>
      <c r="J24" s="163"/>
      <c r="K24" s="163"/>
    </row>
    <row r="25" spans="3:11" ht="12.75" customHeight="1"/>
    <row r="26" spans="3:11" ht="12.75" customHeight="1">
      <c r="E26" s="162"/>
      <c r="F26" s="162"/>
      <c r="G26" s="163"/>
      <c r="H26" s="163"/>
      <c r="I26" s="163"/>
      <c r="J26" s="163"/>
      <c r="K26" s="163"/>
    </row>
    <row r="27" spans="3:11" ht="12.75" customHeight="1">
      <c r="F27" s="162"/>
      <c r="G27" s="163"/>
      <c r="H27" s="163"/>
      <c r="I27" s="163"/>
      <c r="J27" s="163"/>
      <c r="K27" s="163"/>
    </row>
    <row r="28" spans="3:11" ht="12.75" customHeight="1">
      <c r="F28" s="165"/>
      <c r="G28" s="163"/>
      <c r="H28" s="163"/>
      <c r="I28" s="163"/>
      <c r="J28" s="163"/>
      <c r="K28" s="163"/>
    </row>
    <row r="29" spans="3:11" ht="12.75" customHeight="1"/>
    <row r="30" spans="3:11" ht="12.75" customHeight="1">
      <c r="G30" s="156"/>
      <c r="H30" s="156"/>
      <c r="I30" s="156"/>
      <c r="J30" s="156"/>
      <c r="K30" s="156"/>
    </row>
    <row r="31" spans="3:11" ht="12.75" customHeight="1"/>
    <row r="32" spans="3:11" ht="12.75" customHeight="1"/>
    <row r="33" ht="12.75" customHeight="1"/>
    <row r="34" ht="12.75" customHeight="1"/>
    <row r="35" ht="12.75" customHeight="1"/>
  </sheetData>
  <mergeCells count="4">
    <mergeCell ref="H7:J7"/>
    <mergeCell ref="E14:K14"/>
    <mergeCell ref="E15:K15"/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50</vt:i4>
      </vt:variant>
      <vt:variant>
        <vt:lpstr>Rangos con nombre</vt:lpstr>
      </vt:variant>
      <vt:variant>
        <vt:i4>25</vt:i4>
      </vt:variant>
    </vt:vector>
  </HeadingPairs>
  <TitlesOfParts>
    <vt:vector size="75" baseType="lpstr">
      <vt:lpstr>Indice</vt:lpstr>
      <vt:lpstr>C1</vt:lpstr>
      <vt:lpstr>C1 CC.AA.</vt:lpstr>
      <vt:lpstr>C1 SISTEMAS</vt:lpstr>
      <vt:lpstr>C2</vt:lpstr>
      <vt:lpstr>C2 CC.AA.</vt:lpstr>
      <vt:lpstr>C2 SISTEMAS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  BALANCE SNP</vt:lpstr>
      <vt:lpstr>C28 POTENCIA SNP</vt:lpstr>
      <vt:lpstr>C27</vt:lpstr>
      <vt:lpstr>C28</vt:lpstr>
      <vt:lpstr>C29</vt:lpstr>
      <vt:lpstr>C30</vt:lpstr>
      <vt:lpstr>C31</vt:lpstr>
      <vt:lpstr>C32</vt:lpstr>
      <vt:lpstr>C33</vt:lpstr>
      <vt:lpstr>C34</vt:lpstr>
      <vt:lpstr>C35</vt:lpstr>
      <vt:lpstr>C36</vt:lpstr>
      <vt:lpstr>C37</vt:lpstr>
      <vt:lpstr>C38</vt:lpstr>
      <vt:lpstr>Data 1</vt:lpstr>
      <vt:lpstr>Data 2</vt:lpstr>
      <vt:lpstr>Data 3</vt:lpstr>
      <vt:lpstr>Data 4</vt:lpstr>
      <vt:lpstr>Data 5</vt:lpstr>
      <vt:lpstr>'C1 CC.AA.'!Área_de_impresión</vt:lpstr>
      <vt:lpstr>'C1 SISTEMAS'!Área_de_impresión</vt:lpstr>
      <vt:lpstr>'C10'!Área_de_impresión</vt:lpstr>
      <vt:lpstr>'C15'!Área_de_impresión</vt:lpstr>
      <vt:lpstr>'C16'!Área_de_impresión</vt:lpstr>
      <vt:lpstr>'C17'!Área_de_impresión</vt:lpstr>
      <vt:lpstr>'C18'!Área_de_impresión</vt:lpstr>
      <vt:lpstr>'C2 CC.AA.'!Área_de_impresión</vt:lpstr>
      <vt:lpstr>'C2 SISTEMAS'!Área_de_impresión</vt:lpstr>
      <vt:lpstr>'C20'!Área_de_impresión</vt:lpstr>
      <vt:lpstr>'C22'!Área_de_impresión</vt:lpstr>
      <vt:lpstr>'C23'!Área_de_impresión</vt:lpstr>
      <vt:lpstr>'C26'!Área_de_impresión</vt:lpstr>
      <vt:lpstr>'C27  BALANCE SNP'!Área_de_impresión</vt:lpstr>
      <vt:lpstr>'C28'!Área_de_impresión</vt:lpstr>
      <vt:lpstr>'C28 POTENCIA SNP'!Área_de_impresión</vt:lpstr>
      <vt:lpstr>'C29'!Área_de_impresión</vt:lpstr>
      <vt:lpstr>'C3'!Área_de_impresión</vt:lpstr>
      <vt:lpstr>'C30'!Área_de_impresión</vt:lpstr>
      <vt:lpstr>'C31'!Área_de_impresión</vt:lpstr>
      <vt:lpstr>'C4'!Área_de_impresión</vt:lpstr>
      <vt:lpstr>'C7'!Área_de_impresión</vt:lpstr>
      <vt:lpstr>'C8'!Área_de_impresión</vt:lpstr>
      <vt:lpstr>'Data 1'!Área_de_impresión</vt:lpstr>
      <vt:lpstr>Indice!Área_de_impresión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DE HEREDIA</dc:creator>
  <cp:lastModifiedBy>Sevilla Penas, Marta</cp:lastModifiedBy>
  <cp:lastPrinted>2016-12-14T13:44:14Z</cp:lastPrinted>
  <dcterms:created xsi:type="dcterms:W3CDTF">2002-12-11T10:33:24Z</dcterms:created>
  <dcterms:modified xsi:type="dcterms:W3CDTF">2019-02-05T14:51:28Z</dcterms:modified>
</cp:coreProperties>
</file>