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ornt8\comunicacion\Gabinete_Prensa\COMUN\WEBREE\PREAVANCE\ingles\"/>
    </mc:Choice>
  </mc:AlternateContent>
  <bookViews>
    <workbookView xWindow="0" yWindow="0" windowWidth="28800" windowHeight="12165"/>
  </bookViews>
  <sheets>
    <sheet name="BALANCE" sheetId="23" r:id="rId1"/>
    <sheet name="DEMANDA" sheetId="25" r:id="rId2"/>
    <sheet name="PRODUCCION Y TRANSPORTE" sheetId="26" r:id="rId3"/>
    <sheet name="Data " sheetId="2" r:id="rId4"/>
    <sheet name="C6 (OPCION C)" sheetId="14" state="hidden" r:id="rId5"/>
  </sheets>
  <definedNames>
    <definedName name="_xlnm.Print_Area" localSheetId="0">BALANCE!$A$1:$P$35</definedName>
    <definedName name="_xlnm.Print_Area" localSheetId="1">DEMANDA!$A$1:$M$15</definedName>
    <definedName name="_xlnm.Print_Area" localSheetId="2">'PRODUCCION Y TRANSPORTE'!$A$1:$Q$30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c" localSheetId="0">BALANCE!ccc</definedName>
    <definedName name="ccc">#N/A</definedName>
    <definedName name="CUADRO_ANTERIOR" localSheetId="0">BALANCE!CUADRO_ANTERIOR</definedName>
    <definedName name="CUADRO_ANTERIOR">#N/A</definedName>
    <definedName name="CUADRO_PROXIMO" localSheetId="0">BALANCE!CUADRO_PROXIMO</definedName>
    <definedName name="CUADRO_PROXIMO">#N/A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FINALIZAR" localSheetId="0">BALANCE!FINALIZAR</definedName>
    <definedName name="FINALIZAR">#N/A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IMPRESION" localSheetId="0">BALANCE!IMPRESION</definedName>
    <definedName name="IMPRESION">#N/A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n" localSheetId="0">BALANCE!nnn</definedName>
    <definedName name="nnn">#N/A</definedName>
    <definedName name="nnnn" localSheetId="0">BALANCE!nnnn</definedName>
    <definedName name="nnnn">#N/A</definedName>
    <definedName name="nu">#N/A</definedName>
    <definedName name="PRINCIPAL" localSheetId="0">BALANCE!PRINCIPAL</definedName>
    <definedName name="PRINCIPAL">#N/A</definedName>
    <definedName name="rosa">#N/A</definedName>
    <definedName name="rosa2">#N/A</definedName>
    <definedName name="VV">#N/A</definedName>
    <definedName name="wrn.Completo.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x">#N/A</definedName>
    <definedName name="XX" localSheetId="0">BALANCE!XX</definedName>
    <definedName name="XX">#N/A</definedName>
    <definedName name="xxx" localSheetId="0">BALANCE!xxx</definedName>
    <definedName name="xxx">#N/A</definedName>
    <definedName name="XXXX">#N/A</definedName>
    <definedName name="xxxxx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4" i="26" l="1"/>
  <c r="I27" i="26"/>
  <c r="F27" i="26"/>
  <c r="C27" i="26"/>
  <c r="E13" i="25" l="1"/>
  <c r="G12" i="25"/>
  <c r="G13" i="25"/>
  <c r="E8" i="25"/>
  <c r="O8" i="23"/>
  <c r="M8" i="23"/>
  <c r="K8" i="23"/>
  <c r="I8" i="23"/>
  <c r="G8" i="23"/>
  <c r="E8" i="23"/>
  <c r="D158" i="2" l="1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57" i="2" s="1"/>
  <c r="D139" i="2"/>
  <c r="C139" i="2"/>
  <c r="C158" i="2" s="1"/>
  <c r="C138" i="2"/>
  <c r="C157" i="2" s="1"/>
  <c r="C137" i="2"/>
  <c r="C136" i="2"/>
  <c r="C135" i="2"/>
  <c r="C134" i="2"/>
  <c r="C133" i="2"/>
  <c r="C132" i="2"/>
  <c r="C131" i="2"/>
  <c r="C130" i="2"/>
  <c r="C129" i="2"/>
  <c r="C128" i="2"/>
  <c r="C127" i="2"/>
  <c r="E13" i="23" l="1"/>
  <c r="D84" i="2"/>
  <c r="E84" i="2"/>
  <c r="F84" i="2"/>
  <c r="G84" i="2"/>
  <c r="H84" i="2"/>
  <c r="I84" i="2"/>
  <c r="J84" i="2"/>
  <c r="D85" i="2"/>
  <c r="E85" i="2"/>
  <c r="F85" i="2"/>
  <c r="G85" i="2"/>
  <c r="H85" i="2"/>
  <c r="I85" i="2"/>
  <c r="J85" i="2"/>
  <c r="D86" i="2"/>
  <c r="E86" i="2"/>
  <c r="F86" i="2"/>
  <c r="G86" i="2"/>
  <c r="H86" i="2"/>
  <c r="I86" i="2"/>
  <c r="J86" i="2"/>
  <c r="D87" i="2"/>
  <c r="E87" i="2"/>
  <c r="F87" i="2"/>
  <c r="G87" i="2"/>
  <c r="H87" i="2"/>
  <c r="I87" i="2"/>
  <c r="J87" i="2"/>
  <c r="D89" i="2"/>
  <c r="E89" i="2"/>
  <c r="F89" i="2"/>
  <c r="G89" i="2"/>
  <c r="H89" i="2"/>
  <c r="I89" i="2"/>
  <c r="J89" i="2"/>
  <c r="D90" i="2"/>
  <c r="E90" i="2"/>
  <c r="F90" i="2"/>
  <c r="G90" i="2"/>
  <c r="H90" i="2"/>
  <c r="I90" i="2"/>
  <c r="J90" i="2"/>
  <c r="D91" i="2"/>
  <c r="E91" i="2"/>
  <c r="F91" i="2"/>
  <c r="G91" i="2"/>
  <c r="H91" i="2"/>
  <c r="I91" i="2"/>
  <c r="J91" i="2"/>
  <c r="D92" i="2"/>
  <c r="E92" i="2"/>
  <c r="F92" i="2"/>
  <c r="G92" i="2"/>
  <c r="H92" i="2"/>
  <c r="I92" i="2"/>
  <c r="J92" i="2"/>
  <c r="D93" i="2"/>
  <c r="E93" i="2"/>
  <c r="F93" i="2"/>
  <c r="G93" i="2"/>
  <c r="H93" i="2"/>
  <c r="I93" i="2"/>
  <c r="J93" i="2"/>
  <c r="D94" i="2"/>
  <c r="E94" i="2"/>
  <c r="F94" i="2"/>
  <c r="G94" i="2"/>
  <c r="H94" i="2"/>
  <c r="I94" i="2"/>
  <c r="J94" i="2"/>
  <c r="D95" i="2"/>
  <c r="E95" i="2"/>
  <c r="F95" i="2"/>
  <c r="G95" i="2"/>
  <c r="H95" i="2"/>
  <c r="I95" i="2"/>
  <c r="J95" i="2"/>
  <c r="D96" i="2"/>
  <c r="E96" i="2"/>
  <c r="F96" i="2"/>
  <c r="G96" i="2"/>
  <c r="H96" i="2"/>
  <c r="I96" i="2"/>
  <c r="J96" i="2"/>
  <c r="D97" i="2"/>
  <c r="E97" i="2"/>
  <c r="F97" i="2"/>
  <c r="G97" i="2"/>
  <c r="H97" i="2"/>
  <c r="I97" i="2"/>
  <c r="J97" i="2"/>
  <c r="D99" i="2"/>
  <c r="E99" i="2"/>
  <c r="F99" i="2"/>
  <c r="G99" i="2"/>
  <c r="H99" i="2"/>
  <c r="I99" i="2"/>
  <c r="J99" i="2"/>
  <c r="D100" i="2"/>
  <c r="E100" i="2"/>
  <c r="F100" i="2"/>
  <c r="G100" i="2"/>
  <c r="H100" i="2"/>
  <c r="I100" i="2"/>
  <c r="J100" i="2"/>
  <c r="C99" i="2"/>
  <c r="C85" i="2"/>
  <c r="C84" i="2"/>
  <c r="C100" i="2"/>
  <c r="C97" i="2"/>
  <c r="C96" i="2"/>
  <c r="C95" i="2"/>
  <c r="C94" i="2"/>
  <c r="C93" i="2"/>
  <c r="C92" i="2"/>
  <c r="C91" i="2"/>
  <c r="C90" i="2"/>
  <c r="C89" i="2"/>
  <c r="C87" i="2"/>
  <c r="C86" i="2"/>
  <c r="J74" i="2"/>
  <c r="J79" i="2" s="1"/>
  <c r="J80" i="2" s="1"/>
  <c r="I74" i="2"/>
  <c r="I79" i="2" s="1"/>
  <c r="I80" i="2" s="1"/>
  <c r="H74" i="2"/>
  <c r="H79" i="2" s="1"/>
  <c r="H80" i="2" s="1"/>
  <c r="G74" i="2"/>
  <c r="G79" i="2" s="1"/>
  <c r="G80" i="2" s="1"/>
  <c r="F74" i="2"/>
  <c r="F79" i="2" s="1"/>
  <c r="F80" i="2" s="1"/>
  <c r="E74" i="2"/>
  <c r="E79" i="2" s="1"/>
  <c r="E80" i="2" s="1"/>
  <c r="D74" i="2"/>
  <c r="D79" i="2" s="1"/>
  <c r="D80" i="2" s="1"/>
  <c r="C74" i="2"/>
  <c r="C79" i="2" s="1"/>
  <c r="C80" i="2" s="1"/>
  <c r="L22" i="23"/>
  <c r="L21" i="23"/>
  <c r="L17" i="23"/>
  <c r="J66" i="2"/>
  <c r="J67" i="2" s="1"/>
  <c r="J68" i="2" s="1"/>
  <c r="I66" i="2"/>
  <c r="I67" i="2" s="1"/>
  <c r="I68" i="2" s="1"/>
  <c r="H66" i="2"/>
  <c r="H67" i="2" s="1"/>
  <c r="H68" i="2" s="1"/>
  <c r="G66" i="2"/>
  <c r="G67" i="2" s="1"/>
  <c r="G68" i="2" s="1"/>
  <c r="F66" i="2"/>
  <c r="F67" i="2" s="1"/>
  <c r="F68" i="2" s="1"/>
  <c r="E66" i="2"/>
  <c r="E67" i="2" s="1"/>
  <c r="E68" i="2" s="1"/>
  <c r="D66" i="2"/>
  <c r="D67" i="2" s="1"/>
  <c r="D68" i="2" s="1"/>
  <c r="C66" i="2"/>
  <c r="C67" i="2" s="1"/>
  <c r="C68" i="2" s="1"/>
  <c r="J51" i="2"/>
  <c r="J59" i="2" s="1"/>
  <c r="J60" i="2" s="1"/>
  <c r="I51" i="2"/>
  <c r="I59" i="2" s="1"/>
  <c r="I60" i="2" s="1"/>
  <c r="H51" i="2"/>
  <c r="H59" i="2" s="1"/>
  <c r="H60" i="2" s="1"/>
  <c r="G51" i="2"/>
  <c r="G59" i="2" s="1"/>
  <c r="G60" i="2" s="1"/>
  <c r="F51" i="2"/>
  <c r="F59" i="2" s="1"/>
  <c r="F60" i="2" s="1"/>
  <c r="E51" i="2"/>
  <c r="E59" i="2" s="1"/>
  <c r="E60" i="2" s="1"/>
  <c r="D51" i="2"/>
  <c r="C51" i="2"/>
  <c r="C59" i="2" s="1"/>
  <c r="C60" i="2" s="1"/>
  <c r="H19" i="23"/>
  <c r="H17" i="23"/>
  <c r="H16" i="23"/>
  <c r="H15" i="23"/>
  <c r="K90" i="2"/>
  <c r="H14" i="23"/>
  <c r="H9" i="23"/>
  <c r="J32" i="2"/>
  <c r="J41" i="2" s="1"/>
  <c r="J43" i="2" s="1"/>
  <c r="I32" i="2"/>
  <c r="H32" i="2"/>
  <c r="G32" i="2"/>
  <c r="G41" i="2" s="1"/>
  <c r="G43" i="2" s="1"/>
  <c r="F32" i="2"/>
  <c r="F41" i="2" s="1"/>
  <c r="F43" i="2" s="1"/>
  <c r="E32" i="2"/>
  <c r="D32" i="2"/>
  <c r="C32" i="2"/>
  <c r="C41" i="2" s="1"/>
  <c r="C43" i="2" s="1"/>
  <c r="J21" i="2"/>
  <c r="J25" i="2" s="1"/>
  <c r="I21" i="2"/>
  <c r="I25" i="2" s="1"/>
  <c r="H21" i="2"/>
  <c r="H25" i="2" s="1"/>
  <c r="G21" i="2"/>
  <c r="G25" i="2" s="1"/>
  <c r="F21" i="2"/>
  <c r="F25" i="2" s="1"/>
  <c r="E21" i="2"/>
  <c r="E25" i="2" s="1"/>
  <c r="D21" i="2"/>
  <c r="D25" i="2" s="1"/>
  <c r="C21" i="2"/>
  <c r="C25" i="2" s="1"/>
  <c r="L90" i="2" l="1"/>
  <c r="N15" i="23" s="1"/>
  <c r="J88" i="2"/>
  <c r="J98" i="2" s="1"/>
  <c r="J101" i="2" s="1"/>
  <c r="F88" i="2"/>
  <c r="D41" i="2"/>
  <c r="D43" i="2" s="1"/>
  <c r="D88" i="2"/>
  <c r="D98" i="2" s="1"/>
  <c r="D101" i="2" s="1"/>
  <c r="H41" i="2"/>
  <c r="H43" i="2" s="1"/>
  <c r="H88" i="2"/>
  <c r="H98" i="2" s="1"/>
  <c r="H101" i="2" s="1"/>
  <c r="F98" i="2"/>
  <c r="F101" i="2" s="1"/>
  <c r="E41" i="2"/>
  <c r="E43" i="2" s="1"/>
  <c r="E88" i="2"/>
  <c r="E98" i="2" s="1"/>
  <c r="E101" i="2" s="1"/>
  <c r="I41" i="2"/>
  <c r="I43" i="2" s="1"/>
  <c r="I88" i="2"/>
  <c r="I98" i="2" s="1"/>
  <c r="I101" i="2" s="1"/>
  <c r="K74" i="2"/>
  <c r="K79" i="2" s="1"/>
  <c r="C88" i="2"/>
  <c r="C98" i="2" s="1"/>
  <c r="C101" i="2" s="1"/>
  <c r="G88" i="2"/>
  <c r="G98" i="2" s="1"/>
  <c r="G101" i="2" s="1"/>
  <c r="M77" i="2"/>
  <c r="M22" i="23" s="1"/>
  <c r="M73" i="2"/>
  <c r="M75" i="2"/>
  <c r="M17" i="23" s="1"/>
  <c r="L74" i="2"/>
  <c r="L13" i="23" s="1"/>
  <c r="M76" i="2"/>
  <c r="M21" i="23" s="1"/>
  <c r="M72" i="2"/>
  <c r="M64" i="2"/>
  <c r="K66" i="2"/>
  <c r="K67" i="2" s="1"/>
  <c r="K68" i="2" s="1"/>
  <c r="M65" i="2"/>
  <c r="L66" i="2"/>
  <c r="D59" i="2"/>
  <c r="D60" i="2" s="1"/>
  <c r="M52" i="2"/>
  <c r="I14" i="23" s="1"/>
  <c r="M57" i="2"/>
  <c r="I19" i="23" s="1"/>
  <c r="L51" i="2"/>
  <c r="K32" i="2"/>
  <c r="K41" i="2" s="1"/>
  <c r="K43" i="2" s="1"/>
  <c r="M48" i="2"/>
  <c r="M50" i="2"/>
  <c r="M55" i="2"/>
  <c r="I16" i="23" s="1"/>
  <c r="K51" i="2"/>
  <c r="K59" i="2" s="1"/>
  <c r="K60" i="2" s="1"/>
  <c r="M49" i="2"/>
  <c r="M54" i="2"/>
  <c r="I15" i="23" s="1"/>
  <c r="M56" i="2"/>
  <c r="I17" i="23" s="1"/>
  <c r="M47" i="2"/>
  <c r="I9" i="23" s="1"/>
  <c r="M34" i="2"/>
  <c r="M90" i="2" l="1"/>
  <c r="O15" i="23" s="1"/>
  <c r="L67" i="2"/>
  <c r="L68" i="2" s="1"/>
  <c r="J13" i="23"/>
  <c r="L59" i="2"/>
  <c r="I13" i="23"/>
  <c r="H13" i="23"/>
  <c r="L79" i="2"/>
  <c r="K80" i="2"/>
  <c r="M74" i="2"/>
  <c r="M13" i="23" s="1"/>
  <c r="M66" i="2"/>
  <c r="M51" i="2"/>
  <c r="M67" i="2" l="1"/>
  <c r="K23" i="23" s="1"/>
  <c r="K13" i="23"/>
  <c r="L60" i="2"/>
  <c r="M60" i="2" s="1"/>
  <c r="M59" i="2"/>
  <c r="I23" i="23" s="1"/>
  <c r="L80" i="2"/>
  <c r="M79" i="2"/>
  <c r="M23" i="23" s="1"/>
  <c r="M80" i="2"/>
  <c r="M68" i="2"/>
  <c r="I27" i="23" l="1"/>
  <c r="J11" i="25"/>
  <c r="K27" i="23"/>
  <c r="K11" i="25"/>
  <c r="M27" i="23"/>
  <c r="L11" i="25"/>
  <c r="K100" i="2"/>
  <c r="K99" i="2"/>
  <c r="L139" i="2"/>
  <c r="L138" i="2"/>
  <c r="L137" i="2"/>
  <c r="L136" i="2"/>
  <c r="L135" i="2"/>
  <c r="L134" i="2"/>
  <c r="L133" i="2"/>
  <c r="L132" i="2"/>
  <c r="L131" i="2"/>
  <c r="L130" i="2"/>
  <c r="L129" i="2"/>
  <c r="L128" i="2"/>
  <c r="L127" i="2"/>
  <c r="M24" i="2" l="1"/>
  <c r="E26" i="23" s="1"/>
  <c r="K88" i="2"/>
  <c r="K131" i="2"/>
  <c r="K95" i="2"/>
  <c r="K137" i="2"/>
  <c r="K85" i="2"/>
  <c r="K128" i="2"/>
  <c r="K87" i="2"/>
  <c r="K130" i="2"/>
  <c r="K89" i="2"/>
  <c r="K132" i="2"/>
  <c r="K92" i="2"/>
  <c r="K134" i="2"/>
  <c r="K94" i="2"/>
  <c r="K136" i="2"/>
  <c r="K96" i="2"/>
  <c r="K138" i="2"/>
  <c r="K84" i="2"/>
  <c r="K127" i="2"/>
  <c r="K86" i="2"/>
  <c r="K129" i="2"/>
  <c r="K91" i="2"/>
  <c r="K133" i="2"/>
  <c r="K93" i="2"/>
  <c r="K135" i="2"/>
  <c r="K97" i="2"/>
  <c r="K139" i="2"/>
  <c r="D25" i="23"/>
  <c r="L22" i="26"/>
  <c r="D9" i="23"/>
  <c r="L84" i="2"/>
  <c r="D11" i="23"/>
  <c r="L86" i="2"/>
  <c r="D13" i="23"/>
  <c r="D16" i="23"/>
  <c r="D18" i="23"/>
  <c r="L93" i="2"/>
  <c r="D20" i="23"/>
  <c r="D22" i="23"/>
  <c r="L85" i="2"/>
  <c r="D10" i="23"/>
  <c r="D12" i="23"/>
  <c r="D14" i="23"/>
  <c r="D17" i="23"/>
  <c r="D19" i="23"/>
  <c r="D21" i="23"/>
  <c r="L99" i="2"/>
  <c r="D24" i="23"/>
  <c r="D26" i="23"/>
  <c r="L100" i="2"/>
  <c r="M9" i="2"/>
  <c r="E10" i="23" s="1"/>
  <c r="M11" i="2"/>
  <c r="E12" i="23" s="1"/>
  <c r="M8" i="2"/>
  <c r="E9" i="23" s="1"/>
  <c r="M10" i="2"/>
  <c r="E11" i="23" s="1"/>
  <c r="M14" i="2"/>
  <c r="E16" i="23" s="1"/>
  <c r="M18" i="2"/>
  <c r="E20" i="23" s="1"/>
  <c r="M23" i="2"/>
  <c r="M16" i="2"/>
  <c r="E18" i="23" s="1"/>
  <c r="M20" i="2"/>
  <c r="E22" i="23" s="1"/>
  <c r="M13" i="2"/>
  <c r="E14" i="23" s="1"/>
  <c r="M15" i="2"/>
  <c r="E17" i="23" s="1"/>
  <c r="M17" i="2"/>
  <c r="E19" i="23" s="1"/>
  <c r="M19" i="2"/>
  <c r="E21" i="23" s="1"/>
  <c r="M22" i="2"/>
  <c r="E24" i="23" s="1"/>
  <c r="K21" i="2"/>
  <c r="L21" i="2"/>
  <c r="I6" i="26" s="1"/>
  <c r="K98" i="2" l="1"/>
  <c r="K101" i="2" s="1"/>
  <c r="K25" i="2"/>
  <c r="I13" i="26"/>
  <c r="E25" i="23"/>
  <c r="L27" i="26"/>
  <c r="N24" i="23"/>
  <c r="M99" i="2"/>
  <c r="O24" i="23" s="1"/>
  <c r="N10" i="23"/>
  <c r="M85" i="2"/>
  <c r="O10" i="23" s="1"/>
  <c r="N11" i="23"/>
  <c r="M86" i="2"/>
  <c r="O11" i="23" s="1"/>
  <c r="N26" i="23"/>
  <c r="M100" i="2"/>
  <c r="O26" i="23" s="1"/>
  <c r="N18" i="23"/>
  <c r="M93" i="2"/>
  <c r="O18" i="23" s="1"/>
  <c r="N9" i="23"/>
  <c r="M84" i="2"/>
  <c r="O9" i="23" s="1"/>
  <c r="D23" i="23"/>
  <c r="L25" i="2"/>
  <c r="M21" i="2"/>
  <c r="E23" i="23" s="1"/>
  <c r="M25" i="2" l="1"/>
  <c r="C11" i="25" s="1"/>
  <c r="C8" i="25"/>
  <c r="D212" i="2"/>
  <c r="D213" i="2" s="1"/>
  <c r="E212" i="2"/>
  <c r="E213" i="2" s="1"/>
  <c r="G212" i="2"/>
  <c r="G213" i="2" s="1"/>
  <c r="F212" i="2"/>
  <c r="F213" i="2" s="1"/>
  <c r="H212" i="2"/>
  <c r="H213" i="2" s="1"/>
  <c r="E27" i="23" l="1"/>
  <c r="M180" i="2" l="1"/>
  <c r="M184" i="2"/>
  <c r="M181" i="2"/>
  <c r="M182" i="2"/>
  <c r="M183" i="2"/>
  <c r="M177" i="2"/>
  <c r="M175" i="2"/>
  <c r="M174" i="2"/>
  <c r="M173" i="2"/>
  <c r="N210" i="2" l="1"/>
  <c r="M212" i="2"/>
  <c r="M213" i="2" s="1"/>
  <c r="O22" i="26" s="1"/>
  <c r="N209" i="2"/>
  <c r="N207" i="2"/>
  <c r="K212" i="2" l="1"/>
  <c r="K213" i="2" s="1"/>
  <c r="J212" i="2"/>
  <c r="J213" i="2" s="1"/>
  <c r="I212" i="2"/>
  <c r="I213" i="2" s="1"/>
  <c r="L212" i="2"/>
  <c r="L213" i="2" s="1"/>
  <c r="N211" i="2"/>
  <c r="N212" i="2" s="1"/>
  <c r="N213" i="2" s="1"/>
  <c r="C12" i="25"/>
  <c r="M195" i="2" l="1"/>
  <c r="M196" i="2"/>
  <c r="M197" i="2"/>
  <c r="M194" i="2"/>
  <c r="M190" i="2"/>
  <c r="M191" i="2"/>
  <c r="M192" i="2"/>
  <c r="M189" i="2"/>
  <c r="C202" i="2" l="1"/>
  <c r="C201" i="2"/>
  <c r="C200" i="2"/>
  <c r="C199" i="2"/>
  <c r="C198" i="2"/>
  <c r="C193" i="2"/>
  <c r="E198" i="2"/>
  <c r="F198" i="2"/>
  <c r="G198" i="2"/>
  <c r="H198" i="2"/>
  <c r="I198" i="2"/>
  <c r="J198" i="2"/>
  <c r="K198" i="2"/>
  <c r="L198" i="2"/>
  <c r="E199" i="2"/>
  <c r="F199" i="2"/>
  <c r="G199" i="2"/>
  <c r="H199" i="2"/>
  <c r="I199" i="2"/>
  <c r="J199" i="2"/>
  <c r="K199" i="2"/>
  <c r="L199" i="2"/>
  <c r="E200" i="2"/>
  <c r="F200" i="2"/>
  <c r="G200" i="2"/>
  <c r="H200" i="2"/>
  <c r="I200" i="2"/>
  <c r="J200" i="2"/>
  <c r="K200" i="2"/>
  <c r="L200" i="2"/>
  <c r="E201" i="2"/>
  <c r="F201" i="2"/>
  <c r="G201" i="2"/>
  <c r="H201" i="2"/>
  <c r="I201" i="2"/>
  <c r="J201" i="2"/>
  <c r="K201" i="2"/>
  <c r="L201" i="2"/>
  <c r="E202" i="2"/>
  <c r="F202" i="2"/>
  <c r="G202" i="2"/>
  <c r="H202" i="2"/>
  <c r="H203" i="2" s="1"/>
  <c r="I202" i="2"/>
  <c r="J202" i="2"/>
  <c r="K202" i="2"/>
  <c r="L202" i="2"/>
  <c r="E203" i="2"/>
  <c r="F203" i="2"/>
  <c r="G203" i="2"/>
  <c r="E193" i="2"/>
  <c r="F193" i="2"/>
  <c r="G193" i="2"/>
  <c r="H193" i="2"/>
  <c r="I193" i="2"/>
  <c r="J193" i="2"/>
  <c r="K193" i="2"/>
  <c r="L193" i="2"/>
  <c r="D202" i="2"/>
  <c r="D200" i="2"/>
  <c r="D201" i="2"/>
  <c r="D199" i="2"/>
  <c r="D198" i="2"/>
  <c r="D193" i="2"/>
  <c r="K203" i="2" l="1"/>
  <c r="M202" i="2"/>
  <c r="M201" i="2"/>
  <c r="M200" i="2"/>
  <c r="M199" i="2"/>
  <c r="I22" i="26"/>
  <c r="M193" i="2"/>
  <c r="I24" i="26"/>
  <c r="M198" i="2"/>
  <c r="I203" i="2"/>
  <c r="D203" i="2"/>
  <c r="J203" i="2"/>
  <c r="C203" i="2"/>
  <c r="L203" i="2"/>
  <c r="I26" i="26" l="1"/>
  <c r="M203" i="2"/>
  <c r="K185" i="2"/>
  <c r="J185" i="2"/>
  <c r="I185" i="2"/>
  <c r="H185" i="2"/>
  <c r="G185" i="2"/>
  <c r="F185" i="2"/>
  <c r="E185" i="2"/>
  <c r="D185" i="2"/>
  <c r="C185" i="2"/>
  <c r="D145" i="2" l="1"/>
  <c r="D166" i="2" s="1"/>
  <c r="E145" i="2"/>
  <c r="E166" i="2" s="1"/>
  <c r="F145" i="2"/>
  <c r="F166" i="2" s="1"/>
  <c r="G145" i="2"/>
  <c r="G166" i="2" s="1"/>
  <c r="H145" i="2"/>
  <c r="H166" i="2" s="1"/>
  <c r="I145" i="2"/>
  <c r="I166" i="2" s="1"/>
  <c r="J145" i="2"/>
  <c r="J166" i="2" s="1"/>
  <c r="K145" i="2"/>
  <c r="K166" i="2" s="1"/>
  <c r="L145" i="2"/>
  <c r="L166" i="2" s="1"/>
  <c r="C145" i="2"/>
  <c r="C166" i="2" s="1"/>
  <c r="G10" i="25" l="1"/>
  <c r="E10" i="25"/>
  <c r="G8" i="25"/>
  <c r="H23" i="23" l="1"/>
  <c r="H27" i="23" s="1"/>
  <c r="M134" i="2" l="1"/>
  <c r="M129" i="2"/>
  <c r="M132" i="2"/>
  <c r="M139" i="2"/>
  <c r="M137" i="2"/>
  <c r="M131" i="2"/>
  <c r="M130" i="2"/>
  <c r="M133" i="2"/>
  <c r="M136" i="2"/>
  <c r="M128" i="2"/>
  <c r="M135" i="2"/>
  <c r="M127" i="2"/>
  <c r="D27" i="23"/>
  <c r="M138" i="2"/>
  <c r="G141" i="2" l="1"/>
  <c r="F141" i="2"/>
  <c r="E141" i="2"/>
  <c r="D141" i="2"/>
  <c r="C141" i="2"/>
  <c r="G140" i="2"/>
  <c r="F140" i="2"/>
  <c r="E140" i="2"/>
  <c r="D140" i="2"/>
  <c r="C140" i="2"/>
  <c r="C142" i="2" l="1"/>
  <c r="C152" i="2" s="1"/>
  <c r="G142" i="2"/>
  <c r="G152" i="2" s="1"/>
  <c r="F142" i="2"/>
  <c r="F153" i="2" s="1"/>
  <c r="D142" i="2"/>
  <c r="D155" i="2" s="1"/>
  <c r="E142" i="2"/>
  <c r="G148" i="2" l="1"/>
  <c r="F151" i="2"/>
  <c r="G146" i="2"/>
  <c r="G153" i="2"/>
  <c r="F148" i="2"/>
  <c r="F150" i="2"/>
  <c r="F146" i="2"/>
  <c r="F149" i="2"/>
  <c r="G155" i="2"/>
  <c r="G154" i="2"/>
  <c r="G149" i="2"/>
  <c r="G151" i="2"/>
  <c r="G150" i="2"/>
  <c r="G157" i="2"/>
  <c r="C148" i="2"/>
  <c r="G147" i="2"/>
  <c r="G158" i="2"/>
  <c r="D149" i="2"/>
  <c r="D151" i="2"/>
  <c r="C146" i="2"/>
  <c r="C150" i="2"/>
  <c r="C153" i="2"/>
  <c r="C151" i="2"/>
  <c r="C155" i="2"/>
  <c r="C154" i="2"/>
  <c r="C149" i="2"/>
  <c r="F157" i="2"/>
  <c r="F154" i="2"/>
  <c r="C147" i="2"/>
  <c r="F155" i="2"/>
  <c r="F158" i="2"/>
  <c r="D154" i="2"/>
  <c r="D148" i="2"/>
  <c r="F152" i="2"/>
  <c r="F147" i="2"/>
  <c r="D153" i="2"/>
  <c r="D152" i="2"/>
  <c r="D147" i="2"/>
  <c r="D150" i="2"/>
  <c r="D146" i="2"/>
  <c r="E150" i="2"/>
  <c r="E154" i="2"/>
  <c r="E146" i="2"/>
  <c r="E147" i="2"/>
  <c r="E151" i="2"/>
  <c r="E155" i="2"/>
  <c r="E148" i="2"/>
  <c r="E152" i="2"/>
  <c r="E157" i="2"/>
  <c r="E149" i="2"/>
  <c r="E153" i="2"/>
  <c r="E158" i="2"/>
  <c r="G159" i="2" l="1"/>
  <c r="G156" i="2"/>
  <c r="G168" i="2" s="1"/>
  <c r="F159" i="2"/>
  <c r="G167" i="2"/>
  <c r="C167" i="2"/>
  <c r="C156" i="2"/>
  <c r="C160" i="2" s="1"/>
  <c r="D167" i="2"/>
  <c r="C159" i="2"/>
  <c r="F167" i="2"/>
  <c r="D159" i="2"/>
  <c r="F156" i="2"/>
  <c r="D156" i="2"/>
  <c r="D160" i="2" s="1"/>
  <c r="E167" i="2"/>
  <c r="E156" i="2"/>
  <c r="E168" i="2" s="1"/>
  <c r="E159" i="2"/>
  <c r="G160" i="2" l="1"/>
  <c r="G161" i="2" s="1"/>
  <c r="C168" i="2"/>
  <c r="D161" i="2"/>
  <c r="C161" i="2"/>
  <c r="D168" i="2"/>
  <c r="F160" i="2"/>
  <c r="F161" i="2" s="1"/>
  <c r="F168" i="2"/>
  <c r="E160" i="2"/>
  <c r="E161" i="2" s="1"/>
  <c r="I140" i="2" l="1"/>
  <c r="J140" i="2"/>
  <c r="K140" i="2"/>
  <c r="L140" i="2"/>
  <c r="I141" i="2"/>
  <c r="I142" i="2" s="1"/>
  <c r="I147" i="2" s="1"/>
  <c r="J141" i="2"/>
  <c r="K141" i="2"/>
  <c r="L141" i="2"/>
  <c r="H141" i="2"/>
  <c r="H140" i="2"/>
  <c r="M140" i="2" l="1"/>
  <c r="M141" i="2"/>
  <c r="C22" i="26"/>
  <c r="K142" i="2"/>
  <c r="K147" i="2" s="1"/>
  <c r="J142" i="2"/>
  <c r="J147" i="2" s="1"/>
  <c r="H142" i="2"/>
  <c r="H148" i="2" s="1"/>
  <c r="I152" i="2"/>
  <c r="I146" i="2"/>
  <c r="I150" i="2"/>
  <c r="I157" i="2"/>
  <c r="I148" i="2"/>
  <c r="I154" i="2"/>
  <c r="L142" i="2"/>
  <c r="L146" i="2" s="1"/>
  <c r="I158" i="2"/>
  <c r="I153" i="2"/>
  <c r="I149" i="2"/>
  <c r="I155" i="2"/>
  <c r="I151" i="2"/>
  <c r="M142" i="2" l="1"/>
  <c r="H149" i="2"/>
  <c r="H155" i="2"/>
  <c r="H151" i="2"/>
  <c r="H158" i="2"/>
  <c r="J155" i="2"/>
  <c r="J153" i="2"/>
  <c r="J154" i="2"/>
  <c r="K155" i="2"/>
  <c r="H154" i="2"/>
  <c r="H157" i="2"/>
  <c r="H147" i="2"/>
  <c r="J152" i="2"/>
  <c r="H150" i="2"/>
  <c r="H152" i="2"/>
  <c r="K148" i="2"/>
  <c r="I14" i="26" s="1"/>
  <c r="H146" i="2"/>
  <c r="H153" i="2"/>
  <c r="K149" i="2"/>
  <c r="K152" i="2"/>
  <c r="D14" i="26" s="1"/>
  <c r="K154" i="2"/>
  <c r="F14" i="26" s="1"/>
  <c r="K153" i="2"/>
  <c r="E14" i="26" s="1"/>
  <c r="K150" i="2"/>
  <c r="K151" i="2"/>
  <c r="K14" i="26" s="1"/>
  <c r="K158" i="2"/>
  <c r="K146" i="2"/>
  <c r="C14" i="26" s="1"/>
  <c r="K157" i="2"/>
  <c r="M14" i="26" s="1"/>
  <c r="J157" i="2"/>
  <c r="J149" i="2"/>
  <c r="J146" i="2"/>
  <c r="J151" i="2"/>
  <c r="J148" i="2"/>
  <c r="J158" i="2"/>
  <c r="J150" i="2"/>
  <c r="I159" i="2"/>
  <c r="I167" i="2"/>
  <c r="I156" i="2"/>
  <c r="I160" i="2" s="1"/>
  <c r="L147" i="2"/>
  <c r="L151" i="2"/>
  <c r="K10" i="26" s="1"/>
  <c r="L155" i="2"/>
  <c r="L148" i="2"/>
  <c r="I10" i="26" s="1"/>
  <c r="L152" i="2"/>
  <c r="D10" i="26" s="1"/>
  <c r="L157" i="2"/>
  <c r="L149" i="2"/>
  <c r="J10" i="26" s="1"/>
  <c r="L153" i="2"/>
  <c r="E10" i="26" s="1"/>
  <c r="L158" i="2"/>
  <c r="L150" i="2"/>
  <c r="L154" i="2"/>
  <c r="F10" i="26" s="1"/>
  <c r="C10" i="26"/>
  <c r="J156" i="2" l="1"/>
  <c r="J160" i="2" s="1"/>
  <c r="G14" i="26"/>
  <c r="J159" i="2"/>
  <c r="H156" i="2"/>
  <c r="H160" i="2" s="1"/>
  <c r="H159" i="2"/>
  <c r="M10" i="26"/>
  <c r="K167" i="2"/>
  <c r="K159" i="2"/>
  <c r="H167" i="2"/>
  <c r="G10" i="26"/>
  <c r="K156" i="2"/>
  <c r="K168" i="2" s="1"/>
  <c r="J14" i="26"/>
  <c r="J167" i="2"/>
  <c r="I168" i="2"/>
  <c r="L167" i="2"/>
  <c r="F24" i="26" s="1"/>
  <c r="I161" i="2"/>
  <c r="L156" i="2"/>
  <c r="L159" i="2"/>
  <c r="C24" i="26" s="1"/>
  <c r="J168" i="2" l="1"/>
  <c r="J161" i="2"/>
  <c r="H168" i="2"/>
  <c r="H161" i="2"/>
  <c r="L160" i="2"/>
  <c r="L161" i="2" s="1"/>
  <c r="L10" i="26"/>
  <c r="K160" i="2"/>
  <c r="K161" i="2" s="1"/>
  <c r="L14" i="26"/>
  <c r="L168" i="2"/>
  <c r="L23" i="23" l="1"/>
  <c r="L27" i="23" s="1"/>
  <c r="J23" i="23"/>
  <c r="J27" i="23" s="1"/>
  <c r="M178" i="2" l="1"/>
  <c r="M179" i="2"/>
  <c r="M172" i="2"/>
  <c r="L185" i="2" l="1"/>
  <c r="O14" i="26" l="1"/>
  <c r="M185" i="2"/>
  <c r="O10" i="26"/>
  <c r="F25" i="23" l="1"/>
  <c r="M42" i="2"/>
  <c r="G25" i="23" s="1"/>
  <c r="F16" i="23" l="1"/>
  <c r="M35" i="2"/>
  <c r="G16" i="23" s="1"/>
  <c r="L91" i="2"/>
  <c r="M31" i="2"/>
  <c r="F17" i="23" l="1"/>
  <c r="M36" i="2"/>
  <c r="G17" i="23" s="1"/>
  <c r="L92" i="2"/>
  <c r="F21" i="23"/>
  <c r="M39" i="2"/>
  <c r="G21" i="23" s="1"/>
  <c r="L96" i="2"/>
  <c r="F22" i="23"/>
  <c r="M40" i="2"/>
  <c r="G22" i="23" s="1"/>
  <c r="L97" i="2"/>
  <c r="F20" i="23"/>
  <c r="M38" i="2"/>
  <c r="G20" i="23" s="1"/>
  <c r="L95" i="2"/>
  <c r="L32" i="2"/>
  <c r="L41" i="2" s="1"/>
  <c r="M30" i="2"/>
  <c r="F19" i="23"/>
  <c r="M37" i="2"/>
  <c r="G19" i="23" s="1"/>
  <c r="L94" i="2"/>
  <c r="F12" i="23"/>
  <c r="M29" i="2"/>
  <c r="G12" i="23" s="1"/>
  <c r="L87" i="2"/>
  <c r="N16" i="23"/>
  <c r="M91" i="2"/>
  <c r="O16" i="23" s="1"/>
  <c r="F14" i="23"/>
  <c r="M33" i="2"/>
  <c r="G14" i="23" s="1"/>
  <c r="L89" i="2"/>
  <c r="L43" i="2" l="1"/>
  <c r="M41" i="2"/>
  <c r="G23" i="23" s="1"/>
  <c r="N20" i="23"/>
  <c r="M95" i="2"/>
  <c r="O20" i="23" s="1"/>
  <c r="M89" i="2"/>
  <c r="O14" i="23" s="1"/>
  <c r="N14" i="23"/>
  <c r="N21" i="23"/>
  <c r="M96" i="2"/>
  <c r="O21" i="23" s="1"/>
  <c r="N17" i="23"/>
  <c r="M92" i="2"/>
  <c r="O17" i="23" s="1"/>
  <c r="N12" i="23"/>
  <c r="M87" i="2"/>
  <c r="O12" i="23" s="1"/>
  <c r="M94" i="2"/>
  <c r="O19" i="23" s="1"/>
  <c r="N19" i="23"/>
  <c r="G13" i="23"/>
  <c r="M32" i="2"/>
  <c r="F13" i="23"/>
  <c r="F23" i="23" s="1"/>
  <c r="F27" i="23" s="1"/>
  <c r="L88" i="2"/>
  <c r="L98" i="2" s="1"/>
  <c r="N22" i="23"/>
  <c r="M97" i="2"/>
  <c r="O22" i="23" s="1"/>
  <c r="L101" i="2" l="1"/>
  <c r="M101" i="2" s="1"/>
  <c r="O27" i="23" s="1"/>
  <c r="M98" i="2"/>
  <c r="O23" i="23" s="1"/>
  <c r="N13" i="23"/>
  <c r="M88" i="2"/>
  <c r="O13" i="23" s="1"/>
  <c r="M43" i="2"/>
  <c r="I8" i="25"/>
  <c r="G27" i="23" l="1"/>
  <c r="I11" i="25"/>
  <c r="N23" i="23"/>
  <c r="N27" i="23" l="1"/>
</calcChain>
</file>

<file path=xl/sharedStrings.xml><?xml version="1.0" encoding="utf-8"?>
<sst xmlns="http://schemas.openxmlformats.org/spreadsheetml/2006/main" count="447" uniqueCount="158">
  <si>
    <t>El Sistema Eléctrico Español</t>
  </si>
  <si>
    <t>GWh</t>
  </si>
  <si>
    <t>Hidráulica</t>
  </si>
  <si>
    <t>Nuclear</t>
  </si>
  <si>
    <t>Carbón</t>
  </si>
  <si>
    <t>Hidroeólica</t>
  </si>
  <si>
    <t>Eólica</t>
  </si>
  <si>
    <t>Solar fotovoltaica</t>
  </si>
  <si>
    <t>Solar térmica</t>
  </si>
  <si>
    <t>Cogeneración</t>
  </si>
  <si>
    <t>Residuos no renovables</t>
  </si>
  <si>
    <t>Residuos renovables</t>
  </si>
  <si>
    <t>Generación</t>
  </si>
  <si>
    <t>Consumos en bombeo</t>
  </si>
  <si>
    <t>Demanda (b.c.)</t>
  </si>
  <si>
    <t>Melilla</t>
  </si>
  <si>
    <t>Laboralidad</t>
  </si>
  <si>
    <t>Temperatura</t>
  </si>
  <si>
    <t>Previsión 2018</t>
  </si>
  <si>
    <t>Turbinación bombeo</t>
  </si>
  <si>
    <t>-</t>
  </si>
  <si>
    <t>Fuel/gas</t>
  </si>
  <si>
    <t>Ciclo combinado</t>
  </si>
  <si>
    <t>Otras renovables</t>
  </si>
  <si>
    <t>Enlace Península-Baleares</t>
  </si>
  <si>
    <t>Saldo intercambios internacionales</t>
  </si>
  <si>
    <t>Total</t>
  </si>
  <si>
    <t>Motores diésel</t>
  </si>
  <si>
    <t>Turbina de gas</t>
  </si>
  <si>
    <t>Turbina de vapor</t>
  </si>
  <si>
    <t>Fuel / gas</t>
  </si>
  <si>
    <t>Generación auxiliar</t>
  </si>
  <si>
    <t>Componentes de la variación anual de la demanda eléctrica. Sistema eléctrico peninsular (%)</t>
  </si>
  <si>
    <t>Máximos instantáneos de demanda eléctrica. Sistema eléctrico peninsular (MW)</t>
  </si>
  <si>
    <t>18 enero (19:50)</t>
  </si>
  <si>
    <t>Histórico</t>
  </si>
  <si>
    <r>
      <t xml:space="preserve">Fuel/gas </t>
    </r>
    <r>
      <rPr>
        <vertAlign val="superscript"/>
        <sz val="8"/>
        <color rgb="FF004563"/>
        <rFont val="Arial"/>
        <family val="2"/>
      </rPr>
      <t>(3)</t>
    </r>
  </si>
  <si>
    <t>Fecha</t>
  </si>
  <si>
    <t>Variación anual</t>
  </si>
  <si>
    <t>Demanda corregida</t>
  </si>
  <si>
    <t>Potencia</t>
  </si>
  <si>
    <t>(%) (MtCO2)</t>
  </si>
  <si>
    <t>Evolución de la producción de energía renovable y no renovable peninsular (GWh)</t>
  </si>
  <si>
    <t>Generación renovable</t>
  </si>
  <si>
    <t>Generación no renovable</t>
  </si>
  <si>
    <t>Generación total</t>
  </si>
  <si>
    <t>Evolución de la estructura producción de generación peninsular (%)</t>
  </si>
  <si>
    <t>Renovables: hidráulica, eólica, solar fotovoltaica, solar térmica, otras renovables y residuos renovables.</t>
  </si>
  <si>
    <t>No renovables: turbinación bombeo, nuclear, carbón, fuel/gas, ciclo combinado, cogeneración y residuos no renovables.</t>
  </si>
  <si>
    <t>Generación sin emisiones</t>
  </si>
  <si>
    <t>Generación con emisiones</t>
  </si>
  <si>
    <t>Generación sin emisiones y emisiones de CO2 asociadas a la generación eléctrica.
Sistema eléctrico peninsular</t>
  </si>
  <si>
    <t>%18/17</t>
  </si>
  <si>
    <t>Ceuta</t>
  </si>
  <si>
    <t>Baleares</t>
  </si>
  <si>
    <t>Canarias</t>
  </si>
  <si>
    <t>Datos provisionales. Cierre de año con datos estimados el 13 de diciembre</t>
  </si>
  <si>
    <t>Saldo</t>
  </si>
  <si>
    <t>Evolución de la potencia instalada peninsular (MW)</t>
  </si>
  <si>
    <t>Bombeo puro</t>
  </si>
  <si>
    <r>
      <t xml:space="preserve">Residuos no renovables </t>
    </r>
    <r>
      <rPr>
        <vertAlign val="superscript"/>
        <sz val="8"/>
        <color rgb="FF004563"/>
        <rFont val="Arial"/>
        <family val="2"/>
      </rPr>
      <t>(1)</t>
    </r>
  </si>
  <si>
    <r>
      <t xml:space="preserve">Residuos renovables </t>
    </r>
    <r>
      <rPr>
        <vertAlign val="superscript"/>
        <sz val="8"/>
        <color rgb="FF004563"/>
        <rFont val="Arial"/>
        <family val="2"/>
      </rPr>
      <t>(1)</t>
    </r>
  </si>
  <si>
    <t>Andorra</t>
  </si>
  <si>
    <t>Francia</t>
  </si>
  <si>
    <t>Portugal</t>
  </si>
  <si>
    <t>Marruecos</t>
  </si>
  <si>
    <t>Entradas</t>
  </si>
  <si>
    <t>Salidas</t>
  </si>
  <si>
    <t>Instalaciones de la red de transporte de energía eléctrica en España</t>
  </si>
  <si>
    <t>Circuito 400 kV (km)</t>
  </si>
  <si>
    <t>Peninsula</t>
  </si>
  <si>
    <t>Circuito ≤ 220 kV (km)</t>
  </si>
  <si>
    <t>Total km de circuito</t>
  </si>
  <si>
    <t>2018-2017</t>
  </si>
  <si>
    <t>Evolución de los intercambios internacionales físicos (GWh)</t>
  </si>
  <si>
    <t>13 enero (18:41 h)</t>
  </si>
  <si>
    <t>12 enero (18:56 h)</t>
  </si>
  <si>
    <t>24 enero (20:06 h)</t>
  </si>
  <si>
    <t>13 febrero (20:21 h)</t>
  </si>
  <si>
    <t>27 febrero (20:42 h)</t>
  </si>
  <si>
    <t>4 febrero (20:18 h)</t>
  </si>
  <si>
    <t>4 febrero (19:56 h)</t>
  </si>
  <si>
    <t>6 septiembre (13:32 h)</t>
  </si>
  <si>
    <t>Datos provisionales: previsión de puestas en servicio realizada el 13 de diciembre de 2018. Kilómetros de circuito y de capacidad de transformación acumulados a 31 de diciembre.</t>
  </si>
  <si>
    <t>33.687 km</t>
  </si>
  <si>
    <t>Electrical energy balance - Peninsular system (GWh)</t>
  </si>
  <si>
    <t>Electrical energy balance - Balearic Islands system (GWh)</t>
  </si>
  <si>
    <t>Electrical energy balance - Canary Islands system (GWh)</t>
  </si>
  <si>
    <t>Electrical energy balance - Ceuta system (GWh)</t>
  </si>
  <si>
    <t>Electrical energy balance - Melilla system (GWh)</t>
  </si>
  <si>
    <t>Electrical energy balance - Overall National system (GWh)</t>
  </si>
  <si>
    <t>The Spanish Electricity System</t>
  </si>
  <si>
    <t>2018 Forecast</t>
  </si>
  <si>
    <t>Hydro</t>
  </si>
  <si>
    <r>
      <t xml:space="preserve">Pumped storage </t>
    </r>
    <r>
      <rPr>
        <vertAlign val="superscript"/>
        <sz val="8"/>
        <color rgb="FF004563"/>
        <rFont val="Arial"/>
        <family val="2"/>
      </rPr>
      <t>(2)</t>
    </r>
  </si>
  <si>
    <t>Coal</t>
  </si>
  <si>
    <r>
      <t xml:space="preserve">Combined Cycle </t>
    </r>
    <r>
      <rPr>
        <vertAlign val="superscript"/>
        <sz val="8"/>
        <color rgb="FF004563"/>
        <rFont val="Arial"/>
        <family val="2"/>
      </rPr>
      <t>(4)</t>
    </r>
  </si>
  <si>
    <t>Hydro-wind</t>
  </si>
  <si>
    <t>Wind</t>
  </si>
  <si>
    <t>Solar photovoltaic</t>
  </si>
  <si>
    <t>Solar thermal</t>
  </si>
  <si>
    <r>
      <t xml:space="preserve">Other renewables </t>
    </r>
    <r>
      <rPr>
        <vertAlign val="superscript"/>
        <sz val="8"/>
        <color rgb="FF004563"/>
        <rFont val="Arial"/>
        <family val="2"/>
      </rPr>
      <t>(5)</t>
    </r>
  </si>
  <si>
    <t>Cogeneration</t>
  </si>
  <si>
    <t>Non-renewable waste</t>
  </si>
  <si>
    <t>Renewable waste</t>
  </si>
  <si>
    <t>Production</t>
  </si>
  <si>
    <t>Pumped storage consumption</t>
  </si>
  <si>
    <t xml:space="preserve">(1) Allocation of generation units based on primary fuel. </t>
  </si>
  <si>
    <t>(2) Pure pumped storage + estimate of mixed pumped storage</t>
  </si>
  <si>
    <t xml:space="preserve">(3) Generation from auxiliary generation units is included in the Balearic Islands’ electricity system. </t>
  </si>
  <si>
    <t xml:space="preserve">(4) Includes operation in open cycle mode. Fuel and gasoil are the primary fuels used in the electricity system of the Canary Islands. </t>
  </si>
  <si>
    <t xml:space="preserve">(5) Includes biogas, biomass, marine energy and geothermal. </t>
  </si>
  <si>
    <r>
      <t xml:space="preserve">Peninsula-Balearic Islands’ link </t>
    </r>
    <r>
      <rPr>
        <vertAlign val="superscript"/>
        <sz val="8"/>
        <color rgb="FF004563"/>
        <rFont val="Arial"/>
        <family val="2"/>
      </rPr>
      <t>(6)</t>
    </r>
  </si>
  <si>
    <r>
      <t xml:space="preserve">Intl. physical energy exchange balance </t>
    </r>
    <r>
      <rPr>
        <vertAlign val="superscript"/>
        <sz val="8"/>
        <color rgb="FF004563"/>
        <rFont val="Arial"/>
        <family val="2"/>
      </rPr>
      <t>(7)</t>
    </r>
  </si>
  <si>
    <t>Demand (b.c.-at power station busbars)</t>
  </si>
  <si>
    <t>NATIONAL ELECTRICAL ENERGY BALANCE (1)</t>
  </si>
  <si>
    <t>Peninsular</t>
  </si>
  <si>
    <t>System</t>
  </si>
  <si>
    <t>Balearic Islands</t>
  </si>
  <si>
    <t>Canary Islands</t>
  </si>
  <si>
    <t>National</t>
  </si>
  <si>
    <t>total</t>
  </si>
  <si>
    <t xml:space="preserve">(6) Positive value: incoming energy; negative value: outgoing energy. </t>
  </si>
  <si>
    <t>(7) Positive value: importer balance; negative value: exporter balance. The increment values are not calculated when the balances of the exchanges have different signs (+/-).</t>
  </si>
  <si>
    <t>Provisional data. Close of year conducted with estimated data as at 13 December.</t>
  </si>
  <si>
    <t>Other renewables</t>
  </si>
  <si>
    <t>Combined cycle</t>
  </si>
  <si>
    <t>Other non-renewables</t>
  </si>
  <si>
    <t>INSTALLED POWER CAPACITY</t>
  </si>
  <si>
    <t>PENINSULAR SYSTEM - 2018</t>
  </si>
  <si>
    <t>Variation with respect to 2017</t>
  </si>
  <si>
    <t>Imports</t>
  </si>
  <si>
    <t>Exports</t>
  </si>
  <si>
    <r>
      <t xml:space="preserve">Balance </t>
    </r>
    <r>
      <rPr>
        <b/>
        <vertAlign val="superscript"/>
        <sz val="14"/>
        <color rgb="FF004563"/>
        <rFont val="Calibri"/>
        <family val="2"/>
      </rPr>
      <t>(1)</t>
    </r>
  </si>
  <si>
    <t>Seasonal and working patterns factored in.</t>
  </si>
  <si>
    <t>Less than the maximum</t>
  </si>
  <si>
    <t xml:space="preserve">PENINSULA-BALEARIC
</t>
  </si>
  <si>
    <t>17 December 2007 (8:53 pm)</t>
  </si>
  <si>
    <t xml:space="preserve">INTERNATIONAL
</t>
  </si>
  <si>
    <t>RENEWABLE GENERATION</t>
  </si>
  <si>
    <t xml:space="preserve">EXCHANGES - 2018
</t>
  </si>
  <si>
    <r>
      <t>CO</t>
    </r>
    <r>
      <rPr>
        <b/>
        <vertAlign val="subscript"/>
        <sz val="11"/>
        <color rgb="FF004563"/>
        <rFont val="Calibri"/>
        <family val="2"/>
      </rPr>
      <t>2</t>
    </r>
    <r>
      <rPr>
        <b/>
        <sz val="11"/>
        <color rgb="FF004563"/>
        <rFont val="Calibri"/>
        <family val="2"/>
      </rPr>
      <t>-FREE GENERATION</t>
    </r>
  </si>
  <si>
    <t>of generation</t>
  </si>
  <si>
    <t>GENERATION STRUCTURE - PENINSULAR SYSTEM 2018</t>
  </si>
  <si>
    <t>GENERATION STRUCTURE - PENINSULAR SYSTEM 2017</t>
  </si>
  <si>
    <t xml:space="preserve">ISLANDS LINK
</t>
  </si>
  <si>
    <r>
      <rPr>
        <vertAlign val="superscript"/>
        <sz val="8"/>
        <color rgb="FF004563"/>
        <rFont val="Arial"/>
        <family val="2"/>
      </rPr>
      <t>(1)</t>
    </r>
    <r>
      <rPr>
        <sz val="8"/>
        <color rgb="FF004563"/>
        <rFont val="Arial"/>
        <family val="2"/>
      </rPr>
      <t xml:space="preserve"> Positive value: importer balance;   Negative value: exporter balance.</t>
    </r>
  </si>
  <si>
    <r>
      <rPr>
        <vertAlign val="superscript"/>
        <sz val="8"/>
        <color rgb="FF004563"/>
        <rFont val="Arial"/>
        <family val="2"/>
      </rPr>
      <t>(2)</t>
    </r>
    <r>
      <rPr>
        <sz val="8"/>
        <color rgb="FF004563"/>
        <rFont val="Arial"/>
        <family val="2"/>
      </rPr>
      <t xml:space="preserve"> Data as at 30 November</t>
    </r>
  </si>
  <si>
    <r>
      <t xml:space="preserve">of optical fibre </t>
    </r>
    <r>
      <rPr>
        <vertAlign val="superscript"/>
        <sz val="10"/>
        <color rgb="FF004563"/>
        <rFont val="Calibri"/>
        <family val="2"/>
      </rPr>
      <t>(2)</t>
    </r>
  </si>
  <si>
    <t>of circuit of electricity lines</t>
  </si>
  <si>
    <t xml:space="preserve">TRANSMISSION GRID
</t>
  </si>
  <si>
    <t>NATIONAL SYSTEM - 2018</t>
  </si>
  <si>
    <t>MAXIMUM INSTANTANEOUS DEMAND           PENINSULAR SYSTEM  2018</t>
  </si>
  <si>
    <t>ELECTRICAL ENERGY DEMAND           PENINSULAR SYSTEM  2018</t>
  </si>
  <si>
    <t>value of 2017:</t>
  </si>
  <si>
    <t>8 February (8:24 pm)</t>
  </si>
  <si>
    <t>Less than the All-time High:</t>
  </si>
  <si>
    <t>ELECTRICAL ENERGY DEMAND         NON-PENINSULAR SYSTEMS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</si>
</sst>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_)"/>
    <numFmt numFmtId="165" formatCode="#,##0.0"/>
    <numFmt numFmtId="166" formatCode="#,##0.000"/>
    <numFmt numFmtId="167" formatCode="0.0\ \ \ \ _)"/>
    <numFmt numFmtId="168" formatCode="0.0%"/>
    <numFmt numFmtId="169" formatCode="0.0"/>
  </numFmts>
  <fonts count="44">
    <font>
      <sz val="10"/>
      <name val="Geneva"/>
    </font>
    <font>
      <sz val="10"/>
      <name val="Geneva"/>
    </font>
    <font>
      <b/>
      <sz val="10"/>
      <color indexed="8"/>
      <name val="Arial"/>
      <family val="2"/>
    </font>
    <font>
      <sz val="10"/>
      <name val="Arial"/>
      <family val="2"/>
    </font>
    <font>
      <sz val="10"/>
      <color indexed="56"/>
      <name val="Geneva"/>
    </font>
    <font>
      <sz val="10"/>
      <color indexed="8"/>
      <name val="Geneva"/>
    </font>
    <font>
      <sz val="10"/>
      <color indexed="9"/>
      <name val="Geneva"/>
    </font>
    <font>
      <b/>
      <sz val="8"/>
      <color indexed="8"/>
      <name val="Arial"/>
      <family val="2"/>
    </font>
    <font>
      <b/>
      <sz val="8"/>
      <color indexed="9"/>
      <name val="Arial"/>
      <family val="2"/>
    </font>
    <font>
      <b/>
      <sz val="8"/>
      <color indexed="9"/>
      <name val="Geneva"/>
    </font>
    <font>
      <sz val="10"/>
      <color indexed="9"/>
      <name val="Arial"/>
      <family val="2"/>
    </font>
    <font>
      <sz val="10"/>
      <color indexed="32"/>
      <name val="Arial"/>
      <family val="2"/>
    </font>
    <font>
      <sz val="8"/>
      <color indexed="8"/>
      <name val="Arial"/>
      <family val="2"/>
    </font>
    <font>
      <sz val="10"/>
      <color rgb="FFFF0000"/>
      <name val="Geneva"/>
    </font>
    <font>
      <sz val="8"/>
      <color rgb="FF004563"/>
      <name val="Arial"/>
      <family val="2"/>
    </font>
    <font>
      <b/>
      <sz val="8"/>
      <color rgb="FF004563"/>
      <name val="Arial"/>
      <family val="2"/>
    </font>
    <font>
      <vertAlign val="superscript"/>
      <sz val="8"/>
      <color rgb="FF004563"/>
      <name val="Arial"/>
      <family val="2"/>
    </font>
    <font>
      <sz val="10"/>
      <color indexed="32"/>
      <name val="Geneva"/>
    </font>
    <font>
      <sz val="10"/>
      <color indexed="31"/>
      <name val="Geneva"/>
    </font>
    <font>
      <sz val="10"/>
      <color rgb="FF004563"/>
      <name val="Geneva"/>
    </font>
    <font>
      <sz val="10"/>
      <name val="Geneva"/>
      <family val="2"/>
    </font>
    <font>
      <b/>
      <sz val="10"/>
      <color rgb="FF004563"/>
      <name val="Arial"/>
      <family val="2"/>
    </font>
    <font>
      <sz val="8"/>
      <color rgb="FF215967"/>
      <name val="Arial"/>
      <family val="2"/>
    </font>
    <font>
      <b/>
      <sz val="11"/>
      <name val="Calibri"/>
      <family val="2"/>
    </font>
    <font>
      <sz val="16"/>
      <color rgb="FF0070C0"/>
      <name val="Calibri"/>
      <family val="2"/>
    </font>
    <font>
      <sz val="11"/>
      <name val="Calibri"/>
      <family val="2"/>
    </font>
    <font>
      <sz val="9"/>
      <name val="Calibri"/>
      <family val="2"/>
    </font>
    <font>
      <b/>
      <sz val="12"/>
      <color rgb="FF0070C0"/>
      <name val="Calibri"/>
      <family val="2"/>
    </font>
    <font>
      <b/>
      <sz val="11"/>
      <color rgb="FF004563"/>
      <name val="Calibri"/>
      <family val="2"/>
    </font>
    <font>
      <sz val="11"/>
      <color rgb="FF004563"/>
      <name val="Calibri"/>
      <family val="2"/>
    </font>
    <font>
      <sz val="9"/>
      <color rgb="FF004563"/>
      <name val="Calibri"/>
      <family val="2"/>
    </font>
    <font>
      <b/>
      <sz val="11"/>
      <color rgb="FF004563"/>
      <name val="Calibri"/>
      <family val="2"/>
      <scheme val="minor"/>
    </font>
    <font>
      <b/>
      <sz val="10"/>
      <color rgb="FF004563"/>
      <name val="Calibri"/>
      <family val="2"/>
    </font>
    <font>
      <sz val="16"/>
      <color rgb="FF00B050"/>
      <name val="Calibri"/>
      <family val="2"/>
    </font>
    <font>
      <b/>
      <sz val="14"/>
      <color rgb="FF004563"/>
      <name val="Calibri"/>
      <family val="2"/>
    </font>
    <font>
      <b/>
      <sz val="16"/>
      <color rgb="FF004563"/>
      <name val="Calibri"/>
      <family val="2"/>
    </font>
    <font>
      <b/>
      <vertAlign val="subscript"/>
      <sz val="11"/>
      <color rgb="FF004563"/>
      <name val="Calibri"/>
      <family val="2"/>
    </font>
    <font>
      <sz val="8"/>
      <name val="Arial"/>
      <family val="2"/>
    </font>
    <font>
      <sz val="8"/>
      <color indexed="56"/>
      <name val="Arial"/>
      <family val="2"/>
    </font>
    <font>
      <sz val="12"/>
      <color rgb="FF00B050"/>
      <name val="Calibri"/>
      <family val="2"/>
    </font>
    <font>
      <b/>
      <vertAlign val="superscript"/>
      <sz val="14"/>
      <color rgb="FF004563"/>
      <name val="Calibri"/>
      <family val="2"/>
    </font>
    <font>
      <sz val="10"/>
      <color rgb="FF004563"/>
      <name val="Calibri"/>
      <family val="2"/>
    </font>
    <font>
      <sz val="8"/>
      <color theme="0" tint="-0.499984740745262"/>
      <name val="Arial"/>
      <family val="2"/>
    </font>
    <font>
      <vertAlign val="superscript"/>
      <sz val="10"/>
      <color rgb="FF00456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5463"/>
        <bgColor indexed="64"/>
      </patternFill>
    </fill>
    <fill>
      <patternFill patternType="solid">
        <fgColor rgb="FFF5F5F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/>
      <right/>
      <top/>
      <bottom style="thin">
        <color rgb="FFA6A6A6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rgb="FFA6A6A6"/>
      </top>
      <bottom/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0A0A0"/>
      </top>
      <bottom style="thin">
        <color rgb="FFA0A0A0"/>
      </bottom>
      <diagonal/>
    </border>
    <border>
      <left/>
      <right/>
      <top/>
      <bottom style="thin">
        <color rgb="FFA0A0A0"/>
      </bottom>
      <diagonal/>
    </border>
  </borders>
  <cellStyleXfs count="13">
    <xf numFmtId="0" fontId="0" fillId="0" borderId="0"/>
    <xf numFmtId="164" fontId="1" fillId="0" borderId="0"/>
    <xf numFmtId="0" fontId="3" fillId="0" borderId="0"/>
    <xf numFmtId="0" fontId="1" fillId="0" borderId="0"/>
    <xf numFmtId="164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164" fontId="1" fillId="0" borderId="0"/>
    <xf numFmtId="0" fontId="1" fillId="0" borderId="0"/>
    <xf numFmtId="0" fontId="20" fillId="0" borderId="0"/>
  </cellStyleXfs>
  <cellXfs count="163">
    <xf numFmtId="0" fontId="0" fillId="0" borderId="0" xfId="0"/>
    <xf numFmtId="164" fontId="1" fillId="0" borderId="0" xfId="1" applyFill="1" applyProtection="1"/>
    <xf numFmtId="164" fontId="2" fillId="0" borderId="0" xfId="1" applyFont="1" applyFill="1" applyAlignment="1" applyProtection="1">
      <alignment horizontal="right"/>
    </xf>
    <xf numFmtId="164" fontId="4" fillId="0" borderId="0" xfId="1" applyFont="1" applyFill="1" applyBorder="1" applyProtection="1"/>
    <xf numFmtId="164" fontId="5" fillId="0" borderId="0" xfId="1" applyFont="1" applyFill="1" applyBorder="1" applyProtection="1"/>
    <xf numFmtId="164" fontId="6" fillId="0" borderId="0" xfId="1" applyFont="1" applyFill="1" applyBorder="1" applyProtection="1"/>
    <xf numFmtId="1" fontId="8" fillId="2" borderId="1" xfId="1" applyNumberFormat="1" applyFont="1" applyFill="1" applyBorder="1" applyAlignment="1" applyProtection="1">
      <alignment horizontal="right" indent="1"/>
    </xf>
    <xf numFmtId="165" fontId="10" fillId="0" borderId="0" xfId="1" applyNumberFormat="1" applyFont="1" applyFill="1" applyBorder="1" applyProtection="1"/>
    <xf numFmtId="165" fontId="11" fillId="0" borderId="0" xfId="1" applyNumberFormat="1" applyFont="1" applyFill="1" applyBorder="1" applyProtection="1"/>
    <xf numFmtId="166" fontId="3" fillId="0" borderId="0" xfId="1" applyNumberFormat="1" applyFont="1" applyFill="1" applyBorder="1" applyProtection="1"/>
    <xf numFmtId="0" fontId="13" fillId="0" borderId="0" xfId="3" applyFont="1" applyFill="1" applyProtection="1"/>
    <xf numFmtId="165" fontId="14" fillId="0" borderId="0" xfId="1" applyNumberFormat="1" applyFont="1" applyFill="1" applyBorder="1" applyProtection="1"/>
    <xf numFmtId="3" fontId="11" fillId="0" borderId="0" xfId="1" applyNumberFormat="1" applyFont="1" applyFill="1" applyBorder="1" applyProtection="1"/>
    <xf numFmtId="164" fontId="2" fillId="0" borderId="0" xfId="4" applyFont="1" applyFill="1" applyBorder="1" applyAlignment="1" applyProtection="1"/>
    <xf numFmtId="0" fontId="3" fillId="0" borderId="0" xfId="6" applyFill="1" applyProtection="1"/>
    <xf numFmtId="0" fontId="2" fillId="0" borderId="0" xfId="6" applyFont="1" applyFill="1" applyAlignment="1" applyProtection="1">
      <alignment horizontal="right"/>
    </xf>
    <xf numFmtId="0" fontId="5" fillId="0" borderId="0" xfId="6" applyFont="1" applyFill="1" applyBorder="1" applyProtection="1"/>
    <xf numFmtId="0" fontId="4" fillId="0" borderId="0" xfId="6" applyFont="1" applyFill="1" applyBorder="1" applyProtection="1"/>
    <xf numFmtId="0" fontId="7" fillId="0" borderId="0" xfId="6" applyFont="1" applyFill="1" applyBorder="1" applyAlignment="1" applyProtection="1">
      <alignment horizontal="left" vertical="center" indent="1"/>
    </xf>
    <xf numFmtId="0" fontId="4" fillId="0" borderId="0" xfId="6" applyFont="1" applyFill="1" applyBorder="1" applyAlignment="1" applyProtection="1">
      <alignment horizontal="left" indent="1"/>
    </xf>
    <xf numFmtId="0" fontId="7" fillId="0" borderId="0" xfId="7" applyFont="1" applyFill="1" applyBorder="1" applyAlignment="1" applyProtection="1">
      <alignment horizontal="left"/>
    </xf>
    <xf numFmtId="0" fontId="17" fillId="0" borderId="0" xfId="6" applyFont="1" applyFill="1" applyProtection="1"/>
    <xf numFmtId="0" fontId="18" fillId="0" borderId="0" xfId="6" applyFont="1" applyFill="1" applyProtection="1"/>
    <xf numFmtId="0" fontId="2" fillId="0" borderId="0" xfId="0" applyFont="1" applyFill="1" applyAlignment="1" applyProtection="1">
      <alignment horizontal="right"/>
    </xf>
    <xf numFmtId="0" fontId="12" fillId="0" borderId="0" xfId="0" applyFont="1" applyFill="1" applyBorder="1" applyAlignment="1" applyProtection="1">
      <alignment horizontal="left"/>
    </xf>
    <xf numFmtId="164" fontId="15" fillId="3" borderId="0" xfId="1" applyFont="1" applyFill="1" applyBorder="1" applyAlignment="1" applyProtection="1">
      <alignment horizontal="left"/>
    </xf>
    <xf numFmtId="165" fontId="14" fillId="3" borderId="0" xfId="1" applyNumberFormat="1" applyFont="1" applyFill="1" applyBorder="1" applyAlignment="1" applyProtection="1">
      <alignment horizontal="right" indent="1"/>
    </xf>
    <xf numFmtId="3" fontId="14" fillId="3" borderId="0" xfId="1" applyNumberFormat="1" applyFont="1" applyFill="1" applyBorder="1" applyAlignment="1" applyProtection="1">
      <alignment horizontal="right" indent="1"/>
    </xf>
    <xf numFmtId="0" fontId="14" fillId="3" borderId="0" xfId="0" applyNumberFormat="1" applyFont="1" applyFill="1" applyAlignment="1">
      <alignment horizontal="right"/>
    </xf>
    <xf numFmtId="16" fontId="14" fillId="3" borderId="2" xfId="0" applyNumberFormat="1" applyFont="1" applyFill="1" applyBorder="1" applyAlignment="1">
      <alignment horizontal="right"/>
    </xf>
    <xf numFmtId="164" fontId="2" fillId="0" borderId="0" xfId="1" applyFont="1" applyFill="1" applyAlignment="1" applyProtection="1"/>
    <xf numFmtId="0" fontId="21" fillId="0" borderId="0" xfId="2" applyFont="1" applyFill="1" applyAlignment="1" applyProtection="1">
      <alignment horizontal="right"/>
    </xf>
    <xf numFmtId="164" fontId="21" fillId="0" borderId="0" xfId="1" applyFont="1" applyFill="1" applyAlignment="1" applyProtection="1">
      <alignment horizontal="right"/>
    </xf>
    <xf numFmtId="164" fontId="14" fillId="3" borderId="0" xfId="1" applyFont="1" applyFill="1" applyBorder="1" applyAlignment="1" applyProtection="1">
      <alignment horizontal="left"/>
    </xf>
    <xf numFmtId="165" fontId="15" fillId="3" borderId="2" xfId="1" applyNumberFormat="1" applyFont="1" applyFill="1" applyBorder="1" applyProtection="1"/>
    <xf numFmtId="3" fontId="15" fillId="3" borderId="2" xfId="1" applyNumberFormat="1" applyFont="1" applyFill="1" applyBorder="1" applyAlignment="1" applyProtection="1">
      <alignment horizontal="right" indent="1"/>
    </xf>
    <xf numFmtId="165" fontId="15" fillId="3" borderId="2" xfId="1" applyNumberFormat="1" applyFont="1" applyFill="1" applyBorder="1" applyAlignment="1" applyProtection="1">
      <alignment horizontal="right" indent="1"/>
    </xf>
    <xf numFmtId="165" fontId="14" fillId="3" borderId="0" xfId="1" applyNumberFormat="1" applyFont="1" applyFill="1" applyBorder="1" applyAlignment="1" applyProtection="1">
      <alignment horizontal="left"/>
    </xf>
    <xf numFmtId="3" fontId="14" fillId="3" borderId="2" xfId="1" applyNumberFormat="1" applyFont="1" applyFill="1" applyBorder="1" applyAlignment="1" applyProtection="1">
      <alignment horizontal="right" indent="1"/>
    </xf>
    <xf numFmtId="165" fontId="14" fillId="3" borderId="2" xfId="1" applyNumberFormat="1" applyFont="1" applyFill="1" applyBorder="1" applyAlignment="1" applyProtection="1">
      <alignment horizontal="right" indent="1"/>
    </xf>
    <xf numFmtId="165" fontId="15" fillId="3" borderId="3" xfId="1" applyNumberFormat="1" applyFont="1" applyFill="1" applyBorder="1" applyProtection="1"/>
    <xf numFmtId="3" fontId="15" fillId="3" borderId="4" xfId="1" applyNumberFormat="1" applyFont="1" applyFill="1" applyBorder="1" applyAlignment="1" applyProtection="1">
      <alignment horizontal="right" indent="1"/>
    </xf>
    <xf numFmtId="165" fontId="15" fillId="3" borderId="4" xfId="1" applyNumberFormat="1" applyFont="1" applyFill="1" applyBorder="1" applyAlignment="1" applyProtection="1">
      <alignment horizontal="right" indent="1"/>
    </xf>
    <xf numFmtId="0" fontId="21" fillId="0" borderId="0" xfId="0" applyFont="1" applyFill="1" applyAlignment="1" applyProtection="1">
      <alignment horizontal="right"/>
    </xf>
    <xf numFmtId="0" fontId="19" fillId="0" borderId="0" xfId="0" applyFont="1"/>
    <xf numFmtId="0" fontId="15" fillId="0" borderId="0" xfId="0" applyFont="1" applyFill="1" applyBorder="1" applyAlignment="1" applyProtection="1"/>
    <xf numFmtId="0" fontId="14" fillId="0" borderId="0" xfId="0" applyFont="1" applyFill="1" applyBorder="1" applyProtection="1"/>
    <xf numFmtId="3" fontId="14" fillId="0" borderId="0" xfId="0" applyNumberFormat="1" applyFont="1" applyFill="1" applyBorder="1" applyProtection="1"/>
    <xf numFmtId="3" fontId="14" fillId="3" borderId="0" xfId="12" applyNumberFormat="1" applyFont="1" applyFill="1" applyBorder="1" applyProtection="1"/>
    <xf numFmtId="165" fontId="14" fillId="3" borderId="0" xfId="12" applyNumberFormat="1" applyFont="1" applyFill="1" applyBorder="1" applyAlignment="1" applyProtection="1">
      <alignment horizontal="right" indent="1"/>
    </xf>
    <xf numFmtId="3" fontId="14" fillId="3" borderId="0" xfId="12" applyNumberFormat="1" applyFont="1" applyFill="1" applyBorder="1" applyAlignment="1" applyProtection="1">
      <alignment horizontal="right" indent="1"/>
    </xf>
    <xf numFmtId="0" fontId="14" fillId="3" borderId="0" xfId="0" applyFont="1" applyFill="1" applyBorder="1" applyAlignment="1" applyProtection="1">
      <alignment horizontal="left"/>
    </xf>
    <xf numFmtId="3" fontId="15" fillId="0" borderId="0" xfId="12" applyNumberFormat="1" applyFont="1" applyFill="1" applyBorder="1" applyProtection="1"/>
    <xf numFmtId="3" fontId="15" fillId="0" borderId="0" xfId="12" applyNumberFormat="1" applyFont="1" applyFill="1" applyBorder="1" applyAlignment="1" applyProtection="1">
      <alignment horizontal="right" indent="1"/>
    </xf>
    <xf numFmtId="165" fontId="15" fillId="0" borderId="0" xfId="12" applyNumberFormat="1" applyFont="1" applyFill="1" applyBorder="1" applyAlignment="1" applyProtection="1">
      <alignment horizontal="right" indent="1"/>
    </xf>
    <xf numFmtId="167" fontId="14" fillId="3" borderId="0" xfId="0" applyNumberFormat="1" applyFont="1" applyFill="1" applyBorder="1" applyAlignment="1" applyProtection="1">
      <alignment horizontal="right"/>
    </xf>
    <xf numFmtId="167" fontId="14" fillId="3" borderId="6" xfId="0" applyNumberFormat="1" applyFont="1" applyFill="1" applyBorder="1" applyAlignment="1" applyProtection="1">
      <alignment horizontal="right"/>
    </xf>
    <xf numFmtId="164" fontId="15" fillId="3" borderId="8" xfId="0" applyNumberFormat="1" applyFont="1" applyFill="1" applyBorder="1" applyAlignment="1" applyProtection="1">
      <alignment horizontal="right"/>
    </xf>
    <xf numFmtId="164" fontId="14" fillId="3" borderId="0" xfId="0" quotePrefix="1" applyNumberFormat="1" applyFont="1" applyFill="1" applyBorder="1" applyAlignment="1" applyProtection="1">
      <alignment horizontal="left"/>
    </xf>
    <xf numFmtId="3" fontId="14" fillId="3" borderId="0" xfId="0" applyNumberFormat="1" applyFont="1" applyFill="1" applyBorder="1" applyAlignment="1" applyProtection="1">
      <alignment horizontal="right"/>
    </xf>
    <xf numFmtId="164" fontId="14" fillId="0" borderId="0" xfId="10" applyFont="1" applyFill="1" applyBorder="1" applyAlignment="1" applyProtection="1">
      <alignment horizontal="left"/>
    </xf>
    <xf numFmtId="164" fontId="14" fillId="3" borderId="2" xfId="0" quotePrefix="1" applyNumberFormat="1" applyFont="1" applyFill="1" applyBorder="1" applyAlignment="1" applyProtection="1">
      <alignment horizontal="left"/>
    </xf>
    <xf numFmtId="3" fontId="14" fillId="3" borderId="2" xfId="0" applyNumberFormat="1" applyFont="1" applyFill="1" applyBorder="1" applyAlignment="1" applyProtection="1">
      <alignment horizontal="right"/>
    </xf>
    <xf numFmtId="164" fontId="15" fillId="3" borderId="2" xfId="1" applyFont="1" applyFill="1" applyBorder="1" applyAlignment="1" applyProtection="1">
      <alignment horizontal="left"/>
    </xf>
    <xf numFmtId="3" fontId="15" fillId="3" borderId="2" xfId="12" applyNumberFormat="1" applyFont="1" applyFill="1" applyBorder="1" applyProtection="1"/>
    <xf numFmtId="3" fontId="15" fillId="3" borderId="2" xfId="12" applyNumberFormat="1" applyFont="1" applyFill="1" applyBorder="1" applyAlignment="1" applyProtection="1">
      <alignment horizontal="right" indent="1"/>
    </xf>
    <xf numFmtId="165" fontId="15" fillId="3" borderId="2" xfId="12" applyNumberFormat="1" applyFont="1" applyFill="1" applyBorder="1" applyAlignment="1" applyProtection="1">
      <alignment horizontal="right" indent="1"/>
    </xf>
    <xf numFmtId="3" fontId="15" fillId="3" borderId="8" xfId="12" applyNumberFormat="1" applyFont="1" applyFill="1" applyBorder="1" applyProtection="1"/>
    <xf numFmtId="3" fontId="15" fillId="3" borderId="8" xfId="12" applyNumberFormat="1" applyFont="1" applyFill="1" applyBorder="1" applyAlignment="1" applyProtection="1">
      <alignment horizontal="right" indent="1"/>
    </xf>
    <xf numFmtId="165" fontId="15" fillId="3" borderId="8" xfId="12" applyNumberFormat="1" applyFont="1" applyFill="1" applyBorder="1" applyAlignment="1" applyProtection="1">
      <alignment horizontal="right" indent="1"/>
    </xf>
    <xf numFmtId="164" fontId="15" fillId="3" borderId="8" xfId="0" applyNumberFormat="1" applyFont="1" applyFill="1" applyBorder="1" applyProtection="1"/>
    <xf numFmtId="164" fontId="14" fillId="0" borderId="0" xfId="0" quotePrefix="1" applyNumberFormat="1" applyFont="1" applyFill="1" applyBorder="1" applyAlignment="1" applyProtection="1">
      <alignment horizontal="left"/>
    </xf>
    <xf numFmtId="16" fontId="14" fillId="0" borderId="0" xfId="0" applyNumberFormat="1" applyFont="1" applyFill="1" applyBorder="1" applyAlignment="1">
      <alignment horizontal="right"/>
    </xf>
    <xf numFmtId="3" fontId="14" fillId="0" borderId="0" xfId="0" applyNumberFormat="1" applyFont="1" applyFill="1" applyBorder="1" applyAlignment="1" applyProtection="1">
      <alignment horizontal="right"/>
    </xf>
    <xf numFmtId="0" fontId="19" fillId="0" borderId="0" xfId="0" applyFont="1" applyFill="1"/>
    <xf numFmtId="3" fontId="22" fillId="0" borderId="0" xfId="0" applyNumberFormat="1" applyFont="1" applyFill="1" applyBorder="1" applyProtection="1"/>
    <xf numFmtId="164" fontId="14" fillId="3" borderId="0" xfId="1" applyFont="1" applyFill="1" applyBorder="1" applyAlignment="1" applyProtection="1">
      <alignment horizontal="left" wrapText="1"/>
    </xf>
    <xf numFmtId="164" fontId="14" fillId="3" borderId="2" xfId="1" applyFont="1" applyFill="1" applyBorder="1" applyAlignment="1" applyProtection="1">
      <alignment horizontal="left" wrapText="1"/>
    </xf>
    <xf numFmtId="3" fontId="15" fillId="3" borderId="9" xfId="12" applyNumberFormat="1" applyFont="1" applyFill="1" applyBorder="1" applyProtection="1"/>
    <xf numFmtId="3" fontId="15" fillId="3" borderId="9" xfId="12" applyNumberFormat="1" applyFont="1" applyFill="1" applyBorder="1" applyAlignment="1" applyProtection="1">
      <alignment horizontal="right" indent="1"/>
    </xf>
    <xf numFmtId="165" fontId="15" fillId="3" borderId="9" xfId="12" applyNumberFormat="1" applyFont="1" applyFill="1" applyBorder="1" applyAlignment="1" applyProtection="1">
      <alignment horizontal="right" indent="1"/>
    </xf>
    <xf numFmtId="0" fontId="14" fillId="0" borderId="0" xfId="0" applyFont="1" applyFill="1" applyBorder="1" applyAlignment="1" applyProtection="1"/>
    <xf numFmtId="0" fontId="7" fillId="0" borderId="0" xfId="6" applyFont="1" applyFill="1" applyBorder="1" applyAlignment="1" applyProtection="1">
      <alignment horizontal="left"/>
    </xf>
    <xf numFmtId="3" fontId="14" fillId="3" borderId="10" xfId="12" applyNumberFormat="1" applyFont="1" applyFill="1" applyBorder="1" applyProtection="1"/>
    <xf numFmtId="165" fontId="14" fillId="3" borderId="10" xfId="12" applyNumberFormat="1" applyFont="1" applyFill="1" applyBorder="1" applyAlignment="1" applyProtection="1">
      <alignment horizontal="right" indent="1"/>
    </xf>
    <xf numFmtId="3" fontId="15" fillId="3" borderId="0" xfId="1" applyNumberFormat="1" applyFont="1" applyFill="1" applyBorder="1" applyAlignment="1" applyProtection="1">
      <alignment horizontal="right" indent="1"/>
    </xf>
    <xf numFmtId="3" fontId="14" fillId="3" borderId="8" xfId="12" applyNumberFormat="1" applyFont="1" applyFill="1" applyBorder="1" applyProtection="1"/>
    <xf numFmtId="3" fontId="14" fillId="3" borderId="8" xfId="1" applyNumberFormat="1" applyFont="1" applyFill="1" applyBorder="1" applyAlignment="1" applyProtection="1">
      <alignment horizontal="right" indent="1"/>
    </xf>
    <xf numFmtId="165" fontId="14" fillId="3" borderId="8" xfId="12" applyNumberFormat="1" applyFont="1" applyFill="1" applyBorder="1" applyAlignment="1" applyProtection="1">
      <alignment horizontal="right" indent="1"/>
    </xf>
    <xf numFmtId="168" fontId="25" fillId="0" borderId="0" xfId="0" applyNumberFormat="1" applyFont="1" applyAlignment="1">
      <alignment horizontal="left"/>
    </xf>
    <xf numFmtId="0" fontId="0" fillId="0" borderId="0" xfId="0" applyAlignment="1"/>
    <xf numFmtId="0" fontId="23" fillId="0" borderId="0" xfId="0" applyFont="1" applyAlignment="1"/>
    <xf numFmtId="0" fontId="25" fillId="0" borderId="0" xfId="0" applyFont="1" applyAlignment="1"/>
    <xf numFmtId="0" fontId="0" fillId="3" borderId="0" xfId="0" applyFill="1"/>
    <xf numFmtId="0" fontId="24" fillId="3" borderId="0" xfId="0" applyFont="1" applyFill="1"/>
    <xf numFmtId="0" fontId="23" fillId="3" borderId="0" xfId="0" applyFont="1" applyFill="1"/>
    <xf numFmtId="168" fontId="25" fillId="3" borderId="0" xfId="0" applyNumberFormat="1" applyFont="1" applyFill="1" applyAlignment="1">
      <alignment horizontal="left"/>
    </xf>
    <xf numFmtId="0" fontId="25" fillId="3" borderId="0" xfId="0" applyFont="1" applyFill="1"/>
    <xf numFmtId="164" fontId="15" fillId="3" borderId="8" xfId="1" applyFont="1" applyFill="1" applyBorder="1" applyAlignment="1" applyProtection="1">
      <alignment horizontal="left"/>
    </xf>
    <xf numFmtId="1" fontId="15" fillId="3" borderId="8" xfId="1" applyNumberFormat="1" applyFont="1" applyFill="1" applyBorder="1" applyAlignment="1" applyProtection="1">
      <alignment horizontal="right" indent="1"/>
    </xf>
    <xf numFmtId="0" fontId="24" fillId="3" borderId="0" xfId="0" applyFont="1" applyFill="1" applyAlignment="1">
      <alignment horizontal="right"/>
    </xf>
    <xf numFmtId="0" fontId="0" fillId="3" borderId="0" xfId="0" applyFill="1" applyAlignment="1"/>
    <xf numFmtId="0" fontId="23" fillId="3" borderId="0" xfId="0" applyFont="1" applyFill="1" applyAlignment="1"/>
    <xf numFmtId="16" fontId="25" fillId="3" borderId="0" xfId="0" applyNumberFormat="1" applyFont="1" applyFill="1" applyAlignment="1"/>
    <xf numFmtId="168" fontId="27" fillId="3" borderId="0" xfId="0" applyNumberFormat="1" applyFont="1" applyFill="1" applyAlignment="1">
      <alignment horizontal="center"/>
    </xf>
    <xf numFmtId="0" fontId="26" fillId="3" borderId="0" xfId="0" applyFont="1" applyFill="1" applyAlignment="1"/>
    <xf numFmtId="0" fontId="25" fillId="3" borderId="0" xfId="0" applyFont="1" applyFill="1" applyAlignment="1"/>
    <xf numFmtId="0" fontId="12" fillId="3" borderId="0" xfId="0" applyFont="1" applyFill="1" applyBorder="1" applyAlignment="1" applyProtection="1">
      <alignment horizontal="left"/>
    </xf>
    <xf numFmtId="164" fontId="14" fillId="0" borderId="0" xfId="1" applyFont="1" applyFill="1" applyBorder="1" applyAlignment="1" applyProtection="1">
      <alignment horizontal="right"/>
    </xf>
    <xf numFmtId="0" fontId="28" fillId="3" borderId="0" xfId="0" applyFont="1" applyFill="1" applyAlignment="1">
      <alignment horizontal="left" wrapText="1" indent="4"/>
    </xf>
    <xf numFmtId="0" fontId="28" fillId="3" borderId="0" xfId="0" applyFont="1" applyFill="1"/>
    <xf numFmtId="168" fontId="29" fillId="3" borderId="0" xfId="0" applyNumberFormat="1" applyFont="1" applyFill="1" applyAlignment="1">
      <alignment horizontal="left"/>
    </xf>
    <xf numFmtId="0" fontId="29" fillId="3" borderId="0" xfId="0" applyFont="1" applyFill="1"/>
    <xf numFmtId="16" fontId="29" fillId="3" borderId="0" xfId="0" applyNumberFormat="1" applyFont="1" applyFill="1"/>
    <xf numFmtId="0" fontId="19" fillId="3" borderId="0" xfId="0" applyFont="1" applyFill="1"/>
    <xf numFmtId="0" fontId="30" fillId="3" borderId="0" xfId="0" applyFont="1" applyFill="1"/>
    <xf numFmtId="168" fontId="29" fillId="3" borderId="0" xfId="0" applyNumberFormat="1" applyFont="1" applyFill="1" applyAlignment="1">
      <alignment horizontal="center"/>
    </xf>
    <xf numFmtId="164" fontId="31" fillId="0" borderId="0" xfId="1" applyFont="1" applyFill="1" applyBorder="1" applyAlignment="1" applyProtection="1">
      <alignment vertical="top"/>
    </xf>
    <xf numFmtId="0" fontId="28" fillId="3" borderId="0" xfId="0" applyFont="1" applyFill="1" applyAlignment="1">
      <alignment horizontal="center"/>
    </xf>
    <xf numFmtId="0" fontId="19" fillId="3" borderId="0" xfId="0" applyFont="1" applyFill="1" applyAlignment="1"/>
    <xf numFmtId="0" fontId="30" fillId="3" borderId="0" xfId="0" applyFont="1" applyFill="1" applyAlignment="1"/>
    <xf numFmtId="168" fontId="32" fillId="3" borderId="0" xfId="0" applyNumberFormat="1" applyFont="1" applyFill="1" applyAlignment="1">
      <alignment horizontal="center"/>
    </xf>
    <xf numFmtId="0" fontId="33" fillId="3" borderId="0" xfId="0" applyFont="1" applyFill="1"/>
    <xf numFmtId="0" fontId="34" fillId="3" borderId="0" xfId="0" applyFont="1" applyFill="1"/>
    <xf numFmtId="0" fontId="35" fillId="3" borderId="0" xfId="0" applyFont="1" applyFill="1"/>
    <xf numFmtId="0" fontId="28" fillId="3" borderId="0" xfId="0" applyFont="1" applyFill="1" applyAlignment="1">
      <alignment horizontal="center" wrapText="1"/>
    </xf>
    <xf numFmtId="0" fontId="28" fillId="3" borderId="0" xfId="0" applyFont="1" applyFill="1" applyAlignment="1"/>
    <xf numFmtId="0" fontId="37" fillId="0" borderId="0" xfId="0" applyFont="1" applyFill="1" applyBorder="1" applyProtection="1"/>
    <xf numFmtId="0" fontId="7" fillId="0" borderId="0" xfId="0" applyFont="1" applyFill="1" applyBorder="1" applyAlignment="1" applyProtection="1"/>
    <xf numFmtId="0" fontId="38" fillId="0" borderId="0" xfId="0" applyFont="1" applyFill="1" applyBorder="1" applyProtection="1"/>
    <xf numFmtId="164" fontId="14" fillId="3" borderId="0" xfId="1" applyFont="1" applyFill="1" applyBorder="1" applyAlignment="1" applyProtection="1">
      <alignment horizontal="left" indent="1"/>
    </xf>
    <xf numFmtId="0" fontId="39" fillId="3" borderId="0" xfId="0" applyFont="1" applyFill="1"/>
    <xf numFmtId="0" fontId="41" fillId="3" borderId="0" xfId="0" applyFont="1" applyFill="1"/>
    <xf numFmtId="0" fontId="28" fillId="3" borderId="0" xfId="0" applyFont="1" applyFill="1" applyAlignment="1">
      <alignment horizontal="left"/>
    </xf>
    <xf numFmtId="0" fontId="15" fillId="3" borderId="7" xfId="0" applyFont="1" applyFill="1" applyBorder="1" applyAlignment="1" applyProtection="1">
      <alignment horizontal="left" wrapText="1"/>
    </xf>
    <xf numFmtId="167" fontId="15" fillId="3" borderId="0" xfId="0" applyNumberFormat="1" applyFont="1" applyFill="1" applyBorder="1" applyAlignment="1" applyProtection="1">
      <alignment horizontal="right"/>
    </xf>
    <xf numFmtId="164" fontId="15" fillId="3" borderId="8" xfId="1" applyFont="1" applyFill="1" applyBorder="1" applyAlignment="1" applyProtection="1">
      <alignment horizontal="left" wrapText="1"/>
    </xf>
    <xf numFmtId="3" fontId="15" fillId="3" borderId="8" xfId="1" applyNumberFormat="1" applyFont="1" applyFill="1" applyBorder="1" applyAlignment="1" applyProtection="1">
      <alignment horizontal="right" indent="1"/>
    </xf>
    <xf numFmtId="1" fontId="15" fillId="3" borderId="8" xfId="1" quotePrefix="1" applyNumberFormat="1" applyFont="1" applyFill="1" applyBorder="1" applyAlignment="1" applyProtection="1">
      <alignment horizontal="right" indent="1"/>
    </xf>
    <xf numFmtId="0" fontId="41" fillId="3" borderId="0" xfId="0" applyFont="1" applyFill="1" applyAlignment="1"/>
    <xf numFmtId="165" fontId="15" fillId="3" borderId="0" xfId="1" applyNumberFormat="1" applyFont="1" applyFill="1" applyBorder="1" applyAlignment="1" applyProtection="1">
      <alignment horizontal="right" indent="1"/>
    </xf>
    <xf numFmtId="3" fontId="42" fillId="3" borderId="0" xfId="8" applyNumberFormat="1" applyFont="1" applyFill="1" applyBorder="1" applyAlignment="1" applyProtection="1">
      <alignment horizontal="left" indent="1"/>
    </xf>
    <xf numFmtId="3" fontId="42" fillId="3" borderId="0" xfId="12" applyNumberFormat="1" applyFont="1" applyFill="1" applyBorder="1" applyAlignment="1" applyProtection="1">
      <alignment horizontal="right" indent="1"/>
    </xf>
    <xf numFmtId="165" fontId="42" fillId="3" borderId="0" xfId="12" applyNumberFormat="1" applyFont="1" applyFill="1" applyBorder="1" applyAlignment="1" applyProtection="1">
      <alignment horizontal="right" indent="1"/>
    </xf>
    <xf numFmtId="3" fontId="14" fillId="0" borderId="0" xfId="12" applyNumberFormat="1" applyFont="1" applyFill="1" applyBorder="1" applyAlignment="1" applyProtection="1">
      <alignment horizontal="right" indent="1"/>
    </xf>
    <xf numFmtId="169" fontId="0" fillId="0" borderId="0" xfId="0" applyNumberFormat="1"/>
    <xf numFmtId="165" fontId="19" fillId="0" borderId="0" xfId="0" applyNumberFormat="1" applyFont="1"/>
    <xf numFmtId="16" fontId="30" fillId="3" borderId="0" xfId="0" applyNumberFormat="1" applyFont="1" applyFill="1"/>
    <xf numFmtId="169" fontId="19" fillId="0" borderId="0" xfId="0" applyNumberFormat="1" applyFont="1"/>
    <xf numFmtId="0" fontId="3" fillId="0" borderId="0" xfId="1" applyNumberFormat="1" applyFont="1" applyFill="1" applyBorder="1" applyProtection="1"/>
    <xf numFmtId="3" fontId="19" fillId="0" borderId="0" xfId="0" applyNumberFormat="1" applyFont="1"/>
    <xf numFmtId="0" fontId="14" fillId="0" borderId="5" xfId="1" applyNumberFormat="1" applyFont="1" applyFill="1" applyBorder="1" applyAlignment="1" applyProtection="1">
      <alignment horizontal="left"/>
    </xf>
    <xf numFmtId="168" fontId="30" fillId="3" borderId="0" xfId="0" applyNumberFormat="1" applyFont="1" applyFill="1" applyAlignment="1">
      <alignment horizontal="center" vertical="center" wrapText="1"/>
    </xf>
    <xf numFmtId="0" fontId="28" fillId="3" borderId="0" xfId="0" applyFont="1" applyFill="1" applyAlignment="1">
      <alignment horizontal="left" vertical="center"/>
    </xf>
    <xf numFmtId="164" fontId="9" fillId="2" borderId="0" xfId="1" applyFont="1" applyFill="1" applyBorder="1" applyAlignment="1" applyProtection="1">
      <alignment horizontal="right" indent="1"/>
    </xf>
    <xf numFmtId="164" fontId="9" fillId="2" borderId="2" xfId="1" applyFont="1" applyFill="1" applyBorder="1" applyAlignment="1" applyProtection="1">
      <alignment horizontal="right" indent="1"/>
    </xf>
    <xf numFmtId="164" fontId="8" fillId="2" borderId="0" xfId="1" applyFont="1" applyFill="1" applyBorder="1" applyAlignment="1" applyProtection="1">
      <alignment horizontal="left" vertical="center" wrapText="1"/>
    </xf>
    <xf numFmtId="164" fontId="8" fillId="2" borderId="1" xfId="1" applyFont="1" applyFill="1" applyBorder="1" applyAlignment="1" applyProtection="1">
      <alignment horizontal="left" vertical="center" wrapText="1"/>
    </xf>
    <xf numFmtId="0" fontId="28" fillId="3" borderId="0" xfId="0" applyFont="1" applyFill="1" applyAlignment="1">
      <alignment horizontal="left" wrapText="1"/>
    </xf>
    <xf numFmtId="0" fontId="28" fillId="3" borderId="0" xfId="0" applyFont="1" applyFill="1" applyAlignment="1">
      <alignment horizontal="left" wrapText="1" indent="5"/>
    </xf>
    <xf numFmtId="164" fontId="14" fillId="3" borderId="0" xfId="1" applyFont="1" applyFill="1" applyBorder="1" applyAlignment="1" applyProtection="1">
      <alignment horizontal="center" wrapText="1"/>
    </xf>
    <xf numFmtId="164" fontId="14" fillId="3" borderId="0" xfId="1" applyFont="1" applyFill="1" applyBorder="1" applyAlignment="1" applyProtection="1">
      <alignment horizontal="justify" wrapText="1"/>
    </xf>
    <xf numFmtId="0" fontId="7" fillId="0" borderId="0" xfId="0" applyFont="1" applyFill="1" applyBorder="1" applyAlignment="1" applyProtection="1">
      <alignment horizontal="left" vertical="top" wrapText="1"/>
    </xf>
  </cellXfs>
  <cellStyles count="13">
    <cellStyle name="Normal" xfId="0" builtinId="0"/>
    <cellStyle name="Normal 2" xfId="1"/>
    <cellStyle name="Normal 2 2" xfId="11"/>
    <cellStyle name="Normal 3" xfId="3"/>
    <cellStyle name="Normal 3 2" xfId="5"/>
    <cellStyle name="Normal 5" xfId="10"/>
    <cellStyle name="Normal 7" xfId="9"/>
    <cellStyle name="Normal_8 Intercambios Internacionales" xfId="7"/>
    <cellStyle name="Normal_8 Intercambios Internacionales_4" xfId="6"/>
    <cellStyle name="Normal_A1 Comparacion Internacional" xfId="2"/>
    <cellStyle name="Normal_cuadro 1.1 2" xfId="12"/>
    <cellStyle name="Normal_Sector Electrico en 2007" xfId="4"/>
    <cellStyle name="Normal_TTTTTTTT" xfId="8"/>
  </cellStyles>
  <dxfs count="0"/>
  <tableStyles count="0" defaultTableStyle="TableStyleMedium2" defaultPivotStyle="PivotStyleLight16"/>
  <colors>
    <mruColors>
      <color rgb="FF004563"/>
      <color rgb="FFA6A6A6"/>
      <color rgb="FFF5F5F5"/>
      <color rgb="FF5B9BD5"/>
      <color rgb="FF464394"/>
      <color rgb="FFCFA2CA"/>
      <color rgb="FFFFCC66"/>
      <color rgb="FF993300"/>
      <color rgb="FF9A5CBC"/>
      <color rgb="FF6FB1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930554135278542E-2"/>
          <c:y val="9.9558548374522493E-2"/>
          <c:w val="0.85766974903164017"/>
          <c:h val="0.63216601815823592"/>
        </c:manualLayout>
      </c:layout>
      <c:lineChart>
        <c:grouping val="standard"/>
        <c:varyColors val="0"/>
        <c:ser>
          <c:idx val="1"/>
          <c:order val="0"/>
          <c:tx>
            <c:strRef>
              <c:f>'Data '!$B$167</c:f>
              <c:strCache>
                <c:ptCount val="1"/>
                <c:pt idx="0">
                  <c:v>Generación sin emisiones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800" b="1" i="0" u="none" strike="noStrike" kern="1200" baseline="0">
                    <a:solidFill>
                      <a:srgbClr val="00B05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'Data '!$C$166:$L$166</c:f>
              <c:numCache>
                <c:formatCode>0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'Data '!$C$167:$L$167</c:f>
              <c:numCache>
                <c:formatCode>#,##0.0</c:formatCode>
                <c:ptCount val="10"/>
                <c:pt idx="0">
                  <c:v>47.7</c:v>
                </c:pt>
                <c:pt idx="1">
                  <c:v>57.600000000000009</c:v>
                </c:pt>
                <c:pt idx="2">
                  <c:v>54.000000000000007</c:v>
                </c:pt>
                <c:pt idx="3">
                  <c:v>54.4</c:v>
                </c:pt>
                <c:pt idx="4">
                  <c:v>64.100000000000009</c:v>
                </c:pt>
                <c:pt idx="5">
                  <c:v>65.2</c:v>
                </c:pt>
                <c:pt idx="6">
                  <c:v>59.29999999999999</c:v>
                </c:pt>
                <c:pt idx="7">
                  <c:v>64.400000000000006</c:v>
                </c:pt>
                <c:pt idx="8">
                  <c:v>57</c:v>
                </c:pt>
                <c:pt idx="9">
                  <c:v>62.199999999999996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E19-4C90-96AE-B66D7DAE766E}"/>
            </c:ext>
          </c:extLst>
        </c:ser>
        <c:ser>
          <c:idx val="0"/>
          <c:order val="1"/>
          <c:tx>
            <c:strRef>
              <c:f>'Data '!$B$168</c:f>
              <c:strCache>
                <c:ptCount val="1"/>
                <c:pt idx="0">
                  <c:v>Generación con emisiones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'Data '!$C$166:$L$166</c:f>
              <c:numCache>
                <c:formatCode>0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'Data '!$C$168:$L$168</c:f>
              <c:numCache>
                <c:formatCode>#,##0.0</c:formatCode>
                <c:ptCount val="10"/>
                <c:pt idx="0">
                  <c:v>52.3</c:v>
                </c:pt>
                <c:pt idx="1">
                  <c:v>42.4</c:v>
                </c:pt>
                <c:pt idx="2">
                  <c:v>45.999999999999979</c:v>
                </c:pt>
                <c:pt idx="3">
                  <c:v>45.599999999999987</c:v>
                </c:pt>
                <c:pt idx="4">
                  <c:v>35.900000000000006</c:v>
                </c:pt>
                <c:pt idx="5">
                  <c:v>34.799999999999997</c:v>
                </c:pt>
                <c:pt idx="6">
                  <c:v>40.700000000000003</c:v>
                </c:pt>
                <c:pt idx="7">
                  <c:v>35.6</c:v>
                </c:pt>
                <c:pt idx="8">
                  <c:v>43</c:v>
                </c:pt>
                <c:pt idx="9">
                  <c:v>37.79999999999999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E19-4C90-96AE-B66D7DAE7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592096"/>
        <c:axId val="169150600"/>
      </c:lineChart>
      <c:lineChart>
        <c:grouping val="standard"/>
        <c:varyColors val="0"/>
        <c:ser>
          <c:idx val="2"/>
          <c:order val="2"/>
          <c:tx>
            <c:strRef>
              <c:f>'Data 1'!#REF!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numRef>
              <c:f>'Data '!$C$145:$L$145</c:f>
              <c:numCache>
                <c:formatCode>0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'Data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E19-4C90-96AE-B66D7DAE7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206496"/>
        <c:axId val="167946776"/>
      </c:lineChart>
      <c:catAx>
        <c:axId val="1675920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150600"/>
        <c:crosses val="autoZero"/>
        <c:auto val="0"/>
        <c:lblAlgn val="ctr"/>
        <c:lblOffset val="100"/>
        <c:noMultiLvlLbl val="0"/>
      </c:catAx>
      <c:valAx>
        <c:axId val="16915060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2.8675534876322278E-2"/>
              <c:y val="6.5425144876692419E-3"/>
            </c:manualLayout>
          </c:layout>
          <c:overlay val="0"/>
        </c:title>
        <c:numFmt formatCode="#,##0" sourceLinked="0"/>
        <c:majorTickMark val="cross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7592096"/>
        <c:crosses val="autoZero"/>
        <c:crossBetween val="between"/>
        <c:majorUnit val="20"/>
      </c:valAx>
      <c:valAx>
        <c:axId val="167946776"/>
        <c:scaling>
          <c:orientation val="minMax"/>
          <c:max val="1500000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Millones</a:t>
                </a:r>
                <a:r>
                  <a:rPr lang="es-ES" baseline="0"/>
                  <a:t> t</a:t>
                </a:r>
                <a:r>
                  <a:rPr lang="es-ES"/>
                  <a:t>CO2</a:t>
                </a:r>
              </a:p>
            </c:rich>
          </c:tx>
          <c:layout>
            <c:manualLayout>
              <c:xMode val="edge"/>
              <c:yMode val="edge"/>
              <c:x val="0.89211760461760459"/>
              <c:y val="2.0981458382058674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13206496"/>
        <c:crosses val="max"/>
        <c:crossBetween val="between"/>
        <c:majorUnit val="30000000"/>
        <c:minorUnit val="1250000"/>
        <c:dispUnits>
          <c:builtInUnit val="millions"/>
        </c:dispUnits>
      </c:valAx>
      <c:catAx>
        <c:axId val="113206496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167946776"/>
        <c:crosses val="autoZero"/>
        <c:auto val="0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6.4367352631645669E-2"/>
          <c:y val="0.87660487964296296"/>
          <c:w val="0.88303498294597238"/>
          <c:h val="0.1196813627868500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000000000000044" r="0.75000000000000044" t="1" header="0.511811024" footer="0.51181102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930554135278542E-2"/>
          <c:y val="9.9558548374522493E-2"/>
          <c:w val="0.85766974903164017"/>
          <c:h val="0.6373540856031128"/>
        </c:manualLayout>
      </c:layout>
      <c:lineChart>
        <c:grouping val="standard"/>
        <c:varyColors val="0"/>
        <c:ser>
          <c:idx val="3"/>
          <c:order val="0"/>
          <c:tx>
            <c:strRef>
              <c:f>'Data '!$B$159</c:f>
              <c:strCache>
                <c:ptCount val="1"/>
                <c:pt idx="0">
                  <c:v>Generación renovable</c:v>
                </c:pt>
              </c:strCache>
            </c:strRef>
          </c:tx>
          <c:spPr>
            <a:ln>
              <a:solidFill>
                <a:srgbClr val="92D05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800" b="1" i="0" u="none" strike="noStrike" kern="1200" baseline="0">
                    <a:solidFill>
                      <a:srgbClr val="92D05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'Data '!$C$145:$L$145</c:f>
              <c:numCache>
                <c:formatCode>0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'Data '!$C$159:$L$159</c:f>
              <c:numCache>
                <c:formatCode>#,##0.0</c:formatCode>
                <c:ptCount val="10"/>
                <c:pt idx="0">
                  <c:v>27.6</c:v>
                </c:pt>
                <c:pt idx="1">
                  <c:v>34.800000000000004</c:v>
                </c:pt>
                <c:pt idx="2">
                  <c:v>32.4</c:v>
                </c:pt>
                <c:pt idx="3">
                  <c:v>31.399999999999995</c:v>
                </c:pt>
                <c:pt idx="4">
                  <c:v>41.900000000000006</c:v>
                </c:pt>
                <c:pt idx="5">
                  <c:v>42.300000000000004</c:v>
                </c:pt>
                <c:pt idx="6">
                  <c:v>36.699999999999996</c:v>
                </c:pt>
                <c:pt idx="7">
                  <c:v>40.5</c:v>
                </c:pt>
                <c:pt idx="8">
                  <c:v>33.699999999999996</c:v>
                </c:pt>
                <c:pt idx="9">
                  <c:v>39.999999999999993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490-414E-8A56-545E3D01BA8E}"/>
            </c:ext>
          </c:extLst>
        </c:ser>
        <c:ser>
          <c:idx val="1"/>
          <c:order val="1"/>
          <c:tx>
            <c:strRef>
              <c:f>'Data '!$B$167</c:f>
              <c:strCache>
                <c:ptCount val="1"/>
                <c:pt idx="0">
                  <c:v>Generación sin emisiones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800" b="1" i="0" u="none" strike="noStrike" kern="1200" baseline="0">
                    <a:solidFill>
                      <a:srgbClr val="00B05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'Data '!$C$166:$L$166</c:f>
              <c:numCache>
                <c:formatCode>0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'Data '!$C$167:$L$167</c:f>
              <c:numCache>
                <c:formatCode>#,##0.0</c:formatCode>
                <c:ptCount val="10"/>
                <c:pt idx="0">
                  <c:v>47.7</c:v>
                </c:pt>
                <c:pt idx="1">
                  <c:v>57.600000000000009</c:v>
                </c:pt>
                <c:pt idx="2">
                  <c:v>54.000000000000007</c:v>
                </c:pt>
                <c:pt idx="3">
                  <c:v>54.4</c:v>
                </c:pt>
                <c:pt idx="4">
                  <c:v>64.100000000000009</c:v>
                </c:pt>
                <c:pt idx="5">
                  <c:v>65.2</c:v>
                </c:pt>
                <c:pt idx="6">
                  <c:v>59.29999999999999</c:v>
                </c:pt>
                <c:pt idx="7">
                  <c:v>64.400000000000006</c:v>
                </c:pt>
                <c:pt idx="8">
                  <c:v>57</c:v>
                </c:pt>
                <c:pt idx="9">
                  <c:v>62.199999999999996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490-414E-8A56-545E3D01B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8229536"/>
        <c:axId val="167360232"/>
      </c:lineChart>
      <c:lineChart>
        <c:grouping val="standard"/>
        <c:varyColors val="0"/>
        <c:ser>
          <c:idx val="2"/>
          <c:order val="2"/>
          <c:tx>
            <c:strRef>
              <c:f>'Data 1'!#REF!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cat>
            <c:numRef>
              <c:f>'Data '!$C$145:$L$145</c:f>
              <c:numCache>
                <c:formatCode>0</c:formatCode>
                <c:ptCount val="10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</c:numCache>
            </c:numRef>
          </c:cat>
          <c:val>
            <c:numRef>
              <c:f>'Data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490-414E-8A56-545E3D01BA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012224"/>
        <c:axId val="168256768"/>
      </c:lineChart>
      <c:catAx>
        <c:axId val="16822953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low"/>
        <c:spPr>
          <a:ln w="3175">
            <a:solidFill>
              <a:schemeClr val="bg1">
                <a:lumMod val="65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7360232"/>
        <c:crosses val="autoZero"/>
        <c:auto val="0"/>
        <c:lblAlgn val="ctr"/>
        <c:lblOffset val="100"/>
        <c:noMultiLvlLbl val="0"/>
      </c:catAx>
      <c:valAx>
        <c:axId val="167360232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2.8675534876322278E-2"/>
              <c:y val="6.5425144876692419E-3"/>
            </c:manualLayout>
          </c:layout>
          <c:overlay val="0"/>
        </c:title>
        <c:numFmt formatCode="#,##0" sourceLinked="0"/>
        <c:majorTickMark val="cross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8229536"/>
        <c:crosses val="autoZero"/>
        <c:crossBetween val="between"/>
        <c:majorUnit val="20"/>
      </c:valAx>
      <c:valAx>
        <c:axId val="168256768"/>
        <c:scaling>
          <c:orientation val="minMax"/>
          <c:max val="1500000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"/>
                  <a:t>Millones</a:t>
                </a:r>
                <a:r>
                  <a:rPr lang="es-ES" baseline="0"/>
                  <a:t> t</a:t>
                </a:r>
                <a:r>
                  <a:rPr lang="es-ES"/>
                  <a:t>CO2</a:t>
                </a:r>
              </a:p>
            </c:rich>
          </c:tx>
          <c:layout>
            <c:manualLayout>
              <c:xMode val="edge"/>
              <c:yMode val="edge"/>
              <c:x val="0.89211760461760459"/>
              <c:y val="2.0981458382058674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67012224"/>
        <c:crosses val="max"/>
        <c:crossBetween val="between"/>
        <c:majorUnit val="30000000"/>
        <c:minorUnit val="1250000"/>
        <c:dispUnits>
          <c:builtInUnit val="millions"/>
        </c:dispUnits>
      </c:valAx>
      <c:catAx>
        <c:axId val="167012224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168256768"/>
        <c:crosses val="autoZero"/>
        <c:auto val="0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249800296702031E-2"/>
          <c:y val="0.87660487964296296"/>
          <c:w val="0.87015253528091607"/>
          <c:h val="0.1196813627868500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4563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>
      <c:oddHeader>&amp;A</c:oddHeader>
      <c:oddFooter>Página &amp;P</c:oddFooter>
    </c:headerFooter>
    <c:pageMargins b="1" l="0.75000000000000044" r="0.75000000000000044" t="1" header="0.511811024" footer="0.51181102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28575</xdr:colOff>
      <xdr:row>0</xdr:row>
      <xdr:rowOff>180975</xdr:rowOff>
    </xdr:from>
    <xdr:to>
      <xdr:col>2</xdr:col>
      <xdr:colOff>914400</xdr:colOff>
      <xdr:row>2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80975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9523</xdr:colOff>
      <xdr:row>2</xdr:row>
      <xdr:rowOff>38100</xdr:rowOff>
    </xdr:from>
    <xdr:to>
      <xdr:col>15</xdr:col>
      <xdr:colOff>13723</xdr:colOff>
      <xdr:row>2</xdr:row>
      <xdr:rowOff>38100</xdr:rowOff>
    </xdr:to>
    <xdr:sp macro="" textlink="">
      <xdr:nvSpPr>
        <xdr:cNvPr id="3" name="Lin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200023" y="495300"/>
          <a:ext cx="9072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28575</xdr:colOff>
      <xdr:row>0</xdr:row>
      <xdr:rowOff>152400</xdr:rowOff>
    </xdr:from>
    <xdr:to>
      <xdr:col>2</xdr:col>
      <xdr:colOff>914400</xdr:colOff>
      <xdr:row>1</xdr:row>
      <xdr:rowOff>161925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40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9524</xdr:colOff>
      <xdr:row>2</xdr:row>
      <xdr:rowOff>28575</xdr:rowOff>
    </xdr:from>
    <xdr:to>
      <xdr:col>11</xdr:col>
      <xdr:colOff>687899</xdr:colOff>
      <xdr:row>2</xdr:row>
      <xdr:rowOff>28575</xdr:rowOff>
    </xdr:to>
    <xdr:sp macro="" textlink="">
      <xdr:nvSpPr>
        <xdr:cNvPr id="3" name="Line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 flipH="1">
          <a:off x="200024" y="485775"/>
          <a:ext cx="910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9525</xdr:colOff>
      <xdr:row>4</xdr:row>
      <xdr:rowOff>247650</xdr:rowOff>
    </xdr:from>
    <xdr:to>
      <xdr:col>2</xdr:col>
      <xdr:colOff>459105</xdr:colOff>
      <xdr:row>6</xdr:row>
      <xdr:rowOff>46990</xdr:rowOff>
    </xdr:to>
    <xdr:pic>
      <xdr:nvPicPr>
        <xdr:cNvPr id="9" name="Imagen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704850"/>
          <a:ext cx="449580" cy="42799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8</xdr:col>
      <xdr:colOff>9525</xdr:colOff>
      <xdr:row>4</xdr:row>
      <xdr:rowOff>247650</xdr:rowOff>
    </xdr:from>
    <xdr:ext cx="449580" cy="427990"/>
    <xdr:pic>
      <xdr:nvPicPr>
        <xdr:cNvPr id="11" name="Imagen 10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6900" y="704850"/>
          <a:ext cx="449580" cy="42799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28575</xdr:colOff>
      <xdr:row>0</xdr:row>
      <xdr:rowOff>152400</xdr:rowOff>
    </xdr:from>
    <xdr:to>
      <xdr:col>3</xdr:col>
      <xdr:colOff>66675</xdr:colOff>
      <xdr:row>1</xdr:row>
      <xdr:rowOff>161925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40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9524</xdr:colOff>
      <xdr:row>2</xdr:row>
      <xdr:rowOff>28575</xdr:rowOff>
    </xdr:from>
    <xdr:to>
      <xdr:col>15</xdr:col>
      <xdr:colOff>833099</xdr:colOff>
      <xdr:row>2</xdr:row>
      <xdr:rowOff>28575</xdr:rowOff>
    </xdr:to>
    <xdr:sp macro="" textlink="">
      <xdr:nvSpPr>
        <xdr:cNvPr id="3" name="Line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H="1">
          <a:off x="200024" y="485775"/>
          <a:ext cx="11844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2</xdr:row>
      <xdr:rowOff>9525</xdr:rowOff>
    </xdr:from>
    <xdr:to>
      <xdr:col>8</xdr:col>
      <xdr:colOff>745275</xdr:colOff>
      <xdr:row>2</xdr:row>
      <xdr:rowOff>9525</xdr:rowOff>
    </xdr:to>
    <xdr:sp macro="" textlink="">
      <xdr:nvSpPr>
        <xdr:cNvPr id="2" name="Line 2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>
          <a:spLocks noChangeShapeType="1"/>
        </xdr:cNvSpPr>
      </xdr:nvSpPr>
      <xdr:spPr bwMode="auto">
        <a:xfrm flipH="1">
          <a:off x="180975" y="466725"/>
          <a:ext cx="7308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1</xdr:col>
      <xdr:colOff>1</xdr:colOff>
      <xdr:row>0</xdr:row>
      <xdr:rowOff>161925</xdr:rowOff>
    </xdr:from>
    <xdr:to>
      <xdr:col>1</xdr:col>
      <xdr:colOff>885826</xdr:colOff>
      <xdr:row>1</xdr:row>
      <xdr:rowOff>171450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6" y="161925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2</xdr:row>
      <xdr:rowOff>19050</xdr:rowOff>
    </xdr:from>
    <xdr:to>
      <xdr:col>4</xdr:col>
      <xdr:colOff>3886200</xdr:colOff>
      <xdr:row>2</xdr:row>
      <xdr:rowOff>19050</xdr:rowOff>
    </xdr:to>
    <xdr:sp macro="" textlink="">
      <xdr:nvSpPr>
        <xdr:cNvPr id="2" name="Line 2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 flipH="1">
          <a:off x="190500" y="476250"/>
          <a:ext cx="5210175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0</xdr:colOff>
      <xdr:row>0</xdr:row>
      <xdr:rowOff>171450</xdr:rowOff>
    </xdr:from>
    <xdr:to>
      <xdr:col>2</xdr:col>
      <xdr:colOff>885825</xdr:colOff>
      <xdr:row>1</xdr:row>
      <xdr:rowOff>180975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71450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4</xdr:col>
      <xdr:colOff>9525</xdr:colOff>
      <xdr:row>5</xdr:row>
      <xdr:rowOff>0</xdr:rowOff>
    </xdr:from>
    <xdr:to>
      <xdr:col>5</xdr:col>
      <xdr:colOff>28575</xdr:colOff>
      <xdr:row>20</xdr:row>
      <xdr:rowOff>19050</xdr:rowOff>
    </xdr:to>
    <xdr:graphicFrame macro="">
      <xdr:nvGraphicFramePr>
        <xdr:cNvPr id="5" name="GRAF1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4</xdr:col>
      <xdr:colOff>0</xdr:colOff>
      <xdr:row>21</xdr:row>
      <xdr:rowOff>0</xdr:rowOff>
    </xdr:from>
    <xdr:to>
      <xdr:col>5</xdr:col>
      <xdr:colOff>19050</xdr:colOff>
      <xdr:row>36</xdr:row>
      <xdr:rowOff>19050</xdr:rowOff>
    </xdr:to>
    <xdr:graphicFrame macro="">
      <xdr:nvGraphicFramePr>
        <xdr:cNvPr id="6" name="GRAF1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W40"/>
  <sheetViews>
    <sheetView showGridLines="0" showRowColHeaders="0" tabSelected="1" showOutlineSymbols="0" zoomScaleNormal="100" workbookViewId="0">
      <selection activeCell="L1" sqref="L1"/>
    </sheetView>
  </sheetViews>
  <sheetFormatPr baseColWidth="10" defaultRowHeight="12.75"/>
  <cols>
    <col min="1" max="1" width="0.140625" style="1" customWidth="1"/>
    <col min="2" max="2" width="2.7109375" style="1" customWidth="1"/>
    <col min="3" max="3" width="31.42578125" style="8" customWidth="1"/>
    <col min="4" max="4" width="8.7109375" style="12" customWidth="1"/>
    <col min="5" max="11" width="8.7109375" style="8" customWidth="1"/>
    <col min="12" max="12" width="8.7109375" style="12" customWidth="1"/>
    <col min="13" max="13" width="8.7109375" style="8" customWidth="1"/>
    <col min="14" max="14" width="8.7109375" style="12" customWidth="1"/>
    <col min="15" max="15" width="8.7109375" style="8" customWidth="1"/>
    <col min="16" max="250" width="11.42578125" style="8"/>
    <col min="251" max="251" width="0.140625" style="8" customWidth="1"/>
    <col min="252" max="252" width="2.7109375" style="8" customWidth="1"/>
    <col min="253" max="253" width="15.42578125" style="8" customWidth="1"/>
    <col min="254" max="254" width="1.28515625" style="8" customWidth="1"/>
    <col min="255" max="255" width="27.7109375" style="8" customWidth="1"/>
    <col min="256" max="256" width="6.7109375" style="8" customWidth="1"/>
    <col min="257" max="257" width="1.5703125" style="8" customWidth="1"/>
    <col min="258" max="258" width="10.5703125" style="8" customWidth="1"/>
    <col min="259" max="259" width="5.85546875" style="8" customWidth="1"/>
    <col min="260" max="260" width="1.5703125" style="8" customWidth="1"/>
    <col min="261" max="261" width="10.5703125" style="8" customWidth="1"/>
    <col min="262" max="262" width="6.7109375" style="8" customWidth="1"/>
    <col min="263" max="263" width="1.5703125" style="8" customWidth="1"/>
    <col min="264" max="264" width="10.5703125" style="8" customWidth="1"/>
    <col min="265" max="265" width="9.7109375" style="8" customWidth="1"/>
    <col min="266" max="266" width="13.28515625" style="8" bestFit="1" customWidth="1"/>
    <col min="267" max="267" width="7.7109375" style="8" customWidth="1"/>
    <col min="268" max="268" width="11.42578125" style="8"/>
    <col min="269" max="269" width="13.28515625" style="8" bestFit="1" customWidth="1"/>
    <col min="270" max="506" width="11.42578125" style="8"/>
    <col min="507" max="507" width="0.140625" style="8" customWidth="1"/>
    <col min="508" max="508" width="2.7109375" style="8" customWidth="1"/>
    <col min="509" max="509" width="15.42578125" style="8" customWidth="1"/>
    <col min="510" max="510" width="1.28515625" style="8" customWidth="1"/>
    <col min="511" max="511" width="27.7109375" style="8" customWidth="1"/>
    <col min="512" max="512" width="6.7109375" style="8" customWidth="1"/>
    <col min="513" max="513" width="1.5703125" style="8" customWidth="1"/>
    <col min="514" max="514" width="10.5703125" style="8" customWidth="1"/>
    <col min="515" max="515" width="5.85546875" style="8" customWidth="1"/>
    <col min="516" max="516" width="1.5703125" style="8" customWidth="1"/>
    <col min="517" max="517" width="10.5703125" style="8" customWidth="1"/>
    <col min="518" max="518" width="6.7109375" style="8" customWidth="1"/>
    <col min="519" max="519" width="1.5703125" style="8" customWidth="1"/>
    <col min="520" max="520" width="10.5703125" style="8" customWidth="1"/>
    <col min="521" max="521" width="9.7109375" style="8" customWidth="1"/>
    <col min="522" max="522" width="13.28515625" style="8" bestFit="1" customWidth="1"/>
    <col min="523" max="523" width="7.7109375" style="8" customWidth="1"/>
    <col min="524" max="524" width="11.42578125" style="8"/>
    <col min="525" max="525" width="13.28515625" style="8" bestFit="1" customWidth="1"/>
    <col min="526" max="762" width="11.42578125" style="8"/>
    <col min="763" max="763" width="0.140625" style="8" customWidth="1"/>
    <col min="764" max="764" width="2.7109375" style="8" customWidth="1"/>
    <col min="765" max="765" width="15.42578125" style="8" customWidth="1"/>
    <col min="766" max="766" width="1.28515625" style="8" customWidth="1"/>
    <col min="767" max="767" width="27.7109375" style="8" customWidth="1"/>
    <col min="768" max="768" width="6.7109375" style="8" customWidth="1"/>
    <col min="769" max="769" width="1.5703125" style="8" customWidth="1"/>
    <col min="770" max="770" width="10.5703125" style="8" customWidth="1"/>
    <col min="771" max="771" width="5.85546875" style="8" customWidth="1"/>
    <col min="772" max="772" width="1.5703125" style="8" customWidth="1"/>
    <col min="773" max="773" width="10.5703125" style="8" customWidth="1"/>
    <col min="774" max="774" width="6.7109375" style="8" customWidth="1"/>
    <col min="775" max="775" width="1.5703125" style="8" customWidth="1"/>
    <col min="776" max="776" width="10.5703125" style="8" customWidth="1"/>
    <col min="777" max="777" width="9.7109375" style="8" customWidth="1"/>
    <col min="778" max="778" width="13.28515625" style="8" bestFit="1" customWidth="1"/>
    <col min="779" max="779" width="7.7109375" style="8" customWidth="1"/>
    <col min="780" max="780" width="11.42578125" style="8"/>
    <col min="781" max="781" width="13.28515625" style="8" bestFit="1" customWidth="1"/>
    <col min="782" max="1018" width="11.42578125" style="8"/>
    <col min="1019" max="1019" width="0.140625" style="8" customWidth="1"/>
    <col min="1020" max="1020" width="2.7109375" style="8" customWidth="1"/>
    <col min="1021" max="1021" width="15.42578125" style="8" customWidth="1"/>
    <col min="1022" max="1022" width="1.28515625" style="8" customWidth="1"/>
    <col min="1023" max="1023" width="27.7109375" style="8" customWidth="1"/>
    <col min="1024" max="1024" width="6.7109375" style="8" customWidth="1"/>
    <col min="1025" max="1025" width="1.5703125" style="8" customWidth="1"/>
    <col min="1026" max="1026" width="10.5703125" style="8" customWidth="1"/>
    <col min="1027" max="1027" width="5.85546875" style="8" customWidth="1"/>
    <col min="1028" max="1028" width="1.5703125" style="8" customWidth="1"/>
    <col min="1029" max="1029" width="10.5703125" style="8" customWidth="1"/>
    <col min="1030" max="1030" width="6.7109375" style="8" customWidth="1"/>
    <col min="1031" max="1031" width="1.5703125" style="8" customWidth="1"/>
    <col min="1032" max="1032" width="10.5703125" style="8" customWidth="1"/>
    <col min="1033" max="1033" width="9.7109375" style="8" customWidth="1"/>
    <col min="1034" max="1034" width="13.28515625" style="8" bestFit="1" customWidth="1"/>
    <col min="1035" max="1035" width="7.7109375" style="8" customWidth="1"/>
    <col min="1036" max="1036" width="11.42578125" style="8"/>
    <col min="1037" max="1037" width="13.28515625" style="8" bestFit="1" customWidth="1"/>
    <col min="1038" max="1274" width="11.42578125" style="8"/>
    <col min="1275" max="1275" width="0.140625" style="8" customWidth="1"/>
    <col min="1276" max="1276" width="2.7109375" style="8" customWidth="1"/>
    <col min="1277" max="1277" width="15.42578125" style="8" customWidth="1"/>
    <col min="1278" max="1278" width="1.28515625" style="8" customWidth="1"/>
    <col min="1279" max="1279" width="27.7109375" style="8" customWidth="1"/>
    <col min="1280" max="1280" width="6.7109375" style="8" customWidth="1"/>
    <col min="1281" max="1281" width="1.5703125" style="8" customWidth="1"/>
    <col min="1282" max="1282" width="10.5703125" style="8" customWidth="1"/>
    <col min="1283" max="1283" width="5.85546875" style="8" customWidth="1"/>
    <col min="1284" max="1284" width="1.5703125" style="8" customWidth="1"/>
    <col min="1285" max="1285" width="10.5703125" style="8" customWidth="1"/>
    <col min="1286" max="1286" width="6.7109375" style="8" customWidth="1"/>
    <col min="1287" max="1287" width="1.5703125" style="8" customWidth="1"/>
    <col min="1288" max="1288" width="10.5703125" style="8" customWidth="1"/>
    <col min="1289" max="1289" width="9.7109375" style="8" customWidth="1"/>
    <col min="1290" max="1290" width="13.28515625" style="8" bestFit="1" customWidth="1"/>
    <col min="1291" max="1291" width="7.7109375" style="8" customWidth="1"/>
    <col min="1292" max="1292" width="11.42578125" style="8"/>
    <col min="1293" max="1293" width="13.28515625" style="8" bestFit="1" customWidth="1"/>
    <col min="1294" max="1530" width="11.42578125" style="8"/>
    <col min="1531" max="1531" width="0.140625" style="8" customWidth="1"/>
    <col min="1532" max="1532" width="2.7109375" style="8" customWidth="1"/>
    <col min="1533" max="1533" width="15.42578125" style="8" customWidth="1"/>
    <col min="1534" max="1534" width="1.28515625" style="8" customWidth="1"/>
    <col min="1535" max="1535" width="27.7109375" style="8" customWidth="1"/>
    <col min="1536" max="1536" width="6.7109375" style="8" customWidth="1"/>
    <col min="1537" max="1537" width="1.5703125" style="8" customWidth="1"/>
    <col min="1538" max="1538" width="10.5703125" style="8" customWidth="1"/>
    <col min="1539" max="1539" width="5.85546875" style="8" customWidth="1"/>
    <col min="1540" max="1540" width="1.5703125" style="8" customWidth="1"/>
    <col min="1541" max="1541" width="10.5703125" style="8" customWidth="1"/>
    <col min="1542" max="1542" width="6.7109375" style="8" customWidth="1"/>
    <col min="1543" max="1543" width="1.5703125" style="8" customWidth="1"/>
    <col min="1544" max="1544" width="10.5703125" style="8" customWidth="1"/>
    <col min="1545" max="1545" width="9.7109375" style="8" customWidth="1"/>
    <col min="1546" max="1546" width="13.28515625" style="8" bestFit="1" customWidth="1"/>
    <col min="1547" max="1547" width="7.7109375" style="8" customWidth="1"/>
    <col min="1548" max="1548" width="11.42578125" style="8"/>
    <col min="1549" max="1549" width="13.28515625" style="8" bestFit="1" customWidth="1"/>
    <col min="1550" max="1786" width="11.42578125" style="8"/>
    <col min="1787" max="1787" width="0.140625" style="8" customWidth="1"/>
    <col min="1788" max="1788" width="2.7109375" style="8" customWidth="1"/>
    <col min="1789" max="1789" width="15.42578125" style="8" customWidth="1"/>
    <col min="1790" max="1790" width="1.28515625" style="8" customWidth="1"/>
    <col min="1791" max="1791" width="27.7109375" style="8" customWidth="1"/>
    <col min="1792" max="1792" width="6.7109375" style="8" customWidth="1"/>
    <col min="1793" max="1793" width="1.5703125" style="8" customWidth="1"/>
    <col min="1794" max="1794" width="10.5703125" style="8" customWidth="1"/>
    <col min="1795" max="1795" width="5.85546875" style="8" customWidth="1"/>
    <col min="1796" max="1796" width="1.5703125" style="8" customWidth="1"/>
    <col min="1797" max="1797" width="10.5703125" style="8" customWidth="1"/>
    <col min="1798" max="1798" width="6.7109375" style="8" customWidth="1"/>
    <col min="1799" max="1799" width="1.5703125" style="8" customWidth="1"/>
    <col min="1800" max="1800" width="10.5703125" style="8" customWidth="1"/>
    <col min="1801" max="1801" width="9.7109375" style="8" customWidth="1"/>
    <col min="1802" max="1802" width="13.28515625" style="8" bestFit="1" customWidth="1"/>
    <col min="1803" max="1803" width="7.7109375" style="8" customWidth="1"/>
    <col min="1804" max="1804" width="11.42578125" style="8"/>
    <col min="1805" max="1805" width="13.28515625" style="8" bestFit="1" customWidth="1"/>
    <col min="1806" max="2042" width="11.42578125" style="8"/>
    <col min="2043" max="2043" width="0.140625" style="8" customWidth="1"/>
    <col min="2044" max="2044" width="2.7109375" style="8" customWidth="1"/>
    <col min="2045" max="2045" width="15.42578125" style="8" customWidth="1"/>
    <col min="2046" max="2046" width="1.28515625" style="8" customWidth="1"/>
    <col min="2047" max="2047" width="27.7109375" style="8" customWidth="1"/>
    <col min="2048" max="2048" width="6.7109375" style="8" customWidth="1"/>
    <col min="2049" max="2049" width="1.5703125" style="8" customWidth="1"/>
    <col min="2050" max="2050" width="10.5703125" style="8" customWidth="1"/>
    <col min="2051" max="2051" width="5.85546875" style="8" customWidth="1"/>
    <col min="2052" max="2052" width="1.5703125" style="8" customWidth="1"/>
    <col min="2053" max="2053" width="10.5703125" style="8" customWidth="1"/>
    <col min="2054" max="2054" width="6.7109375" style="8" customWidth="1"/>
    <col min="2055" max="2055" width="1.5703125" style="8" customWidth="1"/>
    <col min="2056" max="2056" width="10.5703125" style="8" customWidth="1"/>
    <col min="2057" max="2057" width="9.7109375" style="8" customWidth="1"/>
    <col min="2058" max="2058" width="13.28515625" style="8" bestFit="1" customWidth="1"/>
    <col min="2059" max="2059" width="7.7109375" style="8" customWidth="1"/>
    <col min="2060" max="2060" width="11.42578125" style="8"/>
    <col min="2061" max="2061" width="13.28515625" style="8" bestFit="1" customWidth="1"/>
    <col min="2062" max="2298" width="11.42578125" style="8"/>
    <col min="2299" max="2299" width="0.140625" style="8" customWidth="1"/>
    <col min="2300" max="2300" width="2.7109375" style="8" customWidth="1"/>
    <col min="2301" max="2301" width="15.42578125" style="8" customWidth="1"/>
    <col min="2302" max="2302" width="1.28515625" style="8" customWidth="1"/>
    <col min="2303" max="2303" width="27.7109375" style="8" customWidth="1"/>
    <col min="2304" max="2304" width="6.7109375" style="8" customWidth="1"/>
    <col min="2305" max="2305" width="1.5703125" style="8" customWidth="1"/>
    <col min="2306" max="2306" width="10.5703125" style="8" customWidth="1"/>
    <col min="2307" max="2307" width="5.85546875" style="8" customWidth="1"/>
    <col min="2308" max="2308" width="1.5703125" style="8" customWidth="1"/>
    <col min="2309" max="2309" width="10.5703125" style="8" customWidth="1"/>
    <col min="2310" max="2310" width="6.7109375" style="8" customWidth="1"/>
    <col min="2311" max="2311" width="1.5703125" style="8" customWidth="1"/>
    <col min="2312" max="2312" width="10.5703125" style="8" customWidth="1"/>
    <col min="2313" max="2313" width="9.7109375" style="8" customWidth="1"/>
    <col min="2314" max="2314" width="13.28515625" style="8" bestFit="1" customWidth="1"/>
    <col min="2315" max="2315" width="7.7109375" style="8" customWidth="1"/>
    <col min="2316" max="2316" width="11.42578125" style="8"/>
    <col min="2317" max="2317" width="13.28515625" style="8" bestFit="1" customWidth="1"/>
    <col min="2318" max="2554" width="11.42578125" style="8"/>
    <col min="2555" max="2555" width="0.140625" style="8" customWidth="1"/>
    <col min="2556" max="2556" width="2.7109375" style="8" customWidth="1"/>
    <col min="2557" max="2557" width="15.42578125" style="8" customWidth="1"/>
    <col min="2558" max="2558" width="1.28515625" style="8" customWidth="1"/>
    <col min="2559" max="2559" width="27.7109375" style="8" customWidth="1"/>
    <col min="2560" max="2560" width="6.7109375" style="8" customWidth="1"/>
    <col min="2561" max="2561" width="1.5703125" style="8" customWidth="1"/>
    <col min="2562" max="2562" width="10.5703125" style="8" customWidth="1"/>
    <col min="2563" max="2563" width="5.85546875" style="8" customWidth="1"/>
    <col min="2564" max="2564" width="1.5703125" style="8" customWidth="1"/>
    <col min="2565" max="2565" width="10.5703125" style="8" customWidth="1"/>
    <col min="2566" max="2566" width="6.7109375" style="8" customWidth="1"/>
    <col min="2567" max="2567" width="1.5703125" style="8" customWidth="1"/>
    <col min="2568" max="2568" width="10.5703125" style="8" customWidth="1"/>
    <col min="2569" max="2569" width="9.7109375" style="8" customWidth="1"/>
    <col min="2570" max="2570" width="13.28515625" style="8" bestFit="1" customWidth="1"/>
    <col min="2571" max="2571" width="7.7109375" style="8" customWidth="1"/>
    <col min="2572" max="2572" width="11.42578125" style="8"/>
    <col min="2573" max="2573" width="13.28515625" style="8" bestFit="1" customWidth="1"/>
    <col min="2574" max="2810" width="11.42578125" style="8"/>
    <col min="2811" max="2811" width="0.140625" style="8" customWidth="1"/>
    <col min="2812" max="2812" width="2.7109375" style="8" customWidth="1"/>
    <col min="2813" max="2813" width="15.42578125" style="8" customWidth="1"/>
    <col min="2814" max="2814" width="1.28515625" style="8" customWidth="1"/>
    <col min="2815" max="2815" width="27.7109375" style="8" customWidth="1"/>
    <col min="2816" max="2816" width="6.7109375" style="8" customWidth="1"/>
    <col min="2817" max="2817" width="1.5703125" style="8" customWidth="1"/>
    <col min="2818" max="2818" width="10.5703125" style="8" customWidth="1"/>
    <col min="2819" max="2819" width="5.85546875" style="8" customWidth="1"/>
    <col min="2820" max="2820" width="1.5703125" style="8" customWidth="1"/>
    <col min="2821" max="2821" width="10.5703125" style="8" customWidth="1"/>
    <col min="2822" max="2822" width="6.7109375" style="8" customWidth="1"/>
    <col min="2823" max="2823" width="1.5703125" style="8" customWidth="1"/>
    <col min="2824" max="2824" width="10.5703125" style="8" customWidth="1"/>
    <col min="2825" max="2825" width="9.7109375" style="8" customWidth="1"/>
    <col min="2826" max="2826" width="13.28515625" style="8" bestFit="1" customWidth="1"/>
    <col min="2827" max="2827" width="7.7109375" style="8" customWidth="1"/>
    <col min="2828" max="2828" width="11.42578125" style="8"/>
    <col min="2829" max="2829" width="13.28515625" style="8" bestFit="1" customWidth="1"/>
    <col min="2830" max="3066" width="11.42578125" style="8"/>
    <col min="3067" max="3067" width="0.140625" style="8" customWidth="1"/>
    <col min="3068" max="3068" width="2.7109375" style="8" customWidth="1"/>
    <col min="3069" max="3069" width="15.42578125" style="8" customWidth="1"/>
    <col min="3070" max="3070" width="1.28515625" style="8" customWidth="1"/>
    <col min="3071" max="3071" width="27.7109375" style="8" customWidth="1"/>
    <col min="3072" max="3072" width="6.7109375" style="8" customWidth="1"/>
    <col min="3073" max="3073" width="1.5703125" style="8" customWidth="1"/>
    <col min="3074" max="3074" width="10.5703125" style="8" customWidth="1"/>
    <col min="3075" max="3075" width="5.85546875" style="8" customWidth="1"/>
    <col min="3076" max="3076" width="1.5703125" style="8" customWidth="1"/>
    <col min="3077" max="3077" width="10.5703125" style="8" customWidth="1"/>
    <col min="3078" max="3078" width="6.7109375" style="8" customWidth="1"/>
    <col min="3079" max="3079" width="1.5703125" style="8" customWidth="1"/>
    <col min="3080" max="3080" width="10.5703125" style="8" customWidth="1"/>
    <col min="3081" max="3081" width="9.7109375" style="8" customWidth="1"/>
    <col min="3082" max="3082" width="13.28515625" style="8" bestFit="1" customWidth="1"/>
    <col min="3083" max="3083" width="7.7109375" style="8" customWidth="1"/>
    <col min="3084" max="3084" width="11.42578125" style="8"/>
    <col min="3085" max="3085" width="13.28515625" style="8" bestFit="1" customWidth="1"/>
    <col min="3086" max="3322" width="11.42578125" style="8"/>
    <col min="3323" max="3323" width="0.140625" style="8" customWidth="1"/>
    <col min="3324" max="3324" width="2.7109375" style="8" customWidth="1"/>
    <col min="3325" max="3325" width="15.42578125" style="8" customWidth="1"/>
    <col min="3326" max="3326" width="1.28515625" style="8" customWidth="1"/>
    <col min="3327" max="3327" width="27.7109375" style="8" customWidth="1"/>
    <col min="3328" max="3328" width="6.7109375" style="8" customWidth="1"/>
    <col min="3329" max="3329" width="1.5703125" style="8" customWidth="1"/>
    <col min="3330" max="3330" width="10.5703125" style="8" customWidth="1"/>
    <col min="3331" max="3331" width="5.85546875" style="8" customWidth="1"/>
    <col min="3332" max="3332" width="1.5703125" style="8" customWidth="1"/>
    <col min="3333" max="3333" width="10.5703125" style="8" customWidth="1"/>
    <col min="3334" max="3334" width="6.7109375" style="8" customWidth="1"/>
    <col min="3335" max="3335" width="1.5703125" style="8" customWidth="1"/>
    <col min="3336" max="3336" width="10.5703125" style="8" customWidth="1"/>
    <col min="3337" max="3337" width="9.7109375" style="8" customWidth="1"/>
    <col min="3338" max="3338" width="13.28515625" style="8" bestFit="1" customWidth="1"/>
    <col min="3339" max="3339" width="7.7109375" style="8" customWidth="1"/>
    <col min="3340" max="3340" width="11.42578125" style="8"/>
    <col min="3341" max="3341" width="13.28515625" style="8" bestFit="1" customWidth="1"/>
    <col min="3342" max="3578" width="11.42578125" style="8"/>
    <col min="3579" max="3579" width="0.140625" style="8" customWidth="1"/>
    <col min="3580" max="3580" width="2.7109375" style="8" customWidth="1"/>
    <col min="3581" max="3581" width="15.42578125" style="8" customWidth="1"/>
    <col min="3582" max="3582" width="1.28515625" style="8" customWidth="1"/>
    <col min="3583" max="3583" width="27.7109375" style="8" customWidth="1"/>
    <col min="3584" max="3584" width="6.7109375" style="8" customWidth="1"/>
    <col min="3585" max="3585" width="1.5703125" style="8" customWidth="1"/>
    <col min="3586" max="3586" width="10.5703125" style="8" customWidth="1"/>
    <col min="3587" max="3587" width="5.85546875" style="8" customWidth="1"/>
    <col min="3588" max="3588" width="1.5703125" style="8" customWidth="1"/>
    <col min="3589" max="3589" width="10.5703125" style="8" customWidth="1"/>
    <col min="3590" max="3590" width="6.7109375" style="8" customWidth="1"/>
    <col min="3591" max="3591" width="1.5703125" style="8" customWidth="1"/>
    <col min="3592" max="3592" width="10.5703125" style="8" customWidth="1"/>
    <col min="3593" max="3593" width="9.7109375" style="8" customWidth="1"/>
    <col min="3594" max="3594" width="13.28515625" style="8" bestFit="1" customWidth="1"/>
    <col min="3595" max="3595" width="7.7109375" style="8" customWidth="1"/>
    <col min="3596" max="3596" width="11.42578125" style="8"/>
    <col min="3597" max="3597" width="13.28515625" style="8" bestFit="1" customWidth="1"/>
    <col min="3598" max="3834" width="11.42578125" style="8"/>
    <col min="3835" max="3835" width="0.140625" style="8" customWidth="1"/>
    <col min="3836" max="3836" width="2.7109375" style="8" customWidth="1"/>
    <col min="3837" max="3837" width="15.42578125" style="8" customWidth="1"/>
    <col min="3838" max="3838" width="1.28515625" style="8" customWidth="1"/>
    <col min="3839" max="3839" width="27.7109375" style="8" customWidth="1"/>
    <col min="3840" max="3840" width="6.7109375" style="8" customWidth="1"/>
    <col min="3841" max="3841" width="1.5703125" style="8" customWidth="1"/>
    <col min="3842" max="3842" width="10.5703125" style="8" customWidth="1"/>
    <col min="3843" max="3843" width="5.85546875" style="8" customWidth="1"/>
    <col min="3844" max="3844" width="1.5703125" style="8" customWidth="1"/>
    <col min="3845" max="3845" width="10.5703125" style="8" customWidth="1"/>
    <col min="3846" max="3846" width="6.7109375" style="8" customWidth="1"/>
    <col min="3847" max="3847" width="1.5703125" style="8" customWidth="1"/>
    <col min="3848" max="3848" width="10.5703125" style="8" customWidth="1"/>
    <col min="3849" max="3849" width="9.7109375" style="8" customWidth="1"/>
    <col min="3850" max="3850" width="13.28515625" style="8" bestFit="1" customWidth="1"/>
    <col min="3851" max="3851" width="7.7109375" style="8" customWidth="1"/>
    <col min="3852" max="3852" width="11.42578125" style="8"/>
    <col min="3853" max="3853" width="13.28515625" style="8" bestFit="1" customWidth="1"/>
    <col min="3854" max="4090" width="11.42578125" style="8"/>
    <col min="4091" max="4091" width="0.140625" style="8" customWidth="1"/>
    <col min="4092" max="4092" width="2.7109375" style="8" customWidth="1"/>
    <col min="4093" max="4093" width="15.42578125" style="8" customWidth="1"/>
    <col min="4094" max="4094" width="1.28515625" style="8" customWidth="1"/>
    <col min="4095" max="4095" width="27.7109375" style="8" customWidth="1"/>
    <col min="4096" max="4096" width="6.7109375" style="8" customWidth="1"/>
    <col min="4097" max="4097" width="1.5703125" style="8" customWidth="1"/>
    <col min="4098" max="4098" width="10.5703125" style="8" customWidth="1"/>
    <col min="4099" max="4099" width="5.85546875" style="8" customWidth="1"/>
    <col min="4100" max="4100" width="1.5703125" style="8" customWidth="1"/>
    <col min="4101" max="4101" width="10.5703125" style="8" customWidth="1"/>
    <col min="4102" max="4102" width="6.7109375" style="8" customWidth="1"/>
    <col min="4103" max="4103" width="1.5703125" style="8" customWidth="1"/>
    <col min="4104" max="4104" width="10.5703125" style="8" customWidth="1"/>
    <col min="4105" max="4105" width="9.7109375" style="8" customWidth="1"/>
    <col min="4106" max="4106" width="13.28515625" style="8" bestFit="1" customWidth="1"/>
    <col min="4107" max="4107" width="7.7109375" style="8" customWidth="1"/>
    <col min="4108" max="4108" width="11.42578125" style="8"/>
    <col min="4109" max="4109" width="13.28515625" style="8" bestFit="1" customWidth="1"/>
    <col min="4110" max="4346" width="11.42578125" style="8"/>
    <col min="4347" max="4347" width="0.140625" style="8" customWidth="1"/>
    <col min="4348" max="4348" width="2.7109375" style="8" customWidth="1"/>
    <col min="4349" max="4349" width="15.42578125" style="8" customWidth="1"/>
    <col min="4350" max="4350" width="1.28515625" style="8" customWidth="1"/>
    <col min="4351" max="4351" width="27.7109375" style="8" customWidth="1"/>
    <col min="4352" max="4352" width="6.7109375" style="8" customWidth="1"/>
    <col min="4353" max="4353" width="1.5703125" style="8" customWidth="1"/>
    <col min="4354" max="4354" width="10.5703125" style="8" customWidth="1"/>
    <col min="4355" max="4355" width="5.85546875" style="8" customWidth="1"/>
    <col min="4356" max="4356" width="1.5703125" style="8" customWidth="1"/>
    <col min="4357" max="4357" width="10.5703125" style="8" customWidth="1"/>
    <col min="4358" max="4358" width="6.7109375" style="8" customWidth="1"/>
    <col min="4359" max="4359" width="1.5703125" style="8" customWidth="1"/>
    <col min="4360" max="4360" width="10.5703125" style="8" customWidth="1"/>
    <col min="4361" max="4361" width="9.7109375" style="8" customWidth="1"/>
    <col min="4362" max="4362" width="13.28515625" style="8" bestFit="1" customWidth="1"/>
    <col min="4363" max="4363" width="7.7109375" style="8" customWidth="1"/>
    <col min="4364" max="4364" width="11.42578125" style="8"/>
    <col min="4365" max="4365" width="13.28515625" style="8" bestFit="1" customWidth="1"/>
    <col min="4366" max="4602" width="11.42578125" style="8"/>
    <col min="4603" max="4603" width="0.140625" style="8" customWidth="1"/>
    <col min="4604" max="4604" width="2.7109375" style="8" customWidth="1"/>
    <col min="4605" max="4605" width="15.42578125" style="8" customWidth="1"/>
    <col min="4606" max="4606" width="1.28515625" style="8" customWidth="1"/>
    <col min="4607" max="4607" width="27.7109375" style="8" customWidth="1"/>
    <col min="4608" max="4608" width="6.7109375" style="8" customWidth="1"/>
    <col min="4609" max="4609" width="1.5703125" style="8" customWidth="1"/>
    <col min="4610" max="4610" width="10.5703125" style="8" customWidth="1"/>
    <col min="4611" max="4611" width="5.85546875" style="8" customWidth="1"/>
    <col min="4612" max="4612" width="1.5703125" style="8" customWidth="1"/>
    <col min="4613" max="4613" width="10.5703125" style="8" customWidth="1"/>
    <col min="4614" max="4614" width="6.7109375" style="8" customWidth="1"/>
    <col min="4615" max="4615" width="1.5703125" style="8" customWidth="1"/>
    <col min="4616" max="4616" width="10.5703125" style="8" customWidth="1"/>
    <col min="4617" max="4617" width="9.7109375" style="8" customWidth="1"/>
    <col min="4618" max="4618" width="13.28515625" style="8" bestFit="1" customWidth="1"/>
    <col min="4619" max="4619" width="7.7109375" style="8" customWidth="1"/>
    <col min="4620" max="4620" width="11.42578125" style="8"/>
    <col min="4621" max="4621" width="13.28515625" style="8" bestFit="1" customWidth="1"/>
    <col min="4622" max="4858" width="11.42578125" style="8"/>
    <col min="4859" max="4859" width="0.140625" style="8" customWidth="1"/>
    <col min="4860" max="4860" width="2.7109375" style="8" customWidth="1"/>
    <col min="4861" max="4861" width="15.42578125" style="8" customWidth="1"/>
    <col min="4862" max="4862" width="1.28515625" style="8" customWidth="1"/>
    <col min="4863" max="4863" width="27.7109375" style="8" customWidth="1"/>
    <col min="4864" max="4864" width="6.7109375" style="8" customWidth="1"/>
    <col min="4865" max="4865" width="1.5703125" style="8" customWidth="1"/>
    <col min="4866" max="4866" width="10.5703125" style="8" customWidth="1"/>
    <col min="4867" max="4867" width="5.85546875" style="8" customWidth="1"/>
    <col min="4868" max="4868" width="1.5703125" style="8" customWidth="1"/>
    <col min="4869" max="4869" width="10.5703125" style="8" customWidth="1"/>
    <col min="4870" max="4870" width="6.7109375" style="8" customWidth="1"/>
    <col min="4871" max="4871" width="1.5703125" style="8" customWidth="1"/>
    <col min="4872" max="4872" width="10.5703125" style="8" customWidth="1"/>
    <col min="4873" max="4873" width="9.7109375" style="8" customWidth="1"/>
    <col min="4874" max="4874" width="13.28515625" style="8" bestFit="1" customWidth="1"/>
    <col min="4875" max="4875" width="7.7109375" style="8" customWidth="1"/>
    <col min="4876" max="4876" width="11.42578125" style="8"/>
    <col min="4877" max="4877" width="13.28515625" style="8" bestFit="1" customWidth="1"/>
    <col min="4878" max="5114" width="11.42578125" style="8"/>
    <col min="5115" max="5115" width="0.140625" style="8" customWidth="1"/>
    <col min="5116" max="5116" width="2.7109375" style="8" customWidth="1"/>
    <col min="5117" max="5117" width="15.42578125" style="8" customWidth="1"/>
    <col min="5118" max="5118" width="1.28515625" style="8" customWidth="1"/>
    <col min="5119" max="5119" width="27.7109375" style="8" customWidth="1"/>
    <col min="5120" max="5120" width="6.7109375" style="8" customWidth="1"/>
    <col min="5121" max="5121" width="1.5703125" style="8" customWidth="1"/>
    <col min="5122" max="5122" width="10.5703125" style="8" customWidth="1"/>
    <col min="5123" max="5123" width="5.85546875" style="8" customWidth="1"/>
    <col min="5124" max="5124" width="1.5703125" style="8" customWidth="1"/>
    <col min="5125" max="5125" width="10.5703125" style="8" customWidth="1"/>
    <col min="5126" max="5126" width="6.7109375" style="8" customWidth="1"/>
    <col min="5127" max="5127" width="1.5703125" style="8" customWidth="1"/>
    <col min="5128" max="5128" width="10.5703125" style="8" customWidth="1"/>
    <col min="5129" max="5129" width="9.7109375" style="8" customWidth="1"/>
    <col min="5130" max="5130" width="13.28515625" style="8" bestFit="1" customWidth="1"/>
    <col min="5131" max="5131" width="7.7109375" style="8" customWidth="1"/>
    <col min="5132" max="5132" width="11.42578125" style="8"/>
    <col min="5133" max="5133" width="13.28515625" style="8" bestFit="1" customWidth="1"/>
    <col min="5134" max="5370" width="11.42578125" style="8"/>
    <col min="5371" max="5371" width="0.140625" style="8" customWidth="1"/>
    <col min="5372" max="5372" width="2.7109375" style="8" customWidth="1"/>
    <col min="5373" max="5373" width="15.42578125" style="8" customWidth="1"/>
    <col min="5374" max="5374" width="1.28515625" style="8" customWidth="1"/>
    <col min="5375" max="5375" width="27.7109375" style="8" customWidth="1"/>
    <col min="5376" max="5376" width="6.7109375" style="8" customWidth="1"/>
    <col min="5377" max="5377" width="1.5703125" style="8" customWidth="1"/>
    <col min="5378" max="5378" width="10.5703125" style="8" customWidth="1"/>
    <col min="5379" max="5379" width="5.85546875" style="8" customWidth="1"/>
    <col min="5380" max="5380" width="1.5703125" style="8" customWidth="1"/>
    <col min="5381" max="5381" width="10.5703125" style="8" customWidth="1"/>
    <col min="5382" max="5382" width="6.7109375" style="8" customWidth="1"/>
    <col min="5383" max="5383" width="1.5703125" style="8" customWidth="1"/>
    <col min="5384" max="5384" width="10.5703125" style="8" customWidth="1"/>
    <col min="5385" max="5385" width="9.7109375" style="8" customWidth="1"/>
    <col min="5386" max="5386" width="13.28515625" style="8" bestFit="1" customWidth="1"/>
    <col min="5387" max="5387" width="7.7109375" style="8" customWidth="1"/>
    <col min="5388" max="5388" width="11.42578125" style="8"/>
    <col min="5389" max="5389" width="13.28515625" style="8" bestFit="1" customWidth="1"/>
    <col min="5390" max="5626" width="11.42578125" style="8"/>
    <col min="5627" max="5627" width="0.140625" style="8" customWidth="1"/>
    <col min="5628" max="5628" width="2.7109375" style="8" customWidth="1"/>
    <col min="5629" max="5629" width="15.42578125" style="8" customWidth="1"/>
    <col min="5630" max="5630" width="1.28515625" style="8" customWidth="1"/>
    <col min="5631" max="5631" width="27.7109375" style="8" customWidth="1"/>
    <col min="5632" max="5632" width="6.7109375" style="8" customWidth="1"/>
    <col min="5633" max="5633" width="1.5703125" style="8" customWidth="1"/>
    <col min="5634" max="5634" width="10.5703125" style="8" customWidth="1"/>
    <col min="5635" max="5635" width="5.85546875" style="8" customWidth="1"/>
    <col min="5636" max="5636" width="1.5703125" style="8" customWidth="1"/>
    <col min="5637" max="5637" width="10.5703125" style="8" customWidth="1"/>
    <col min="5638" max="5638" width="6.7109375" style="8" customWidth="1"/>
    <col min="5639" max="5639" width="1.5703125" style="8" customWidth="1"/>
    <col min="5640" max="5640" width="10.5703125" style="8" customWidth="1"/>
    <col min="5641" max="5641" width="9.7109375" style="8" customWidth="1"/>
    <col min="5642" max="5642" width="13.28515625" style="8" bestFit="1" customWidth="1"/>
    <col min="5643" max="5643" width="7.7109375" style="8" customWidth="1"/>
    <col min="5644" max="5644" width="11.42578125" style="8"/>
    <col min="5645" max="5645" width="13.28515625" style="8" bestFit="1" customWidth="1"/>
    <col min="5646" max="5882" width="11.42578125" style="8"/>
    <col min="5883" max="5883" width="0.140625" style="8" customWidth="1"/>
    <col min="5884" max="5884" width="2.7109375" style="8" customWidth="1"/>
    <col min="5885" max="5885" width="15.42578125" style="8" customWidth="1"/>
    <col min="5886" max="5886" width="1.28515625" style="8" customWidth="1"/>
    <col min="5887" max="5887" width="27.7109375" style="8" customWidth="1"/>
    <col min="5888" max="5888" width="6.7109375" style="8" customWidth="1"/>
    <col min="5889" max="5889" width="1.5703125" style="8" customWidth="1"/>
    <col min="5890" max="5890" width="10.5703125" style="8" customWidth="1"/>
    <col min="5891" max="5891" width="5.85546875" style="8" customWidth="1"/>
    <col min="5892" max="5892" width="1.5703125" style="8" customWidth="1"/>
    <col min="5893" max="5893" width="10.5703125" style="8" customWidth="1"/>
    <col min="5894" max="5894" width="6.7109375" style="8" customWidth="1"/>
    <col min="5895" max="5895" width="1.5703125" style="8" customWidth="1"/>
    <col min="5896" max="5896" width="10.5703125" style="8" customWidth="1"/>
    <col min="5897" max="5897" width="9.7109375" style="8" customWidth="1"/>
    <col min="5898" max="5898" width="13.28515625" style="8" bestFit="1" customWidth="1"/>
    <col min="5899" max="5899" width="7.7109375" style="8" customWidth="1"/>
    <col min="5900" max="5900" width="11.42578125" style="8"/>
    <col min="5901" max="5901" width="13.28515625" style="8" bestFit="1" customWidth="1"/>
    <col min="5902" max="6138" width="11.42578125" style="8"/>
    <col min="6139" max="6139" width="0.140625" style="8" customWidth="1"/>
    <col min="6140" max="6140" width="2.7109375" style="8" customWidth="1"/>
    <col min="6141" max="6141" width="15.42578125" style="8" customWidth="1"/>
    <col min="6142" max="6142" width="1.28515625" style="8" customWidth="1"/>
    <col min="6143" max="6143" width="27.7109375" style="8" customWidth="1"/>
    <col min="6144" max="6144" width="6.7109375" style="8" customWidth="1"/>
    <col min="6145" max="6145" width="1.5703125" style="8" customWidth="1"/>
    <col min="6146" max="6146" width="10.5703125" style="8" customWidth="1"/>
    <col min="6147" max="6147" width="5.85546875" style="8" customWidth="1"/>
    <col min="6148" max="6148" width="1.5703125" style="8" customWidth="1"/>
    <col min="6149" max="6149" width="10.5703125" style="8" customWidth="1"/>
    <col min="6150" max="6150" width="6.7109375" style="8" customWidth="1"/>
    <col min="6151" max="6151" width="1.5703125" style="8" customWidth="1"/>
    <col min="6152" max="6152" width="10.5703125" style="8" customWidth="1"/>
    <col min="6153" max="6153" width="9.7109375" style="8" customWidth="1"/>
    <col min="6154" max="6154" width="13.28515625" style="8" bestFit="1" customWidth="1"/>
    <col min="6155" max="6155" width="7.7109375" style="8" customWidth="1"/>
    <col min="6156" max="6156" width="11.42578125" style="8"/>
    <col min="6157" max="6157" width="13.28515625" style="8" bestFit="1" customWidth="1"/>
    <col min="6158" max="6394" width="11.42578125" style="8"/>
    <col min="6395" max="6395" width="0.140625" style="8" customWidth="1"/>
    <col min="6396" max="6396" width="2.7109375" style="8" customWidth="1"/>
    <col min="6397" max="6397" width="15.42578125" style="8" customWidth="1"/>
    <col min="6398" max="6398" width="1.28515625" style="8" customWidth="1"/>
    <col min="6399" max="6399" width="27.7109375" style="8" customWidth="1"/>
    <col min="6400" max="6400" width="6.7109375" style="8" customWidth="1"/>
    <col min="6401" max="6401" width="1.5703125" style="8" customWidth="1"/>
    <col min="6402" max="6402" width="10.5703125" style="8" customWidth="1"/>
    <col min="6403" max="6403" width="5.85546875" style="8" customWidth="1"/>
    <col min="6404" max="6404" width="1.5703125" style="8" customWidth="1"/>
    <col min="6405" max="6405" width="10.5703125" style="8" customWidth="1"/>
    <col min="6406" max="6406" width="6.7109375" style="8" customWidth="1"/>
    <col min="6407" max="6407" width="1.5703125" style="8" customWidth="1"/>
    <col min="6408" max="6408" width="10.5703125" style="8" customWidth="1"/>
    <col min="6409" max="6409" width="9.7109375" style="8" customWidth="1"/>
    <col min="6410" max="6410" width="13.28515625" style="8" bestFit="1" customWidth="1"/>
    <col min="6411" max="6411" width="7.7109375" style="8" customWidth="1"/>
    <col min="6412" max="6412" width="11.42578125" style="8"/>
    <col min="6413" max="6413" width="13.28515625" style="8" bestFit="1" customWidth="1"/>
    <col min="6414" max="6650" width="11.42578125" style="8"/>
    <col min="6651" max="6651" width="0.140625" style="8" customWidth="1"/>
    <col min="6652" max="6652" width="2.7109375" style="8" customWidth="1"/>
    <col min="6653" max="6653" width="15.42578125" style="8" customWidth="1"/>
    <col min="6654" max="6654" width="1.28515625" style="8" customWidth="1"/>
    <col min="6655" max="6655" width="27.7109375" style="8" customWidth="1"/>
    <col min="6656" max="6656" width="6.7109375" style="8" customWidth="1"/>
    <col min="6657" max="6657" width="1.5703125" style="8" customWidth="1"/>
    <col min="6658" max="6658" width="10.5703125" style="8" customWidth="1"/>
    <col min="6659" max="6659" width="5.85546875" style="8" customWidth="1"/>
    <col min="6660" max="6660" width="1.5703125" style="8" customWidth="1"/>
    <col min="6661" max="6661" width="10.5703125" style="8" customWidth="1"/>
    <col min="6662" max="6662" width="6.7109375" style="8" customWidth="1"/>
    <col min="6663" max="6663" width="1.5703125" style="8" customWidth="1"/>
    <col min="6664" max="6664" width="10.5703125" style="8" customWidth="1"/>
    <col min="6665" max="6665" width="9.7109375" style="8" customWidth="1"/>
    <col min="6666" max="6666" width="13.28515625" style="8" bestFit="1" customWidth="1"/>
    <col min="6667" max="6667" width="7.7109375" style="8" customWidth="1"/>
    <col min="6668" max="6668" width="11.42578125" style="8"/>
    <col min="6669" max="6669" width="13.28515625" style="8" bestFit="1" customWidth="1"/>
    <col min="6670" max="6906" width="11.42578125" style="8"/>
    <col min="6907" max="6907" width="0.140625" style="8" customWidth="1"/>
    <col min="6908" max="6908" width="2.7109375" style="8" customWidth="1"/>
    <col min="6909" max="6909" width="15.42578125" style="8" customWidth="1"/>
    <col min="6910" max="6910" width="1.28515625" style="8" customWidth="1"/>
    <col min="6911" max="6911" width="27.7109375" style="8" customWidth="1"/>
    <col min="6912" max="6912" width="6.7109375" style="8" customWidth="1"/>
    <col min="6913" max="6913" width="1.5703125" style="8" customWidth="1"/>
    <col min="6914" max="6914" width="10.5703125" style="8" customWidth="1"/>
    <col min="6915" max="6915" width="5.85546875" style="8" customWidth="1"/>
    <col min="6916" max="6916" width="1.5703125" style="8" customWidth="1"/>
    <col min="6917" max="6917" width="10.5703125" style="8" customWidth="1"/>
    <col min="6918" max="6918" width="6.7109375" style="8" customWidth="1"/>
    <col min="6919" max="6919" width="1.5703125" style="8" customWidth="1"/>
    <col min="6920" max="6920" width="10.5703125" style="8" customWidth="1"/>
    <col min="6921" max="6921" width="9.7109375" style="8" customWidth="1"/>
    <col min="6922" max="6922" width="13.28515625" style="8" bestFit="1" customWidth="1"/>
    <col min="6923" max="6923" width="7.7109375" style="8" customWidth="1"/>
    <col min="6924" max="6924" width="11.42578125" style="8"/>
    <col min="6925" max="6925" width="13.28515625" style="8" bestFit="1" customWidth="1"/>
    <col min="6926" max="7162" width="11.42578125" style="8"/>
    <col min="7163" max="7163" width="0.140625" style="8" customWidth="1"/>
    <col min="7164" max="7164" width="2.7109375" style="8" customWidth="1"/>
    <col min="7165" max="7165" width="15.42578125" style="8" customWidth="1"/>
    <col min="7166" max="7166" width="1.28515625" style="8" customWidth="1"/>
    <col min="7167" max="7167" width="27.7109375" style="8" customWidth="1"/>
    <col min="7168" max="7168" width="6.7109375" style="8" customWidth="1"/>
    <col min="7169" max="7169" width="1.5703125" style="8" customWidth="1"/>
    <col min="7170" max="7170" width="10.5703125" style="8" customWidth="1"/>
    <col min="7171" max="7171" width="5.85546875" style="8" customWidth="1"/>
    <col min="7172" max="7172" width="1.5703125" style="8" customWidth="1"/>
    <col min="7173" max="7173" width="10.5703125" style="8" customWidth="1"/>
    <col min="7174" max="7174" width="6.7109375" style="8" customWidth="1"/>
    <col min="7175" max="7175" width="1.5703125" style="8" customWidth="1"/>
    <col min="7176" max="7176" width="10.5703125" style="8" customWidth="1"/>
    <col min="7177" max="7177" width="9.7109375" style="8" customWidth="1"/>
    <col min="7178" max="7178" width="13.28515625" style="8" bestFit="1" customWidth="1"/>
    <col min="7179" max="7179" width="7.7109375" style="8" customWidth="1"/>
    <col min="7180" max="7180" width="11.42578125" style="8"/>
    <col min="7181" max="7181" width="13.28515625" style="8" bestFit="1" customWidth="1"/>
    <col min="7182" max="7418" width="11.42578125" style="8"/>
    <col min="7419" max="7419" width="0.140625" style="8" customWidth="1"/>
    <col min="7420" max="7420" width="2.7109375" style="8" customWidth="1"/>
    <col min="7421" max="7421" width="15.42578125" style="8" customWidth="1"/>
    <col min="7422" max="7422" width="1.28515625" style="8" customWidth="1"/>
    <col min="7423" max="7423" width="27.7109375" style="8" customWidth="1"/>
    <col min="7424" max="7424" width="6.7109375" style="8" customWidth="1"/>
    <col min="7425" max="7425" width="1.5703125" style="8" customWidth="1"/>
    <col min="7426" max="7426" width="10.5703125" style="8" customWidth="1"/>
    <col min="7427" max="7427" width="5.85546875" style="8" customWidth="1"/>
    <col min="7428" max="7428" width="1.5703125" style="8" customWidth="1"/>
    <col min="7429" max="7429" width="10.5703125" style="8" customWidth="1"/>
    <col min="7430" max="7430" width="6.7109375" style="8" customWidth="1"/>
    <col min="7431" max="7431" width="1.5703125" style="8" customWidth="1"/>
    <col min="7432" max="7432" width="10.5703125" style="8" customWidth="1"/>
    <col min="7433" max="7433" width="9.7109375" style="8" customWidth="1"/>
    <col min="7434" max="7434" width="13.28515625" style="8" bestFit="1" customWidth="1"/>
    <col min="7435" max="7435" width="7.7109375" style="8" customWidth="1"/>
    <col min="7436" max="7436" width="11.42578125" style="8"/>
    <col min="7437" max="7437" width="13.28515625" style="8" bestFit="1" customWidth="1"/>
    <col min="7438" max="7674" width="11.42578125" style="8"/>
    <col min="7675" max="7675" width="0.140625" style="8" customWidth="1"/>
    <col min="7676" max="7676" width="2.7109375" style="8" customWidth="1"/>
    <col min="7677" max="7677" width="15.42578125" style="8" customWidth="1"/>
    <col min="7678" max="7678" width="1.28515625" style="8" customWidth="1"/>
    <col min="7679" max="7679" width="27.7109375" style="8" customWidth="1"/>
    <col min="7680" max="7680" width="6.7109375" style="8" customWidth="1"/>
    <col min="7681" max="7681" width="1.5703125" style="8" customWidth="1"/>
    <col min="7682" max="7682" width="10.5703125" style="8" customWidth="1"/>
    <col min="7683" max="7683" width="5.85546875" style="8" customWidth="1"/>
    <col min="7684" max="7684" width="1.5703125" style="8" customWidth="1"/>
    <col min="7685" max="7685" width="10.5703125" style="8" customWidth="1"/>
    <col min="7686" max="7686" width="6.7109375" style="8" customWidth="1"/>
    <col min="7687" max="7687" width="1.5703125" style="8" customWidth="1"/>
    <col min="7688" max="7688" width="10.5703125" style="8" customWidth="1"/>
    <col min="7689" max="7689" width="9.7109375" style="8" customWidth="1"/>
    <col min="7690" max="7690" width="13.28515625" style="8" bestFit="1" customWidth="1"/>
    <col min="7691" max="7691" width="7.7109375" style="8" customWidth="1"/>
    <col min="7692" max="7692" width="11.42578125" style="8"/>
    <col min="7693" max="7693" width="13.28515625" style="8" bestFit="1" customWidth="1"/>
    <col min="7694" max="7930" width="11.42578125" style="8"/>
    <col min="7931" max="7931" width="0.140625" style="8" customWidth="1"/>
    <col min="7932" max="7932" width="2.7109375" style="8" customWidth="1"/>
    <col min="7933" max="7933" width="15.42578125" style="8" customWidth="1"/>
    <col min="7934" max="7934" width="1.28515625" style="8" customWidth="1"/>
    <col min="7935" max="7935" width="27.7109375" style="8" customWidth="1"/>
    <col min="7936" max="7936" width="6.7109375" style="8" customWidth="1"/>
    <col min="7937" max="7937" width="1.5703125" style="8" customWidth="1"/>
    <col min="7938" max="7938" width="10.5703125" style="8" customWidth="1"/>
    <col min="7939" max="7939" width="5.85546875" style="8" customWidth="1"/>
    <col min="7940" max="7940" width="1.5703125" style="8" customWidth="1"/>
    <col min="7941" max="7941" width="10.5703125" style="8" customWidth="1"/>
    <col min="7942" max="7942" width="6.7109375" style="8" customWidth="1"/>
    <col min="7943" max="7943" width="1.5703125" style="8" customWidth="1"/>
    <col min="7944" max="7944" width="10.5703125" style="8" customWidth="1"/>
    <col min="7945" max="7945" width="9.7109375" style="8" customWidth="1"/>
    <col min="7946" max="7946" width="13.28515625" style="8" bestFit="1" customWidth="1"/>
    <col min="7947" max="7947" width="7.7109375" style="8" customWidth="1"/>
    <col min="7948" max="7948" width="11.42578125" style="8"/>
    <col min="7949" max="7949" width="13.28515625" style="8" bestFit="1" customWidth="1"/>
    <col min="7950" max="8186" width="11.42578125" style="8"/>
    <col min="8187" max="8187" width="0.140625" style="8" customWidth="1"/>
    <col min="8188" max="8188" width="2.7109375" style="8" customWidth="1"/>
    <col min="8189" max="8189" width="15.42578125" style="8" customWidth="1"/>
    <col min="8190" max="8190" width="1.28515625" style="8" customWidth="1"/>
    <col min="8191" max="8191" width="27.7109375" style="8" customWidth="1"/>
    <col min="8192" max="8192" width="6.7109375" style="8" customWidth="1"/>
    <col min="8193" max="8193" width="1.5703125" style="8" customWidth="1"/>
    <col min="8194" max="8194" width="10.5703125" style="8" customWidth="1"/>
    <col min="8195" max="8195" width="5.85546875" style="8" customWidth="1"/>
    <col min="8196" max="8196" width="1.5703125" style="8" customWidth="1"/>
    <col min="8197" max="8197" width="10.5703125" style="8" customWidth="1"/>
    <col min="8198" max="8198" width="6.7109375" style="8" customWidth="1"/>
    <col min="8199" max="8199" width="1.5703125" style="8" customWidth="1"/>
    <col min="8200" max="8200" width="10.5703125" style="8" customWidth="1"/>
    <col min="8201" max="8201" width="9.7109375" style="8" customWidth="1"/>
    <col min="8202" max="8202" width="13.28515625" style="8" bestFit="1" customWidth="1"/>
    <col min="8203" max="8203" width="7.7109375" style="8" customWidth="1"/>
    <col min="8204" max="8204" width="11.42578125" style="8"/>
    <col min="8205" max="8205" width="13.28515625" style="8" bestFit="1" customWidth="1"/>
    <col min="8206" max="8442" width="11.42578125" style="8"/>
    <col min="8443" max="8443" width="0.140625" style="8" customWidth="1"/>
    <col min="8444" max="8444" width="2.7109375" style="8" customWidth="1"/>
    <col min="8445" max="8445" width="15.42578125" style="8" customWidth="1"/>
    <col min="8446" max="8446" width="1.28515625" style="8" customWidth="1"/>
    <col min="8447" max="8447" width="27.7109375" style="8" customWidth="1"/>
    <col min="8448" max="8448" width="6.7109375" style="8" customWidth="1"/>
    <col min="8449" max="8449" width="1.5703125" style="8" customWidth="1"/>
    <col min="8450" max="8450" width="10.5703125" style="8" customWidth="1"/>
    <col min="8451" max="8451" width="5.85546875" style="8" customWidth="1"/>
    <col min="8452" max="8452" width="1.5703125" style="8" customWidth="1"/>
    <col min="8453" max="8453" width="10.5703125" style="8" customWidth="1"/>
    <col min="8454" max="8454" width="6.7109375" style="8" customWidth="1"/>
    <col min="8455" max="8455" width="1.5703125" style="8" customWidth="1"/>
    <col min="8456" max="8456" width="10.5703125" style="8" customWidth="1"/>
    <col min="8457" max="8457" width="9.7109375" style="8" customWidth="1"/>
    <col min="8458" max="8458" width="13.28515625" style="8" bestFit="1" customWidth="1"/>
    <col min="8459" max="8459" width="7.7109375" style="8" customWidth="1"/>
    <col min="8460" max="8460" width="11.42578125" style="8"/>
    <col min="8461" max="8461" width="13.28515625" style="8" bestFit="1" customWidth="1"/>
    <col min="8462" max="8698" width="11.42578125" style="8"/>
    <col min="8699" max="8699" width="0.140625" style="8" customWidth="1"/>
    <col min="8700" max="8700" width="2.7109375" style="8" customWidth="1"/>
    <col min="8701" max="8701" width="15.42578125" style="8" customWidth="1"/>
    <col min="8702" max="8702" width="1.28515625" style="8" customWidth="1"/>
    <col min="8703" max="8703" width="27.7109375" style="8" customWidth="1"/>
    <col min="8704" max="8704" width="6.7109375" style="8" customWidth="1"/>
    <col min="8705" max="8705" width="1.5703125" style="8" customWidth="1"/>
    <col min="8706" max="8706" width="10.5703125" style="8" customWidth="1"/>
    <col min="8707" max="8707" width="5.85546875" style="8" customWidth="1"/>
    <col min="8708" max="8708" width="1.5703125" style="8" customWidth="1"/>
    <col min="8709" max="8709" width="10.5703125" style="8" customWidth="1"/>
    <col min="8710" max="8710" width="6.7109375" style="8" customWidth="1"/>
    <col min="8711" max="8711" width="1.5703125" style="8" customWidth="1"/>
    <col min="8712" max="8712" width="10.5703125" style="8" customWidth="1"/>
    <col min="8713" max="8713" width="9.7109375" style="8" customWidth="1"/>
    <col min="8714" max="8714" width="13.28515625" style="8" bestFit="1" customWidth="1"/>
    <col min="8715" max="8715" width="7.7109375" style="8" customWidth="1"/>
    <col min="8716" max="8716" width="11.42578125" style="8"/>
    <col min="8717" max="8717" width="13.28515625" style="8" bestFit="1" customWidth="1"/>
    <col min="8718" max="8954" width="11.42578125" style="8"/>
    <col min="8955" max="8955" width="0.140625" style="8" customWidth="1"/>
    <col min="8956" max="8956" width="2.7109375" style="8" customWidth="1"/>
    <col min="8957" max="8957" width="15.42578125" style="8" customWidth="1"/>
    <col min="8958" max="8958" width="1.28515625" style="8" customWidth="1"/>
    <col min="8959" max="8959" width="27.7109375" style="8" customWidth="1"/>
    <col min="8960" max="8960" width="6.7109375" style="8" customWidth="1"/>
    <col min="8961" max="8961" width="1.5703125" style="8" customWidth="1"/>
    <col min="8962" max="8962" width="10.5703125" style="8" customWidth="1"/>
    <col min="8963" max="8963" width="5.85546875" style="8" customWidth="1"/>
    <col min="8964" max="8964" width="1.5703125" style="8" customWidth="1"/>
    <col min="8965" max="8965" width="10.5703125" style="8" customWidth="1"/>
    <col min="8966" max="8966" width="6.7109375" style="8" customWidth="1"/>
    <col min="8967" max="8967" width="1.5703125" style="8" customWidth="1"/>
    <col min="8968" max="8968" width="10.5703125" style="8" customWidth="1"/>
    <col min="8969" max="8969" width="9.7109375" style="8" customWidth="1"/>
    <col min="8970" max="8970" width="13.28515625" style="8" bestFit="1" customWidth="1"/>
    <col min="8971" max="8971" width="7.7109375" style="8" customWidth="1"/>
    <col min="8972" max="8972" width="11.42578125" style="8"/>
    <col min="8973" max="8973" width="13.28515625" style="8" bestFit="1" customWidth="1"/>
    <col min="8974" max="9210" width="11.42578125" style="8"/>
    <col min="9211" max="9211" width="0.140625" style="8" customWidth="1"/>
    <col min="9212" max="9212" width="2.7109375" style="8" customWidth="1"/>
    <col min="9213" max="9213" width="15.42578125" style="8" customWidth="1"/>
    <col min="9214" max="9214" width="1.28515625" style="8" customWidth="1"/>
    <col min="9215" max="9215" width="27.7109375" style="8" customWidth="1"/>
    <col min="9216" max="9216" width="6.7109375" style="8" customWidth="1"/>
    <col min="9217" max="9217" width="1.5703125" style="8" customWidth="1"/>
    <col min="9218" max="9218" width="10.5703125" style="8" customWidth="1"/>
    <col min="9219" max="9219" width="5.85546875" style="8" customWidth="1"/>
    <col min="9220" max="9220" width="1.5703125" style="8" customWidth="1"/>
    <col min="9221" max="9221" width="10.5703125" style="8" customWidth="1"/>
    <col min="9222" max="9222" width="6.7109375" style="8" customWidth="1"/>
    <col min="9223" max="9223" width="1.5703125" style="8" customWidth="1"/>
    <col min="9224" max="9224" width="10.5703125" style="8" customWidth="1"/>
    <col min="9225" max="9225" width="9.7109375" style="8" customWidth="1"/>
    <col min="9226" max="9226" width="13.28515625" style="8" bestFit="1" customWidth="1"/>
    <col min="9227" max="9227" width="7.7109375" style="8" customWidth="1"/>
    <col min="9228" max="9228" width="11.42578125" style="8"/>
    <col min="9229" max="9229" width="13.28515625" style="8" bestFit="1" customWidth="1"/>
    <col min="9230" max="9466" width="11.42578125" style="8"/>
    <col min="9467" max="9467" width="0.140625" style="8" customWidth="1"/>
    <col min="9468" max="9468" width="2.7109375" style="8" customWidth="1"/>
    <col min="9469" max="9469" width="15.42578125" style="8" customWidth="1"/>
    <col min="9470" max="9470" width="1.28515625" style="8" customWidth="1"/>
    <col min="9471" max="9471" width="27.7109375" style="8" customWidth="1"/>
    <col min="9472" max="9472" width="6.7109375" style="8" customWidth="1"/>
    <col min="9473" max="9473" width="1.5703125" style="8" customWidth="1"/>
    <col min="9474" max="9474" width="10.5703125" style="8" customWidth="1"/>
    <col min="9475" max="9475" width="5.85546875" style="8" customWidth="1"/>
    <col min="9476" max="9476" width="1.5703125" style="8" customWidth="1"/>
    <col min="9477" max="9477" width="10.5703125" style="8" customWidth="1"/>
    <col min="9478" max="9478" width="6.7109375" style="8" customWidth="1"/>
    <col min="9479" max="9479" width="1.5703125" style="8" customWidth="1"/>
    <col min="9480" max="9480" width="10.5703125" style="8" customWidth="1"/>
    <col min="9481" max="9481" width="9.7109375" style="8" customWidth="1"/>
    <col min="9482" max="9482" width="13.28515625" style="8" bestFit="1" customWidth="1"/>
    <col min="9483" max="9483" width="7.7109375" style="8" customWidth="1"/>
    <col min="9484" max="9484" width="11.42578125" style="8"/>
    <col min="9485" max="9485" width="13.28515625" style="8" bestFit="1" customWidth="1"/>
    <col min="9486" max="9722" width="11.42578125" style="8"/>
    <col min="9723" max="9723" width="0.140625" style="8" customWidth="1"/>
    <col min="9724" max="9724" width="2.7109375" style="8" customWidth="1"/>
    <col min="9725" max="9725" width="15.42578125" style="8" customWidth="1"/>
    <col min="9726" max="9726" width="1.28515625" style="8" customWidth="1"/>
    <col min="9727" max="9727" width="27.7109375" style="8" customWidth="1"/>
    <col min="9728" max="9728" width="6.7109375" style="8" customWidth="1"/>
    <col min="9729" max="9729" width="1.5703125" style="8" customWidth="1"/>
    <col min="9730" max="9730" width="10.5703125" style="8" customWidth="1"/>
    <col min="9731" max="9731" width="5.85546875" style="8" customWidth="1"/>
    <col min="9732" max="9732" width="1.5703125" style="8" customWidth="1"/>
    <col min="9733" max="9733" width="10.5703125" style="8" customWidth="1"/>
    <col min="9734" max="9734" width="6.7109375" style="8" customWidth="1"/>
    <col min="9735" max="9735" width="1.5703125" style="8" customWidth="1"/>
    <col min="9736" max="9736" width="10.5703125" style="8" customWidth="1"/>
    <col min="9737" max="9737" width="9.7109375" style="8" customWidth="1"/>
    <col min="9738" max="9738" width="13.28515625" style="8" bestFit="1" customWidth="1"/>
    <col min="9739" max="9739" width="7.7109375" style="8" customWidth="1"/>
    <col min="9740" max="9740" width="11.42578125" style="8"/>
    <col min="9741" max="9741" width="13.28515625" style="8" bestFit="1" customWidth="1"/>
    <col min="9742" max="9978" width="11.42578125" style="8"/>
    <col min="9979" max="9979" width="0.140625" style="8" customWidth="1"/>
    <col min="9980" max="9980" width="2.7109375" style="8" customWidth="1"/>
    <col min="9981" max="9981" width="15.42578125" style="8" customWidth="1"/>
    <col min="9982" max="9982" width="1.28515625" style="8" customWidth="1"/>
    <col min="9983" max="9983" width="27.7109375" style="8" customWidth="1"/>
    <col min="9984" max="9984" width="6.7109375" style="8" customWidth="1"/>
    <col min="9985" max="9985" width="1.5703125" style="8" customWidth="1"/>
    <col min="9986" max="9986" width="10.5703125" style="8" customWidth="1"/>
    <col min="9987" max="9987" width="5.85546875" style="8" customWidth="1"/>
    <col min="9988" max="9988" width="1.5703125" style="8" customWidth="1"/>
    <col min="9989" max="9989" width="10.5703125" style="8" customWidth="1"/>
    <col min="9990" max="9990" width="6.7109375" style="8" customWidth="1"/>
    <col min="9991" max="9991" width="1.5703125" style="8" customWidth="1"/>
    <col min="9992" max="9992" width="10.5703125" style="8" customWidth="1"/>
    <col min="9993" max="9993" width="9.7109375" style="8" customWidth="1"/>
    <col min="9994" max="9994" width="13.28515625" style="8" bestFit="1" customWidth="1"/>
    <col min="9995" max="9995" width="7.7109375" style="8" customWidth="1"/>
    <col min="9996" max="9996" width="11.42578125" style="8"/>
    <col min="9997" max="9997" width="13.28515625" style="8" bestFit="1" customWidth="1"/>
    <col min="9998" max="10234" width="11.42578125" style="8"/>
    <col min="10235" max="10235" width="0.140625" style="8" customWidth="1"/>
    <col min="10236" max="10236" width="2.7109375" style="8" customWidth="1"/>
    <col min="10237" max="10237" width="15.42578125" style="8" customWidth="1"/>
    <col min="10238" max="10238" width="1.28515625" style="8" customWidth="1"/>
    <col min="10239" max="10239" width="27.7109375" style="8" customWidth="1"/>
    <col min="10240" max="10240" width="6.7109375" style="8" customWidth="1"/>
    <col min="10241" max="10241" width="1.5703125" style="8" customWidth="1"/>
    <col min="10242" max="10242" width="10.5703125" style="8" customWidth="1"/>
    <col min="10243" max="10243" width="5.85546875" style="8" customWidth="1"/>
    <col min="10244" max="10244" width="1.5703125" style="8" customWidth="1"/>
    <col min="10245" max="10245" width="10.5703125" style="8" customWidth="1"/>
    <col min="10246" max="10246" width="6.7109375" style="8" customWidth="1"/>
    <col min="10247" max="10247" width="1.5703125" style="8" customWidth="1"/>
    <col min="10248" max="10248" width="10.5703125" style="8" customWidth="1"/>
    <col min="10249" max="10249" width="9.7109375" style="8" customWidth="1"/>
    <col min="10250" max="10250" width="13.28515625" style="8" bestFit="1" customWidth="1"/>
    <col min="10251" max="10251" width="7.7109375" style="8" customWidth="1"/>
    <col min="10252" max="10252" width="11.42578125" style="8"/>
    <col min="10253" max="10253" width="13.28515625" style="8" bestFit="1" customWidth="1"/>
    <col min="10254" max="10490" width="11.42578125" style="8"/>
    <col min="10491" max="10491" width="0.140625" style="8" customWidth="1"/>
    <col min="10492" max="10492" width="2.7109375" style="8" customWidth="1"/>
    <col min="10493" max="10493" width="15.42578125" style="8" customWidth="1"/>
    <col min="10494" max="10494" width="1.28515625" style="8" customWidth="1"/>
    <col min="10495" max="10495" width="27.7109375" style="8" customWidth="1"/>
    <col min="10496" max="10496" width="6.7109375" style="8" customWidth="1"/>
    <col min="10497" max="10497" width="1.5703125" style="8" customWidth="1"/>
    <col min="10498" max="10498" width="10.5703125" style="8" customWidth="1"/>
    <col min="10499" max="10499" width="5.85546875" style="8" customWidth="1"/>
    <col min="10500" max="10500" width="1.5703125" style="8" customWidth="1"/>
    <col min="10501" max="10501" width="10.5703125" style="8" customWidth="1"/>
    <col min="10502" max="10502" width="6.7109375" style="8" customWidth="1"/>
    <col min="10503" max="10503" width="1.5703125" style="8" customWidth="1"/>
    <col min="10504" max="10504" width="10.5703125" style="8" customWidth="1"/>
    <col min="10505" max="10505" width="9.7109375" style="8" customWidth="1"/>
    <col min="10506" max="10506" width="13.28515625" style="8" bestFit="1" customWidth="1"/>
    <col min="10507" max="10507" width="7.7109375" style="8" customWidth="1"/>
    <col min="10508" max="10508" width="11.42578125" style="8"/>
    <col min="10509" max="10509" width="13.28515625" style="8" bestFit="1" customWidth="1"/>
    <col min="10510" max="10746" width="11.42578125" style="8"/>
    <col min="10747" max="10747" width="0.140625" style="8" customWidth="1"/>
    <col min="10748" max="10748" width="2.7109375" style="8" customWidth="1"/>
    <col min="10749" max="10749" width="15.42578125" style="8" customWidth="1"/>
    <col min="10750" max="10750" width="1.28515625" style="8" customWidth="1"/>
    <col min="10751" max="10751" width="27.7109375" style="8" customWidth="1"/>
    <col min="10752" max="10752" width="6.7109375" style="8" customWidth="1"/>
    <col min="10753" max="10753" width="1.5703125" style="8" customWidth="1"/>
    <col min="10754" max="10754" width="10.5703125" style="8" customWidth="1"/>
    <col min="10755" max="10755" width="5.85546875" style="8" customWidth="1"/>
    <col min="10756" max="10756" width="1.5703125" style="8" customWidth="1"/>
    <col min="10757" max="10757" width="10.5703125" style="8" customWidth="1"/>
    <col min="10758" max="10758" width="6.7109375" style="8" customWidth="1"/>
    <col min="10759" max="10759" width="1.5703125" style="8" customWidth="1"/>
    <col min="10760" max="10760" width="10.5703125" style="8" customWidth="1"/>
    <col min="10761" max="10761" width="9.7109375" style="8" customWidth="1"/>
    <col min="10762" max="10762" width="13.28515625" style="8" bestFit="1" customWidth="1"/>
    <col min="10763" max="10763" width="7.7109375" style="8" customWidth="1"/>
    <col min="10764" max="10764" width="11.42578125" style="8"/>
    <col min="10765" max="10765" width="13.28515625" style="8" bestFit="1" customWidth="1"/>
    <col min="10766" max="11002" width="11.42578125" style="8"/>
    <col min="11003" max="11003" width="0.140625" style="8" customWidth="1"/>
    <col min="11004" max="11004" width="2.7109375" style="8" customWidth="1"/>
    <col min="11005" max="11005" width="15.42578125" style="8" customWidth="1"/>
    <col min="11006" max="11006" width="1.28515625" style="8" customWidth="1"/>
    <col min="11007" max="11007" width="27.7109375" style="8" customWidth="1"/>
    <col min="11008" max="11008" width="6.7109375" style="8" customWidth="1"/>
    <col min="11009" max="11009" width="1.5703125" style="8" customWidth="1"/>
    <col min="11010" max="11010" width="10.5703125" style="8" customWidth="1"/>
    <col min="11011" max="11011" width="5.85546875" style="8" customWidth="1"/>
    <col min="11012" max="11012" width="1.5703125" style="8" customWidth="1"/>
    <col min="11013" max="11013" width="10.5703125" style="8" customWidth="1"/>
    <col min="11014" max="11014" width="6.7109375" style="8" customWidth="1"/>
    <col min="11015" max="11015" width="1.5703125" style="8" customWidth="1"/>
    <col min="11016" max="11016" width="10.5703125" style="8" customWidth="1"/>
    <col min="11017" max="11017" width="9.7109375" style="8" customWidth="1"/>
    <col min="11018" max="11018" width="13.28515625" style="8" bestFit="1" customWidth="1"/>
    <col min="11019" max="11019" width="7.7109375" style="8" customWidth="1"/>
    <col min="11020" max="11020" width="11.42578125" style="8"/>
    <col min="11021" max="11021" width="13.28515625" style="8" bestFit="1" customWidth="1"/>
    <col min="11022" max="11258" width="11.42578125" style="8"/>
    <col min="11259" max="11259" width="0.140625" style="8" customWidth="1"/>
    <col min="11260" max="11260" width="2.7109375" style="8" customWidth="1"/>
    <col min="11261" max="11261" width="15.42578125" style="8" customWidth="1"/>
    <col min="11262" max="11262" width="1.28515625" style="8" customWidth="1"/>
    <col min="11263" max="11263" width="27.7109375" style="8" customWidth="1"/>
    <col min="11264" max="11264" width="6.7109375" style="8" customWidth="1"/>
    <col min="11265" max="11265" width="1.5703125" style="8" customWidth="1"/>
    <col min="11266" max="11266" width="10.5703125" style="8" customWidth="1"/>
    <col min="11267" max="11267" width="5.85546875" style="8" customWidth="1"/>
    <col min="11268" max="11268" width="1.5703125" style="8" customWidth="1"/>
    <col min="11269" max="11269" width="10.5703125" style="8" customWidth="1"/>
    <col min="11270" max="11270" width="6.7109375" style="8" customWidth="1"/>
    <col min="11271" max="11271" width="1.5703125" style="8" customWidth="1"/>
    <col min="11272" max="11272" width="10.5703125" style="8" customWidth="1"/>
    <col min="11273" max="11273" width="9.7109375" style="8" customWidth="1"/>
    <col min="11274" max="11274" width="13.28515625" style="8" bestFit="1" customWidth="1"/>
    <col min="11275" max="11275" width="7.7109375" style="8" customWidth="1"/>
    <col min="11276" max="11276" width="11.42578125" style="8"/>
    <col min="11277" max="11277" width="13.28515625" style="8" bestFit="1" customWidth="1"/>
    <col min="11278" max="11514" width="11.42578125" style="8"/>
    <col min="11515" max="11515" width="0.140625" style="8" customWidth="1"/>
    <col min="11516" max="11516" width="2.7109375" style="8" customWidth="1"/>
    <col min="11517" max="11517" width="15.42578125" style="8" customWidth="1"/>
    <col min="11518" max="11518" width="1.28515625" style="8" customWidth="1"/>
    <col min="11519" max="11519" width="27.7109375" style="8" customWidth="1"/>
    <col min="11520" max="11520" width="6.7109375" style="8" customWidth="1"/>
    <col min="11521" max="11521" width="1.5703125" style="8" customWidth="1"/>
    <col min="11522" max="11522" width="10.5703125" style="8" customWidth="1"/>
    <col min="11523" max="11523" width="5.85546875" style="8" customWidth="1"/>
    <col min="11524" max="11524" width="1.5703125" style="8" customWidth="1"/>
    <col min="11525" max="11525" width="10.5703125" style="8" customWidth="1"/>
    <col min="11526" max="11526" width="6.7109375" style="8" customWidth="1"/>
    <col min="11527" max="11527" width="1.5703125" style="8" customWidth="1"/>
    <col min="11528" max="11528" width="10.5703125" style="8" customWidth="1"/>
    <col min="11529" max="11529" width="9.7109375" style="8" customWidth="1"/>
    <col min="11530" max="11530" width="13.28515625" style="8" bestFit="1" customWidth="1"/>
    <col min="11531" max="11531" width="7.7109375" style="8" customWidth="1"/>
    <col min="11532" max="11532" width="11.42578125" style="8"/>
    <col min="11533" max="11533" width="13.28515625" style="8" bestFit="1" customWidth="1"/>
    <col min="11534" max="11770" width="11.42578125" style="8"/>
    <col min="11771" max="11771" width="0.140625" style="8" customWidth="1"/>
    <col min="11772" max="11772" width="2.7109375" style="8" customWidth="1"/>
    <col min="11773" max="11773" width="15.42578125" style="8" customWidth="1"/>
    <col min="11774" max="11774" width="1.28515625" style="8" customWidth="1"/>
    <col min="11775" max="11775" width="27.7109375" style="8" customWidth="1"/>
    <col min="11776" max="11776" width="6.7109375" style="8" customWidth="1"/>
    <col min="11777" max="11777" width="1.5703125" style="8" customWidth="1"/>
    <col min="11778" max="11778" width="10.5703125" style="8" customWidth="1"/>
    <col min="11779" max="11779" width="5.85546875" style="8" customWidth="1"/>
    <col min="11780" max="11780" width="1.5703125" style="8" customWidth="1"/>
    <col min="11781" max="11781" width="10.5703125" style="8" customWidth="1"/>
    <col min="11782" max="11782" width="6.7109375" style="8" customWidth="1"/>
    <col min="11783" max="11783" width="1.5703125" style="8" customWidth="1"/>
    <col min="11784" max="11784" width="10.5703125" style="8" customWidth="1"/>
    <col min="11785" max="11785" width="9.7109375" style="8" customWidth="1"/>
    <col min="11786" max="11786" width="13.28515625" style="8" bestFit="1" customWidth="1"/>
    <col min="11787" max="11787" width="7.7109375" style="8" customWidth="1"/>
    <col min="11788" max="11788" width="11.42578125" style="8"/>
    <col min="11789" max="11789" width="13.28515625" style="8" bestFit="1" customWidth="1"/>
    <col min="11790" max="12026" width="11.42578125" style="8"/>
    <col min="12027" max="12027" width="0.140625" style="8" customWidth="1"/>
    <col min="12028" max="12028" width="2.7109375" style="8" customWidth="1"/>
    <col min="12029" max="12029" width="15.42578125" style="8" customWidth="1"/>
    <col min="12030" max="12030" width="1.28515625" style="8" customWidth="1"/>
    <col min="12031" max="12031" width="27.7109375" style="8" customWidth="1"/>
    <col min="12032" max="12032" width="6.7109375" style="8" customWidth="1"/>
    <col min="12033" max="12033" width="1.5703125" style="8" customWidth="1"/>
    <col min="12034" max="12034" width="10.5703125" style="8" customWidth="1"/>
    <col min="12035" max="12035" width="5.85546875" style="8" customWidth="1"/>
    <col min="12036" max="12036" width="1.5703125" style="8" customWidth="1"/>
    <col min="12037" max="12037" width="10.5703125" style="8" customWidth="1"/>
    <col min="12038" max="12038" width="6.7109375" style="8" customWidth="1"/>
    <col min="12039" max="12039" width="1.5703125" style="8" customWidth="1"/>
    <col min="12040" max="12040" width="10.5703125" style="8" customWidth="1"/>
    <col min="12041" max="12041" width="9.7109375" style="8" customWidth="1"/>
    <col min="12042" max="12042" width="13.28515625" style="8" bestFit="1" customWidth="1"/>
    <col min="12043" max="12043" width="7.7109375" style="8" customWidth="1"/>
    <col min="12044" max="12044" width="11.42578125" style="8"/>
    <col min="12045" max="12045" width="13.28515625" style="8" bestFit="1" customWidth="1"/>
    <col min="12046" max="12282" width="11.42578125" style="8"/>
    <col min="12283" max="12283" width="0.140625" style="8" customWidth="1"/>
    <col min="12284" max="12284" width="2.7109375" style="8" customWidth="1"/>
    <col min="12285" max="12285" width="15.42578125" style="8" customWidth="1"/>
    <col min="12286" max="12286" width="1.28515625" style="8" customWidth="1"/>
    <col min="12287" max="12287" width="27.7109375" style="8" customWidth="1"/>
    <col min="12288" max="12288" width="6.7109375" style="8" customWidth="1"/>
    <col min="12289" max="12289" width="1.5703125" style="8" customWidth="1"/>
    <col min="12290" max="12290" width="10.5703125" style="8" customWidth="1"/>
    <col min="12291" max="12291" width="5.85546875" style="8" customWidth="1"/>
    <col min="12292" max="12292" width="1.5703125" style="8" customWidth="1"/>
    <col min="12293" max="12293" width="10.5703125" style="8" customWidth="1"/>
    <col min="12294" max="12294" width="6.7109375" style="8" customWidth="1"/>
    <col min="12295" max="12295" width="1.5703125" style="8" customWidth="1"/>
    <col min="12296" max="12296" width="10.5703125" style="8" customWidth="1"/>
    <col min="12297" max="12297" width="9.7109375" style="8" customWidth="1"/>
    <col min="12298" max="12298" width="13.28515625" style="8" bestFit="1" customWidth="1"/>
    <col min="12299" max="12299" width="7.7109375" style="8" customWidth="1"/>
    <col min="12300" max="12300" width="11.42578125" style="8"/>
    <col min="12301" max="12301" width="13.28515625" style="8" bestFit="1" customWidth="1"/>
    <col min="12302" max="12538" width="11.42578125" style="8"/>
    <col min="12539" max="12539" width="0.140625" style="8" customWidth="1"/>
    <col min="12540" max="12540" width="2.7109375" style="8" customWidth="1"/>
    <col min="12541" max="12541" width="15.42578125" style="8" customWidth="1"/>
    <col min="12542" max="12542" width="1.28515625" style="8" customWidth="1"/>
    <col min="12543" max="12543" width="27.7109375" style="8" customWidth="1"/>
    <col min="12544" max="12544" width="6.7109375" style="8" customWidth="1"/>
    <col min="12545" max="12545" width="1.5703125" style="8" customWidth="1"/>
    <col min="12546" max="12546" width="10.5703125" style="8" customWidth="1"/>
    <col min="12547" max="12547" width="5.85546875" style="8" customWidth="1"/>
    <col min="12548" max="12548" width="1.5703125" style="8" customWidth="1"/>
    <col min="12549" max="12549" width="10.5703125" style="8" customWidth="1"/>
    <col min="12550" max="12550" width="6.7109375" style="8" customWidth="1"/>
    <col min="12551" max="12551" width="1.5703125" style="8" customWidth="1"/>
    <col min="12552" max="12552" width="10.5703125" style="8" customWidth="1"/>
    <col min="12553" max="12553" width="9.7109375" style="8" customWidth="1"/>
    <col min="12554" max="12554" width="13.28515625" style="8" bestFit="1" customWidth="1"/>
    <col min="12555" max="12555" width="7.7109375" style="8" customWidth="1"/>
    <col min="12556" max="12556" width="11.42578125" style="8"/>
    <col min="12557" max="12557" width="13.28515625" style="8" bestFit="1" customWidth="1"/>
    <col min="12558" max="12794" width="11.42578125" style="8"/>
    <col min="12795" max="12795" width="0.140625" style="8" customWidth="1"/>
    <col min="12796" max="12796" width="2.7109375" style="8" customWidth="1"/>
    <col min="12797" max="12797" width="15.42578125" style="8" customWidth="1"/>
    <col min="12798" max="12798" width="1.28515625" style="8" customWidth="1"/>
    <col min="12799" max="12799" width="27.7109375" style="8" customWidth="1"/>
    <col min="12800" max="12800" width="6.7109375" style="8" customWidth="1"/>
    <col min="12801" max="12801" width="1.5703125" style="8" customWidth="1"/>
    <col min="12802" max="12802" width="10.5703125" style="8" customWidth="1"/>
    <col min="12803" max="12803" width="5.85546875" style="8" customWidth="1"/>
    <col min="12804" max="12804" width="1.5703125" style="8" customWidth="1"/>
    <col min="12805" max="12805" width="10.5703125" style="8" customWidth="1"/>
    <col min="12806" max="12806" width="6.7109375" style="8" customWidth="1"/>
    <col min="12807" max="12807" width="1.5703125" style="8" customWidth="1"/>
    <col min="12808" max="12808" width="10.5703125" style="8" customWidth="1"/>
    <col min="12809" max="12809" width="9.7109375" style="8" customWidth="1"/>
    <col min="12810" max="12810" width="13.28515625" style="8" bestFit="1" customWidth="1"/>
    <col min="12811" max="12811" width="7.7109375" style="8" customWidth="1"/>
    <col min="12812" max="12812" width="11.42578125" style="8"/>
    <col min="12813" max="12813" width="13.28515625" style="8" bestFit="1" customWidth="1"/>
    <col min="12814" max="13050" width="11.42578125" style="8"/>
    <col min="13051" max="13051" width="0.140625" style="8" customWidth="1"/>
    <col min="13052" max="13052" width="2.7109375" style="8" customWidth="1"/>
    <col min="13053" max="13053" width="15.42578125" style="8" customWidth="1"/>
    <col min="13054" max="13054" width="1.28515625" style="8" customWidth="1"/>
    <col min="13055" max="13055" width="27.7109375" style="8" customWidth="1"/>
    <col min="13056" max="13056" width="6.7109375" style="8" customWidth="1"/>
    <col min="13057" max="13057" width="1.5703125" style="8" customWidth="1"/>
    <col min="13058" max="13058" width="10.5703125" style="8" customWidth="1"/>
    <col min="13059" max="13059" width="5.85546875" style="8" customWidth="1"/>
    <col min="13060" max="13060" width="1.5703125" style="8" customWidth="1"/>
    <col min="13061" max="13061" width="10.5703125" style="8" customWidth="1"/>
    <col min="13062" max="13062" width="6.7109375" style="8" customWidth="1"/>
    <col min="13063" max="13063" width="1.5703125" style="8" customWidth="1"/>
    <col min="13064" max="13064" width="10.5703125" style="8" customWidth="1"/>
    <col min="13065" max="13065" width="9.7109375" style="8" customWidth="1"/>
    <col min="13066" max="13066" width="13.28515625" style="8" bestFit="1" customWidth="1"/>
    <col min="13067" max="13067" width="7.7109375" style="8" customWidth="1"/>
    <col min="13068" max="13068" width="11.42578125" style="8"/>
    <col min="13069" max="13069" width="13.28515625" style="8" bestFit="1" customWidth="1"/>
    <col min="13070" max="13306" width="11.42578125" style="8"/>
    <col min="13307" max="13307" width="0.140625" style="8" customWidth="1"/>
    <col min="13308" max="13308" width="2.7109375" style="8" customWidth="1"/>
    <col min="13309" max="13309" width="15.42578125" style="8" customWidth="1"/>
    <col min="13310" max="13310" width="1.28515625" style="8" customWidth="1"/>
    <col min="13311" max="13311" width="27.7109375" style="8" customWidth="1"/>
    <col min="13312" max="13312" width="6.7109375" style="8" customWidth="1"/>
    <col min="13313" max="13313" width="1.5703125" style="8" customWidth="1"/>
    <col min="13314" max="13314" width="10.5703125" style="8" customWidth="1"/>
    <col min="13315" max="13315" width="5.85546875" style="8" customWidth="1"/>
    <col min="13316" max="13316" width="1.5703125" style="8" customWidth="1"/>
    <col min="13317" max="13317" width="10.5703125" style="8" customWidth="1"/>
    <col min="13318" max="13318" width="6.7109375" style="8" customWidth="1"/>
    <col min="13319" max="13319" width="1.5703125" style="8" customWidth="1"/>
    <col min="13320" max="13320" width="10.5703125" style="8" customWidth="1"/>
    <col min="13321" max="13321" width="9.7109375" style="8" customWidth="1"/>
    <col min="13322" max="13322" width="13.28515625" style="8" bestFit="1" customWidth="1"/>
    <col min="13323" max="13323" width="7.7109375" style="8" customWidth="1"/>
    <col min="13324" max="13324" width="11.42578125" style="8"/>
    <col min="13325" max="13325" width="13.28515625" style="8" bestFit="1" customWidth="1"/>
    <col min="13326" max="13562" width="11.42578125" style="8"/>
    <col min="13563" max="13563" width="0.140625" style="8" customWidth="1"/>
    <col min="13564" max="13564" width="2.7109375" style="8" customWidth="1"/>
    <col min="13565" max="13565" width="15.42578125" style="8" customWidth="1"/>
    <col min="13566" max="13566" width="1.28515625" style="8" customWidth="1"/>
    <col min="13567" max="13567" width="27.7109375" style="8" customWidth="1"/>
    <col min="13568" max="13568" width="6.7109375" style="8" customWidth="1"/>
    <col min="13569" max="13569" width="1.5703125" style="8" customWidth="1"/>
    <col min="13570" max="13570" width="10.5703125" style="8" customWidth="1"/>
    <col min="13571" max="13571" width="5.85546875" style="8" customWidth="1"/>
    <col min="13572" max="13572" width="1.5703125" style="8" customWidth="1"/>
    <col min="13573" max="13573" width="10.5703125" style="8" customWidth="1"/>
    <col min="13574" max="13574" width="6.7109375" style="8" customWidth="1"/>
    <col min="13575" max="13575" width="1.5703125" style="8" customWidth="1"/>
    <col min="13576" max="13576" width="10.5703125" style="8" customWidth="1"/>
    <col min="13577" max="13577" width="9.7109375" style="8" customWidth="1"/>
    <col min="13578" max="13578" width="13.28515625" style="8" bestFit="1" customWidth="1"/>
    <col min="13579" max="13579" width="7.7109375" style="8" customWidth="1"/>
    <col min="13580" max="13580" width="11.42578125" style="8"/>
    <col min="13581" max="13581" width="13.28515625" style="8" bestFit="1" customWidth="1"/>
    <col min="13582" max="13818" width="11.42578125" style="8"/>
    <col min="13819" max="13819" width="0.140625" style="8" customWidth="1"/>
    <col min="13820" max="13820" width="2.7109375" style="8" customWidth="1"/>
    <col min="13821" max="13821" width="15.42578125" style="8" customWidth="1"/>
    <col min="13822" max="13822" width="1.28515625" style="8" customWidth="1"/>
    <col min="13823" max="13823" width="27.7109375" style="8" customWidth="1"/>
    <col min="13824" max="13824" width="6.7109375" style="8" customWidth="1"/>
    <col min="13825" max="13825" width="1.5703125" style="8" customWidth="1"/>
    <col min="13826" max="13826" width="10.5703125" style="8" customWidth="1"/>
    <col min="13827" max="13827" width="5.85546875" style="8" customWidth="1"/>
    <col min="13828" max="13828" width="1.5703125" style="8" customWidth="1"/>
    <col min="13829" max="13829" width="10.5703125" style="8" customWidth="1"/>
    <col min="13830" max="13830" width="6.7109375" style="8" customWidth="1"/>
    <col min="13831" max="13831" width="1.5703125" style="8" customWidth="1"/>
    <col min="13832" max="13832" width="10.5703125" style="8" customWidth="1"/>
    <col min="13833" max="13833" width="9.7109375" style="8" customWidth="1"/>
    <col min="13834" max="13834" width="13.28515625" style="8" bestFit="1" customWidth="1"/>
    <col min="13835" max="13835" width="7.7109375" style="8" customWidth="1"/>
    <col min="13836" max="13836" width="11.42578125" style="8"/>
    <col min="13837" max="13837" width="13.28515625" style="8" bestFit="1" customWidth="1"/>
    <col min="13838" max="14074" width="11.42578125" style="8"/>
    <col min="14075" max="14075" width="0.140625" style="8" customWidth="1"/>
    <col min="14076" max="14076" width="2.7109375" style="8" customWidth="1"/>
    <col min="14077" max="14077" width="15.42578125" style="8" customWidth="1"/>
    <col min="14078" max="14078" width="1.28515625" style="8" customWidth="1"/>
    <col min="14079" max="14079" width="27.7109375" style="8" customWidth="1"/>
    <col min="14080" max="14080" width="6.7109375" style="8" customWidth="1"/>
    <col min="14081" max="14081" width="1.5703125" style="8" customWidth="1"/>
    <col min="14082" max="14082" width="10.5703125" style="8" customWidth="1"/>
    <col min="14083" max="14083" width="5.85546875" style="8" customWidth="1"/>
    <col min="14084" max="14084" width="1.5703125" style="8" customWidth="1"/>
    <col min="14085" max="14085" width="10.5703125" style="8" customWidth="1"/>
    <col min="14086" max="14086" width="6.7109375" style="8" customWidth="1"/>
    <col min="14087" max="14087" width="1.5703125" style="8" customWidth="1"/>
    <col min="14088" max="14088" width="10.5703125" style="8" customWidth="1"/>
    <col min="14089" max="14089" width="9.7109375" style="8" customWidth="1"/>
    <col min="14090" max="14090" width="13.28515625" style="8" bestFit="1" customWidth="1"/>
    <col min="14091" max="14091" width="7.7109375" style="8" customWidth="1"/>
    <col min="14092" max="14092" width="11.42578125" style="8"/>
    <col min="14093" max="14093" width="13.28515625" style="8" bestFit="1" customWidth="1"/>
    <col min="14094" max="14330" width="11.42578125" style="8"/>
    <col min="14331" max="14331" width="0.140625" style="8" customWidth="1"/>
    <col min="14332" max="14332" width="2.7109375" style="8" customWidth="1"/>
    <col min="14333" max="14333" width="15.42578125" style="8" customWidth="1"/>
    <col min="14334" max="14334" width="1.28515625" style="8" customWidth="1"/>
    <col min="14335" max="14335" width="27.7109375" style="8" customWidth="1"/>
    <col min="14336" max="14336" width="6.7109375" style="8" customWidth="1"/>
    <col min="14337" max="14337" width="1.5703125" style="8" customWidth="1"/>
    <col min="14338" max="14338" width="10.5703125" style="8" customWidth="1"/>
    <col min="14339" max="14339" width="5.85546875" style="8" customWidth="1"/>
    <col min="14340" max="14340" width="1.5703125" style="8" customWidth="1"/>
    <col min="14341" max="14341" width="10.5703125" style="8" customWidth="1"/>
    <col min="14342" max="14342" width="6.7109375" style="8" customWidth="1"/>
    <col min="14343" max="14343" width="1.5703125" style="8" customWidth="1"/>
    <col min="14344" max="14344" width="10.5703125" style="8" customWidth="1"/>
    <col min="14345" max="14345" width="9.7109375" style="8" customWidth="1"/>
    <col min="14346" max="14346" width="13.28515625" style="8" bestFit="1" customWidth="1"/>
    <col min="14347" max="14347" width="7.7109375" style="8" customWidth="1"/>
    <col min="14348" max="14348" width="11.42578125" style="8"/>
    <col min="14349" max="14349" width="13.28515625" style="8" bestFit="1" customWidth="1"/>
    <col min="14350" max="14586" width="11.42578125" style="8"/>
    <col min="14587" max="14587" width="0.140625" style="8" customWidth="1"/>
    <col min="14588" max="14588" width="2.7109375" style="8" customWidth="1"/>
    <col min="14589" max="14589" width="15.42578125" style="8" customWidth="1"/>
    <col min="14590" max="14590" width="1.28515625" style="8" customWidth="1"/>
    <col min="14591" max="14591" width="27.7109375" style="8" customWidth="1"/>
    <col min="14592" max="14592" width="6.7109375" style="8" customWidth="1"/>
    <col min="14593" max="14593" width="1.5703125" style="8" customWidth="1"/>
    <col min="14594" max="14594" width="10.5703125" style="8" customWidth="1"/>
    <col min="14595" max="14595" width="5.85546875" style="8" customWidth="1"/>
    <col min="14596" max="14596" width="1.5703125" style="8" customWidth="1"/>
    <col min="14597" max="14597" width="10.5703125" style="8" customWidth="1"/>
    <col min="14598" max="14598" width="6.7109375" style="8" customWidth="1"/>
    <col min="14599" max="14599" width="1.5703125" style="8" customWidth="1"/>
    <col min="14600" max="14600" width="10.5703125" style="8" customWidth="1"/>
    <col min="14601" max="14601" width="9.7109375" style="8" customWidth="1"/>
    <col min="14602" max="14602" width="13.28515625" style="8" bestFit="1" customWidth="1"/>
    <col min="14603" max="14603" width="7.7109375" style="8" customWidth="1"/>
    <col min="14604" max="14604" width="11.42578125" style="8"/>
    <col min="14605" max="14605" width="13.28515625" style="8" bestFit="1" customWidth="1"/>
    <col min="14606" max="14842" width="11.42578125" style="8"/>
    <col min="14843" max="14843" width="0.140625" style="8" customWidth="1"/>
    <col min="14844" max="14844" width="2.7109375" style="8" customWidth="1"/>
    <col min="14845" max="14845" width="15.42578125" style="8" customWidth="1"/>
    <col min="14846" max="14846" width="1.28515625" style="8" customWidth="1"/>
    <col min="14847" max="14847" width="27.7109375" style="8" customWidth="1"/>
    <col min="14848" max="14848" width="6.7109375" style="8" customWidth="1"/>
    <col min="14849" max="14849" width="1.5703125" style="8" customWidth="1"/>
    <col min="14850" max="14850" width="10.5703125" style="8" customWidth="1"/>
    <col min="14851" max="14851" width="5.85546875" style="8" customWidth="1"/>
    <col min="14852" max="14852" width="1.5703125" style="8" customWidth="1"/>
    <col min="14853" max="14853" width="10.5703125" style="8" customWidth="1"/>
    <col min="14854" max="14854" width="6.7109375" style="8" customWidth="1"/>
    <col min="14855" max="14855" width="1.5703125" style="8" customWidth="1"/>
    <col min="14856" max="14856" width="10.5703125" style="8" customWidth="1"/>
    <col min="14857" max="14857" width="9.7109375" style="8" customWidth="1"/>
    <col min="14858" max="14858" width="13.28515625" style="8" bestFit="1" customWidth="1"/>
    <col min="14859" max="14859" width="7.7109375" style="8" customWidth="1"/>
    <col min="14860" max="14860" width="11.42578125" style="8"/>
    <col min="14861" max="14861" width="13.28515625" style="8" bestFit="1" customWidth="1"/>
    <col min="14862" max="15098" width="11.42578125" style="8"/>
    <col min="15099" max="15099" width="0.140625" style="8" customWidth="1"/>
    <col min="15100" max="15100" width="2.7109375" style="8" customWidth="1"/>
    <col min="15101" max="15101" width="15.42578125" style="8" customWidth="1"/>
    <col min="15102" max="15102" width="1.28515625" style="8" customWidth="1"/>
    <col min="15103" max="15103" width="27.7109375" style="8" customWidth="1"/>
    <col min="15104" max="15104" width="6.7109375" style="8" customWidth="1"/>
    <col min="15105" max="15105" width="1.5703125" style="8" customWidth="1"/>
    <col min="15106" max="15106" width="10.5703125" style="8" customWidth="1"/>
    <col min="15107" max="15107" width="5.85546875" style="8" customWidth="1"/>
    <col min="15108" max="15108" width="1.5703125" style="8" customWidth="1"/>
    <col min="15109" max="15109" width="10.5703125" style="8" customWidth="1"/>
    <col min="15110" max="15110" width="6.7109375" style="8" customWidth="1"/>
    <col min="15111" max="15111" width="1.5703125" style="8" customWidth="1"/>
    <col min="15112" max="15112" width="10.5703125" style="8" customWidth="1"/>
    <col min="15113" max="15113" width="9.7109375" style="8" customWidth="1"/>
    <col min="15114" max="15114" width="13.28515625" style="8" bestFit="1" customWidth="1"/>
    <col min="15115" max="15115" width="7.7109375" style="8" customWidth="1"/>
    <col min="15116" max="15116" width="11.42578125" style="8"/>
    <col min="15117" max="15117" width="13.28515625" style="8" bestFit="1" customWidth="1"/>
    <col min="15118" max="15354" width="11.42578125" style="8"/>
    <col min="15355" max="15355" width="0.140625" style="8" customWidth="1"/>
    <col min="15356" max="15356" width="2.7109375" style="8" customWidth="1"/>
    <col min="15357" max="15357" width="15.42578125" style="8" customWidth="1"/>
    <col min="15358" max="15358" width="1.28515625" style="8" customWidth="1"/>
    <col min="15359" max="15359" width="27.7109375" style="8" customWidth="1"/>
    <col min="15360" max="15360" width="6.7109375" style="8" customWidth="1"/>
    <col min="15361" max="15361" width="1.5703125" style="8" customWidth="1"/>
    <col min="15362" max="15362" width="10.5703125" style="8" customWidth="1"/>
    <col min="15363" max="15363" width="5.85546875" style="8" customWidth="1"/>
    <col min="15364" max="15364" width="1.5703125" style="8" customWidth="1"/>
    <col min="15365" max="15365" width="10.5703125" style="8" customWidth="1"/>
    <col min="15366" max="15366" width="6.7109375" style="8" customWidth="1"/>
    <col min="15367" max="15367" width="1.5703125" style="8" customWidth="1"/>
    <col min="15368" max="15368" width="10.5703125" style="8" customWidth="1"/>
    <col min="15369" max="15369" width="9.7109375" style="8" customWidth="1"/>
    <col min="15370" max="15370" width="13.28515625" style="8" bestFit="1" customWidth="1"/>
    <col min="15371" max="15371" width="7.7109375" style="8" customWidth="1"/>
    <col min="15372" max="15372" width="11.42578125" style="8"/>
    <col min="15373" max="15373" width="13.28515625" style="8" bestFit="1" customWidth="1"/>
    <col min="15374" max="15610" width="11.42578125" style="8"/>
    <col min="15611" max="15611" width="0.140625" style="8" customWidth="1"/>
    <col min="15612" max="15612" width="2.7109375" style="8" customWidth="1"/>
    <col min="15613" max="15613" width="15.42578125" style="8" customWidth="1"/>
    <col min="15614" max="15614" width="1.28515625" style="8" customWidth="1"/>
    <col min="15615" max="15615" width="27.7109375" style="8" customWidth="1"/>
    <col min="15616" max="15616" width="6.7109375" style="8" customWidth="1"/>
    <col min="15617" max="15617" width="1.5703125" style="8" customWidth="1"/>
    <col min="15618" max="15618" width="10.5703125" style="8" customWidth="1"/>
    <col min="15619" max="15619" width="5.85546875" style="8" customWidth="1"/>
    <col min="15620" max="15620" width="1.5703125" style="8" customWidth="1"/>
    <col min="15621" max="15621" width="10.5703125" style="8" customWidth="1"/>
    <col min="15622" max="15622" width="6.7109375" style="8" customWidth="1"/>
    <col min="15623" max="15623" width="1.5703125" style="8" customWidth="1"/>
    <col min="15624" max="15624" width="10.5703125" style="8" customWidth="1"/>
    <col min="15625" max="15625" width="9.7109375" style="8" customWidth="1"/>
    <col min="15626" max="15626" width="13.28515625" style="8" bestFit="1" customWidth="1"/>
    <col min="15627" max="15627" width="7.7109375" style="8" customWidth="1"/>
    <col min="15628" max="15628" width="11.42578125" style="8"/>
    <col min="15629" max="15629" width="13.28515625" style="8" bestFit="1" customWidth="1"/>
    <col min="15630" max="15866" width="11.42578125" style="8"/>
    <col min="15867" max="15867" width="0.140625" style="8" customWidth="1"/>
    <col min="15868" max="15868" width="2.7109375" style="8" customWidth="1"/>
    <col min="15869" max="15869" width="15.42578125" style="8" customWidth="1"/>
    <col min="15870" max="15870" width="1.28515625" style="8" customWidth="1"/>
    <col min="15871" max="15871" width="27.7109375" style="8" customWidth="1"/>
    <col min="15872" max="15872" width="6.7109375" style="8" customWidth="1"/>
    <col min="15873" max="15873" width="1.5703125" style="8" customWidth="1"/>
    <col min="15874" max="15874" width="10.5703125" style="8" customWidth="1"/>
    <col min="15875" max="15875" width="5.85546875" style="8" customWidth="1"/>
    <col min="15876" max="15876" width="1.5703125" style="8" customWidth="1"/>
    <col min="15877" max="15877" width="10.5703125" style="8" customWidth="1"/>
    <col min="15878" max="15878" width="6.7109375" style="8" customWidth="1"/>
    <col min="15879" max="15879" width="1.5703125" style="8" customWidth="1"/>
    <col min="15880" max="15880" width="10.5703125" style="8" customWidth="1"/>
    <col min="15881" max="15881" width="9.7109375" style="8" customWidth="1"/>
    <col min="15882" max="15882" width="13.28515625" style="8" bestFit="1" customWidth="1"/>
    <col min="15883" max="15883" width="7.7109375" style="8" customWidth="1"/>
    <col min="15884" max="15884" width="11.42578125" style="8"/>
    <col min="15885" max="15885" width="13.28515625" style="8" bestFit="1" customWidth="1"/>
    <col min="15886" max="16122" width="11.42578125" style="8"/>
    <col min="16123" max="16123" width="0.140625" style="8" customWidth="1"/>
    <col min="16124" max="16124" width="2.7109375" style="8" customWidth="1"/>
    <col min="16125" max="16125" width="15.42578125" style="8" customWidth="1"/>
    <col min="16126" max="16126" width="1.28515625" style="8" customWidth="1"/>
    <col min="16127" max="16127" width="27.7109375" style="8" customWidth="1"/>
    <col min="16128" max="16128" width="6.7109375" style="8" customWidth="1"/>
    <col min="16129" max="16129" width="1.5703125" style="8" customWidth="1"/>
    <col min="16130" max="16130" width="10.5703125" style="8" customWidth="1"/>
    <col min="16131" max="16131" width="5.85546875" style="8" customWidth="1"/>
    <col min="16132" max="16132" width="1.5703125" style="8" customWidth="1"/>
    <col min="16133" max="16133" width="10.5703125" style="8" customWidth="1"/>
    <col min="16134" max="16134" width="6.7109375" style="8" customWidth="1"/>
    <col min="16135" max="16135" width="1.5703125" style="8" customWidth="1"/>
    <col min="16136" max="16136" width="10.5703125" style="8" customWidth="1"/>
    <col min="16137" max="16137" width="9.7109375" style="8" customWidth="1"/>
    <col min="16138" max="16138" width="13.28515625" style="8" bestFit="1" customWidth="1"/>
    <col min="16139" max="16139" width="7.7109375" style="8" customWidth="1"/>
    <col min="16140" max="16140" width="11.42578125" style="8"/>
    <col min="16141" max="16141" width="13.28515625" style="8" bestFit="1" customWidth="1"/>
    <col min="16142" max="16384" width="11.42578125" style="8"/>
  </cols>
  <sheetData>
    <row r="1" spans="1:18" s="1" customFormat="1" ht="21" customHeight="1">
      <c r="C1" s="2"/>
      <c r="O1" s="31" t="s">
        <v>91</v>
      </c>
    </row>
    <row r="2" spans="1:18" s="1" customFormat="1" ht="15" customHeight="1"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2" t="s">
        <v>92</v>
      </c>
    </row>
    <row r="3" spans="1:18" s="3" customFormat="1" ht="21" customHeight="1">
      <c r="B3" s="4"/>
      <c r="O3" s="108" t="s">
        <v>124</v>
      </c>
      <c r="P3" s="5"/>
    </row>
    <row r="4" spans="1:18" s="3" customFormat="1" ht="12.75" customHeight="1">
      <c r="B4" s="4"/>
      <c r="P4" s="5"/>
    </row>
    <row r="5" spans="1:18" s="3" customFormat="1" ht="15">
      <c r="B5" s="4"/>
      <c r="C5" s="117"/>
      <c r="P5" s="5"/>
    </row>
    <row r="6" spans="1:18" s="3" customFormat="1" ht="12.75" customHeight="1">
      <c r="B6" s="4"/>
      <c r="C6" s="156" t="s">
        <v>115</v>
      </c>
      <c r="D6" s="154" t="s">
        <v>116</v>
      </c>
      <c r="E6" s="154"/>
      <c r="F6" s="154" t="s">
        <v>118</v>
      </c>
      <c r="G6" s="154"/>
      <c r="H6" s="154" t="s">
        <v>119</v>
      </c>
      <c r="I6" s="154"/>
      <c r="J6" s="154" t="s">
        <v>53</v>
      </c>
      <c r="K6" s="154"/>
      <c r="L6" s="154" t="s">
        <v>15</v>
      </c>
      <c r="M6" s="154"/>
      <c r="N6" s="154" t="s">
        <v>120</v>
      </c>
      <c r="O6" s="154"/>
      <c r="P6" s="5"/>
    </row>
    <row r="7" spans="1:18" s="3" customFormat="1" ht="12.75" customHeight="1">
      <c r="B7" s="4"/>
      <c r="C7" s="156"/>
      <c r="D7" s="155" t="s">
        <v>117</v>
      </c>
      <c r="E7" s="155"/>
      <c r="F7" s="155" t="s">
        <v>117</v>
      </c>
      <c r="G7" s="155"/>
      <c r="H7" s="155" t="s">
        <v>117</v>
      </c>
      <c r="I7" s="155"/>
      <c r="J7" s="155" t="s">
        <v>117</v>
      </c>
      <c r="K7" s="155"/>
      <c r="L7" s="155" t="s">
        <v>117</v>
      </c>
      <c r="M7" s="155"/>
      <c r="N7" s="155" t="s">
        <v>121</v>
      </c>
      <c r="O7" s="155"/>
      <c r="P7" s="5"/>
    </row>
    <row r="8" spans="1:18" ht="12.75" customHeight="1">
      <c r="A8" s="3"/>
      <c r="B8" s="4"/>
      <c r="C8" s="157"/>
      <c r="D8" s="6" t="s">
        <v>1</v>
      </c>
      <c r="E8" s="6" t="str">
        <f>'Data '!M7</f>
        <v>%18/17</v>
      </c>
      <c r="F8" s="6" t="s">
        <v>1</v>
      </c>
      <c r="G8" s="6" t="str">
        <f>'Data '!M28</f>
        <v>%18/17</v>
      </c>
      <c r="H8" s="6" t="s">
        <v>1</v>
      </c>
      <c r="I8" s="6" t="str">
        <f>'Data '!M46</f>
        <v>%18/17</v>
      </c>
      <c r="J8" s="6" t="s">
        <v>1</v>
      </c>
      <c r="K8" s="6" t="str">
        <f>'Data '!M63</f>
        <v>%18/17</v>
      </c>
      <c r="L8" s="6" t="s">
        <v>1</v>
      </c>
      <c r="M8" s="6" t="str">
        <f>'Data '!M71</f>
        <v>%18/17</v>
      </c>
      <c r="N8" s="6" t="s">
        <v>1</v>
      </c>
      <c r="O8" s="6" t="str">
        <f>'Data '!M83</f>
        <v>%18/17</v>
      </c>
      <c r="P8" s="7"/>
    </row>
    <row r="9" spans="1:18">
      <c r="A9" s="3"/>
      <c r="B9" s="4"/>
      <c r="C9" s="33" t="s">
        <v>93</v>
      </c>
      <c r="D9" s="27">
        <f>'Data '!L8</f>
        <v>33890.345197887014</v>
      </c>
      <c r="E9" s="26">
        <f>'Data '!M8</f>
        <v>83.713927088699506</v>
      </c>
      <c r="F9" s="27" t="s">
        <v>20</v>
      </c>
      <c r="G9" s="26" t="s">
        <v>20</v>
      </c>
      <c r="H9" s="27">
        <f>'Data '!L47</f>
        <v>3.2514243205654183</v>
      </c>
      <c r="I9" s="26">
        <f>'Data '!M47</f>
        <v>-0.62820328109018941</v>
      </c>
      <c r="J9" s="27" t="s">
        <v>20</v>
      </c>
      <c r="K9" s="26" t="s">
        <v>20</v>
      </c>
      <c r="L9" s="27" t="s">
        <v>20</v>
      </c>
      <c r="M9" s="26" t="s">
        <v>20</v>
      </c>
      <c r="N9" s="27">
        <f>'Data '!L84</f>
        <v>33893.59662220758</v>
      </c>
      <c r="O9" s="26">
        <f>'Data '!M84</f>
        <v>83.698970100908767</v>
      </c>
      <c r="P9" s="9"/>
      <c r="R9" s="12"/>
    </row>
    <row r="10" spans="1:18">
      <c r="A10" s="3"/>
      <c r="B10" s="4"/>
      <c r="C10" s="33" t="s">
        <v>94</v>
      </c>
      <c r="D10" s="27">
        <f>'Data '!L9</f>
        <v>2007.9914774304448</v>
      </c>
      <c r="E10" s="26">
        <f>'Data '!M9</f>
        <v>-10.714840081259336</v>
      </c>
      <c r="F10" s="27" t="s">
        <v>20</v>
      </c>
      <c r="G10" s="26" t="s">
        <v>20</v>
      </c>
      <c r="H10" s="26" t="s">
        <v>20</v>
      </c>
      <c r="I10" s="26" t="s">
        <v>20</v>
      </c>
      <c r="J10" s="26" t="s">
        <v>20</v>
      </c>
      <c r="K10" s="26" t="s">
        <v>20</v>
      </c>
      <c r="L10" s="26" t="s">
        <v>20</v>
      </c>
      <c r="M10" s="26" t="s">
        <v>20</v>
      </c>
      <c r="N10" s="27">
        <f>'Data '!L85</f>
        <v>2007.9914774304448</v>
      </c>
      <c r="O10" s="26">
        <f>'Data '!M85</f>
        <v>-10.714840081259336</v>
      </c>
      <c r="P10" s="9"/>
      <c r="R10" s="12"/>
    </row>
    <row r="11" spans="1:18">
      <c r="A11" s="3"/>
      <c r="B11" s="4"/>
      <c r="C11" s="33" t="s">
        <v>3</v>
      </c>
      <c r="D11" s="27">
        <f>'Data '!L10</f>
        <v>53091.458206476185</v>
      </c>
      <c r="E11" s="26">
        <f>'Data '!M10</f>
        <v>-4.4074926937773595</v>
      </c>
      <c r="F11" s="27" t="s">
        <v>20</v>
      </c>
      <c r="G11" s="26" t="s">
        <v>20</v>
      </c>
      <c r="H11" s="26" t="s">
        <v>20</v>
      </c>
      <c r="I11" s="26" t="s">
        <v>20</v>
      </c>
      <c r="J11" s="26" t="s">
        <v>20</v>
      </c>
      <c r="K11" s="26" t="s">
        <v>20</v>
      </c>
      <c r="L11" s="26" t="s">
        <v>20</v>
      </c>
      <c r="M11" s="26" t="s">
        <v>20</v>
      </c>
      <c r="N11" s="27">
        <f>'Data '!L86</f>
        <v>53091.458206476185</v>
      </c>
      <c r="O11" s="26">
        <f>'Data '!M86</f>
        <v>-4.4074926937773595</v>
      </c>
      <c r="P11" s="9"/>
    </row>
    <row r="12" spans="1:18">
      <c r="A12" s="3"/>
      <c r="B12" s="4"/>
      <c r="C12" s="33" t="s">
        <v>95</v>
      </c>
      <c r="D12" s="27">
        <f>'Data '!L11</f>
        <v>35878.356718632225</v>
      </c>
      <c r="E12" s="26">
        <f>'Data '!M11</f>
        <v>-15.42489516639467</v>
      </c>
      <c r="F12" s="27">
        <f>'Data '!L29</f>
        <v>2374.9930481135621</v>
      </c>
      <c r="G12" s="26">
        <f>'Data '!M29</f>
        <v>-8.5673170860326326</v>
      </c>
      <c r="H12" s="26" t="s">
        <v>20</v>
      </c>
      <c r="I12" s="26" t="s">
        <v>20</v>
      </c>
      <c r="J12" s="26" t="s">
        <v>20</v>
      </c>
      <c r="K12" s="26" t="s">
        <v>20</v>
      </c>
      <c r="L12" s="27" t="s">
        <v>20</v>
      </c>
      <c r="M12" s="26" t="s">
        <v>20</v>
      </c>
      <c r="N12" s="27">
        <f>'Data '!L87</f>
        <v>38253.349766745785</v>
      </c>
      <c r="O12" s="26">
        <f>'Data '!M87</f>
        <v>-15.029226425372343</v>
      </c>
      <c r="P12" s="9"/>
    </row>
    <row r="13" spans="1:18" ht="12.75" customHeight="1">
      <c r="A13" s="3"/>
      <c r="B13" s="4"/>
      <c r="C13" s="33" t="s">
        <v>36</v>
      </c>
      <c r="D13" s="27">
        <f>'Data '!L12</f>
        <v>-9.9999999999999995E-7</v>
      </c>
      <c r="E13" s="26" t="str">
        <f>'Data '!M12</f>
        <v>-</v>
      </c>
      <c r="F13" s="27">
        <f>SUM('Data '!L32,'Data '!L34)</f>
        <v>1463.7346077793484</v>
      </c>
      <c r="G13" s="26">
        <f>((SUM('Data '!L32,'Data '!L34)/SUM('Data '!K32,'Data '!K34)-1)*100)</f>
        <v>7.0561639802382725</v>
      </c>
      <c r="H13" s="27">
        <f>SUM('Data '!L51,'Data '!L53)</f>
        <v>4864.8571898573309</v>
      </c>
      <c r="I13" s="26">
        <f>((SUM('Data '!L51,'Data '!L53)/SUM('Data '!K51,'Data '!K53)-1)*100)</f>
        <v>-7.000614201317279</v>
      </c>
      <c r="J13" s="27">
        <f>'Data '!L66</f>
        <v>207.80056999999996</v>
      </c>
      <c r="K13" s="26">
        <f>'Data '!M66</f>
        <v>2.4350388391884303</v>
      </c>
      <c r="L13" s="27">
        <f>'Data '!L74</f>
        <v>203.39149999999998</v>
      </c>
      <c r="M13" s="26">
        <f>'Data '!M74</f>
        <v>1.4956832316489921</v>
      </c>
      <c r="N13" s="27">
        <f>'Data '!L88</f>
        <v>6739.7838666366797</v>
      </c>
      <c r="O13" s="26">
        <f>'Data '!M88</f>
        <v>-3.7390657215498058</v>
      </c>
      <c r="P13" s="9"/>
      <c r="R13" s="12"/>
    </row>
    <row r="14" spans="1:18">
      <c r="A14" s="3"/>
      <c r="B14" s="4"/>
      <c r="C14" s="33" t="s">
        <v>96</v>
      </c>
      <c r="D14" s="27">
        <f>'Data '!L13</f>
        <v>26834.634476746742</v>
      </c>
      <c r="E14" s="26">
        <f>'Data '!M13</f>
        <v>-20.24890095784151</v>
      </c>
      <c r="F14" s="27">
        <f>'Data '!L33</f>
        <v>597.04101800216063</v>
      </c>
      <c r="G14" s="26">
        <f>'Data '!M33</f>
        <v>42.007452496290632</v>
      </c>
      <c r="H14" s="27">
        <f>'Data '!L52</f>
        <v>3030.3783758141599</v>
      </c>
      <c r="I14" s="26">
        <f>'Data '!M52</f>
        <v>1.101010262862645</v>
      </c>
      <c r="J14" s="27" t="s">
        <v>20</v>
      </c>
      <c r="K14" s="26" t="s">
        <v>20</v>
      </c>
      <c r="L14" s="27" t="s">
        <v>20</v>
      </c>
      <c r="M14" s="26" t="s">
        <v>20</v>
      </c>
      <c r="N14" s="27">
        <f>'Data '!L89</f>
        <v>30462.053870563061</v>
      </c>
      <c r="O14" s="26">
        <f>'Data '!M89</f>
        <v>-17.816249787572158</v>
      </c>
      <c r="P14" s="9"/>
      <c r="R14" s="12"/>
    </row>
    <row r="15" spans="1:18" ht="12.75" customHeight="1">
      <c r="A15" s="3"/>
      <c r="B15" s="4"/>
      <c r="C15" s="33" t="s">
        <v>97</v>
      </c>
      <c r="D15" s="27" t="s">
        <v>20</v>
      </c>
      <c r="E15" s="26" t="s">
        <v>20</v>
      </c>
      <c r="F15" s="27" t="s">
        <v>20</v>
      </c>
      <c r="G15" s="26" t="s">
        <v>20</v>
      </c>
      <c r="H15" s="27">
        <f>'Data '!L54</f>
        <v>24.820859657224158</v>
      </c>
      <c r="I15" s="26">
        <f>'Data '!M54</f>
        <v>22.674787389884553</v>
      </c>
      <c r="J15" s="27" t="s">
        <v>20</v>
      </c>
      <c r="K15" s="26" t="s">
        <v>20</v>
      </c>
      <c r="L15" s="27" t="s">
        <v>20</v>
      </c>
      <c r="M15" s="26" t="s">
        <v>20</v>
      </c>
      <c r="N15" s="27">
        <f>'Data '!L90</f>
        <v>24.820859657224158</v>
      </c>
      <c r="O15" s="26">
        <f>'Data '!M90</f>
        <v>22.674787389884553</v>
      </c>
      <c r="P15" s="9"/>
      <c r="R15" s="12"/>
    </row>
    <row r="16" spans="1:18" ht="12.75" customHeight="1">
      <c r="A16" s="3"/>
      <c r="B16" s="4"/>
      <c r="C16" s="33" t="s">
        <v>98</v>
      </c>
      <c r="D16" s="27">
        <f>'Data '!L14</f>
        <v>49112.092209999995</v>
      </c>
      <c r="E16" s="26">
        <f>'Data '!M14</f>
        <v>3.3762370144172715</v>
      </c>
      <c r="F16" s="27">
        <f>'Data '!L35</f>
        <v>3.6469423218198509</v>
      </c>
      <c r="G16" s="26">
        <f>'Data '!M35</f>
        <v>24.712657827778607</v>
      </c>
      <c r="H16" s="27">
        <f>'Data '!L55</f>
        <v>630.33778104653322</v>
      </c>
      <c r="I16" s="26">
        <f>'Data '!M55</f>
        <v>59.206226151367126</v>
      </c>
      <c r="J16" s="27" t="s">
        <v>20</v>
      </c>
      <c r="K16" s="26" t="s">
        <v>20</v>
      </c>
      <c r="L16" s="27" t="s">
        <v>20</v>
      </c>
      <c r="M16" s="26" t="s">
        <v>20</v>
      </c>
      <c r="N16" s="27">
        <f>'Data '!L91</f>
        <v>49746.076933368349</v>
      </c>
      <c r="O16" s="26">
        <f>'Data '!M91</f>
        <v>3.8389443679563318</v>
      </c>
      <c r="P16" s="9"/>
      <c r="R16" s="12"/>
    </row>
    <row r="17" spans="1:18" ht="12.75" customHeight="1">
      <c r="A17" s="3"/>
      <c r="B17" s="4"/>
      <c r="C17" s="33" t="s">
        <v>99</v>
      </c>
      <c r="D17" s="27">
        <f>'Data '!L15</f>
        <v>7347.3705527380007</v>
      </c>
      <c r="E17" s="26">
        <f>'Data '!M15</f>
        <v>-8.1660431955266954</v>
      </c>
      <c r="F17" s="27">
        <f>'Data '!L36</f>
        <v>113.08098047736902</v>
      </c>
      <c r="G17" s="26">
        <f>'Data '!M36</f>
        <v>-8.3154405720935252</v>
      </c>
      <c r="H17" s="27">
        <f>'Data '!L56</f>
        <v>276.10490371048814</v>
      </c>
      <c r="I17" s="26">
        <f>'Data '!M56</f>
        <v>0.90570073296334375</v>
      </c>
      <c r="J17" s="27" t="s">
        <v>20</v>
      </c>
      <c r="K17" s="26" t="s">
        <v>20</v>
      </c>
      <c r="L17" s="27">
        <f>'Data '!L75</f>
        <v>6.5796000000000007E-2</v>
      </c>
      <c r="M17" s="26">
        <f>'Data '!M75</f>
        <v>-14.405026733793825</v>
      </c>
      <c r="N17" s="27">
        <f>'Data '!L92</f>
        <v>7736.622232925858</v>
      </c>
      <c r="O17" s="26">
        <f>'Data '!M92</f>
        <v>-7.8727069520067143</v>
      </c>
      <c r="P17" s="9"/>
      <c r="R17" s="12"/>
    </row>
    <row r="18" spans="1:18">
      <c r="A18" s="3"/>
      <c r="B18" s="4"/>
      <c r="C18" s="33" t="s">
        <v>100</v>
      </c>
      <c r="D18" s="27">
        <f>'Data '!L16</f>
        <v>4471.1815512620014</v>
      </c>
      <c r="E18" s="26">
        <f>'Data '!M16</f>
        <v>-16.394515835286107</v>
      </c>
      <c r="F18" s="27" t="s">
        <v>20</v>
      </c>
      <c r="G18" s="26" t="s">
        <v>20</v>
      </c>
      <c r="H18" s="27" t="s">
        <v>20</v>
      </c>
      <c r="I18" s="27" t="s">
        <v>20</v>
      </c>
      <c r="J18" s="27" t="s">
        <v>20</v>
      </c>
      <c r="K18" s="27" t="s">
        <v>20</v>
      </c>
      <c r="L18" s="27" t="s">
        <v>20</v>
      </c>
      <c r="M18" s="26" t="s">
        <v>20</v>
      </c>
      <c r="N18" s="27">
        <f>'Data '!L93</f>
        <v>4471.1815512620014</v>
      </c>
      <c r="O18" s="26">
        <f>'Data '!M93</f>
        <v>-16.394515835286107</v>
      </c>
      <c r="P18" s="9"/>
      <c r="R18" s="12"/>
    </row>
    <row r="19" spans="1:18">
      <c r="A19" s="3"/>
      <c r="B19" s="4"/>
      <c r="C19" s="33" t="s">
        <v>101</v>
      </c>
      <c r="D19" s="27">
        <f>'Data '!L17</f>
        <v>3560.9433480000007</v>
      </c>
      <c r="E19" s="26">
        <f>'Data '!M17</f>
        <v>-1.0617082241729747</v>
      </c>
      <c r="F19" s="27">
        <f>'Data '!L37</f>
        <v>1.2360489363999947</v>
      </c>
      <c r="G19" s="26">
        <f>'Data '!M37</f>
        <v>-24.016857237876554</v>
      </c>
      <c r="H19" s="27">
        <f>'Data '!L57</f>
        <v>8.7648993386727216</v>
      </c>
      <c r="I19" s="26">
        <f>'Data '!M57</f>
        <v>-8.3673600613143666</v>
      </c>
      <c r="J19" s="27" t="s">
        <v>20</v>
      </c>
      <c r="K19" s="26" t="s">
        <v>20</v>
      </c>
      <c r="L19" s="27" t="s">
        <v>20</v>
      </c>
      <c r="M19" s="26" t="s">
        <v>20</v>
      </c>
      <c r="N19" s="27">
        <f>'Data '!L94</f>
        <v>3570.9442962750736</v>
      </c>
      <c r="O19" s="26">
        <f>'Data '!M94</f>
        <v>-1.091406895201974</v>
      </c>
      <c r="P19" s="9"/>
      <c r="R19" s="12"/>
    </row>
    <row r="20" spans="1:18">
      <c r="A20" s="3"/>
      <c r="B20" s="4"/>
      <c r="C20" s="33" t="s">
        <v>102</v>
      </c>
      <c r="D20" s="27">
        <f>'Data '!L18</f>
        <v>28665.223921000004</v>
      </c>
      <c r="E20" s="26">
        <f>'Data '!M18</f>
        <v>1.7378941504317735</v>
      </c>
      <c r="F20" s="27">
        <f>'Data '!L38</f>
        <v>34.073825045402735</v>
      </c>
      <c r="G20" s="26">
        <f>'Data '!M38</f>
        <v>-5.9882875565731908</v>
      </c>
      <c r="H20" s="27" t="s">
        <v>20</v>
      </c>
      <c r="I20" s="26" t="s">
        <v>20</v>
      </c>
      <c r="J20" s="27" t="s">
        <v>20</v>
      </c>
      <c r="K20" s="26" t="s">
        <v>20</v>
      </c>
      <c r="L20" s="27" t="s">
        <v>20</v>
      </c>
      <c r="M20" s="26" t="s">
        <v>20</v>
      </c>
      <c r="N20" s="27">
        <f>'Data '!L95</f>
        <v>28699.297746045406</v>
      </c>
      <c r="O20" s="26">
        <f>'Data '!M95</f>
        <v>1.7279681807601754</v>
      </c>
      <c r="P20" s="9"/>
      <c r="R20" s="12"/>
    </row>
    <row r="21" spans="1:18">
      <c r="A21" s="3"/>
      <c r="B21" s="4"/>
      <c r="C21" s="33" t="s">
        <v>103</v>
      </c>
      <c r="D21" s="27">
        <f>'Data '!L19</f>
        <v>2298.0597214999989</v>
      </c>
      <c r="E21" s="26">
        <f>'Data '!M19</f>
        <v>-6.5498454373189237</v>
      </c>
      <c r="F21" s="27">
        <f>'Data '!L39</f>
        <v>130.9019649653365</v>
      </c>
      <c r="G21" s="26">
        <f>'Data '!M39</f>
        <v>-9.0191987561794136</v>
      </c>
      <c r="H21" s="27" t="s">
        <v>20</v>
      </c>
      <c r="I21" s="26" t="s">
        <v>20</v>
      </c>
      <c r="J21" s="27" t="s">
        <v>20</v>
      </c>
      <c r="K21" s="26" t="s">
        <v>20</v>
      </c>
      <c r="L21" s="27">
        <f>'Data '!L76</f>
        <v>5.2600745000000009</v>
      </c>
      <c r="M21" s="26">
        <f>'Data '!M76</f>
        <v>5.6879504985547502</v>
      </c>
      <c r="N21" s="27">
        <f>'Data '!L96</f>
        <v>2434.2217609653353</v>
      </c>
      <c r="O21" s="26">
        <f>'Data '!M96</f>
        <v>-6.6627218465162059</v>
      </c>
      <c r="P21" s="9"/>
      <c r="R21" s="12"/>
    </row>
    <row r="22" spans="1:18">
      <c r="A22" s="3"/>
      <c r="B22" s="4"/>
      <c r="C22" s="33" t="s">
        <v>104</v>
      </c>
      <c r="D22" s="27">
        <f>'Data '!L20</f>
        <v>727.54144450000001</v>
      </c>
      <c r="E22" s="26">
        <f>'Data '!M20</f>
        <v>-8.3634984256053535E-2</v>
      </c>
      <c r="F22" s="27">
        <f>'Data '!L40</f>
        <v>130.9019649653365</v>
      </c>
      <c r="G22" s="26">
        <f>'Data '!M40</f>
        <v>-9.0191987561794136</v>
      </c>
      <c r="H22" s="27" t="s">
        <v>20</v>
      </c>
      <c r="I22" s="26" t="s">
        <v>20</v>
      </c>
      <c r="J22" s="27" t="s">
        <v>20</v>
      </c>
      <c r="K22" s="26" t="s">
        <v>20</v>
      </c>
      <c r="L22" s="27">
        <f>'Data '!L77</f>
        <v>5.2600745000000009</v>
      </c>
      <c r="M22" s="26">
        <f>'Data '!M77</f>
        <v>5.6879504985547502</v>
      </c>
      <c r="N22" s="27">
        <f>'Data '!L97</f>
        <v>863.70348396533655</v>
      </c>
      <c r="O22" s="26">
        <f>'Data '!M97</f>
        <v>-1.5168199208477451</v>
      </c>
      <c r="P22" s="9"/>
      <c r="R22" s="12"/>
    </row>
    <row r="23" spans="1:18">
      <c r="A23" s="3"/>
      <c r="B23" s="4"/>
      <c r="C23" s="34" t="s">
        <v>105</v>
      </c>
      <c r="D23" s="35">
        <f>SUM(D9:D22)</f>
        <v>247885.19882517261</v>
      </c>
      <c r="E23" s="36">
        <f>'Data '!M21</f>
        <v>-9.6363383604092245E-2</v>
      </c>
      <c r="F23" s="35">
        <f>SUM(F9:F22)</f>
        <v>4849.6104006067353</v>
      </c>
      <c r="G23" s="36">
        <f>'Data '!M41</f>
        <v>0.25844002357953144</v>
      </c>
      <c r="H23" s="35">
        <f>SUM(H9:H22)</f>
        <v>8838.5154337449731</v>
      </c>
      <c r="I23" s="36">
        <f>'Data '!M59</f>
        <v>-1.0362438490912562</v>
      </c>
      <c r="J23" s="35">
        <f>SUM(J9:J22)</f>
        <v>207.80056999999996</v>
      </c>
      <c r="K23" s="36">
        <f>'Data '!M67</f>
        <v>2.4350388391884303</v>
      </c>
      <c r="L23" s="35">
        <f>SUM(L9:L22)</f>
        <v>213.97744499999999</v>
      </c>
      <c r="M23" s="36">
        <f>'Data '!M79</f>
        <v>1.6881861391064623</v>
      </c>
      <c r="N23" s="35">
        <f>SUM(N9:N22)</f>
        <v>261995.10267452427</v>
      </c>
      <c r="O23" s="36">
        <f>'Data '!M98</f>
        <v>-0.11843256157333393</v>
      </c>
      <c r="P23" s="9"/>
      <c r="R23" s="12"/>
    </row>
    <row r="24" spans="1:18">
      <c r="A24" s="3"/>
      <c r="B24" s="4"/>
      <c r="C24" s="37" t="s">
        <v>106</v>
      </c>
      <c r="D24" s="27">
        <f>'Data '!L22</f>
        <v>-3224.5584959492062</v>
      </c>
      <c r="E24" s="26">
        <f>'Data '!M22</f>
        <v>-10.617155734525808</v>
      </c>
      <c r="F24" s="27" t="s">
        <v>20</v>
      </c>
      <c r="G24" s="27" t="s">
        <v>20</v>
      </c>
      <c r="H24" s="27" t="s">
        <v>20</v>
      </c>
      <c r="I24" s="27" t="s">
        <v>20</v>
      </c>
      <c r="J24" s="27" t="s">
        <v>20</v>
      </c>
      <c r="K24" s="27" t="s">
        <v>20</v>
      </c>
      <c r="L24" s="27" t="s">
        <v>20</v>
      </c>
      <c r="M24" s="26" t="s">
        <v>20</v>
      </c>
      <c r="N24" s="27">
        <f>'Data '!L99</f>
        <v>-3224.5584959492062</v>
      </c>
      <c r="O24" s="26">
        <f>'Data '!M99</f>
        <v>-10.617155734525808</v>
      </c>
      <c r="P24" s="9"/>
      <c r="R24" s="12"/>
    </row>
    <row r="25" spans="1:18">
      <c r="A25" s="3"/>
      <c r="B25" s="4"/>
      <c r="C25" s="37" t="s">
        <v>112</v>
      </c>
      <c r="D25" s="27">
        <f>'Data '!L23</f>
        <v>-1210.4022899682541</v>
      </c>
      <c r="E25" s="26">
        <f>'Data '!M23</f>
        <v>2.6367737499992883</v>
      </c>
      <c r="F25" s="27">
        <f>'Data '!L42</f>
        <v>1210.4022899682543</v>
      </c>
      <c r="G25" s="26">
        <f>'Data '!M42</f>
        <v>2.6367737499993105</v>
      </c>
      <c r="H25" s="27" t="s">
        <v>20</v>
      </c>
      <c r="I25" s="26" t="s">
        <v>20</v>
      </c>
      <c r="J25" s="26" t="s">
        <v>20</v>
      </c>
      <c r="K25" s="26" t="s">
        <v>20</v>
      </c>
      <c r="L25" s="27" t="s">
        <v>20</v>
      </c>
      <c r="M25" s="26" t="s">
        <v>20</v>
      </c>
      <c r="N25" s="26" t="s">
        <v>20</v>
      </c>
      <c r="O25" s="26" t="s">
        <v>20</v>
      </c>
      <c r="P25" s="149"/>
      <c r="R25" s="12"/>
    </row>
    <row r="26" spans="1:18">
      <c r="A26" s="3"/>
      <c r="B26" s="4"/>
      <c r="C26" s="37" t="s">
        <v>113</v>
      </c>
      <c r="D26" s="38">
        <f>'Data '!L24</f>
        <v>10623.621671777773</v>
      </c>
      <c r="E26" s="39">
        <f>'Data '!M24</f>
        <v>15.864643650678856</v>
      </c>
      <c r="F26" s="38" t="s">
        <v>20</v>
      </c>
      <c r="G26" s="38" t="s">
        <v>20</v>
      </c>
      <c r="H26" s="38" t="s">
        <v>20</v>
      </c>
      <c r="I26" s="38" t="s">
        <v>20</v>
      </c>
      <c r="J26" s="38" t="s">
        <v>20</v>
      </c>
      <c r="K26" s="38" t="s">
        <v>20</v>
      </c>
      <c r="L26" s="38" t="s">
        <v>20</v>
      </c>
      <c r="M26" s="39" t="s">
        <v>20</v>
      </c>
      <c r="N26" s="38">
        <f>'Data '!L100</f>
        <v>10623.621671777773</v>
      </c>
      <c r="O26" s="39">
        <f>'Data '!M100</f>
        <v>15.864643650678856</v>
      </c>
      <c r="P26" s="9"/>
      <c r="R26" s="12"/>
    </row>
    <row r="27" spans="1:18" ht="16.149999999999999" customHeight="1">
      <c r="C27" s="40" t="s">
        <v>114</v>
      </c>
      <c r="D27" s="41">
        <f>SUM(D23:D26)</f>
        <v>254073.85971103294</v>
      </c>
      <c r="E27" s="42">
        <f>'Data '!M25</f>
        <v>0.62075812192241564</v>
      </c>
      <c r="F27" s="41">
        <f>SUM(F23:F26)</f>
        <v>6060.0126905749894</v>
      </c>
      <c r="G27" s="42">
        <f>'Data '!M43</f>
        <v>0.72462865697862089</v>
      </c>
      <c r="H27" s="41">
        <f>SUM(H23:H26)</f>
        <v>8838.5154337449731</v>
      </c>
      <c r="I27" s="42">
        <f>'Data '!M60</f>
        <v>-1.0362438490912562</v>
      </c>
      <c r="J27" s="41">
        <f>SUM(J23:J26)</f>
        <v>207.80056999999996</v>
      </c>
      <c r="K27" s="42">
        <f>'Data '!M68</f>
        <v>2.4350388391884303</v>
      </c>
      <c r="L27" s="41">
        <f>SUM(L23:L26)</f>
        <v>213.97744499999999</v>
      </c>
      <c r="M27" s="42">
        <f>'Data '!M80</f>
        <v>1.6881861391064623</v>
      </c>
      <c r="N27" s="41">
        <f>SUM(N23:N26)</f>
        <v>269394.16585035285</v>
      </c>
      <c r="O27" s="42">
        <f>'Data '!M101</f>
        <v>0.57005687123656834</v>
      </c>
      <c r="P27" s="9"/>
      <c r="Q27" s="12"/>
      <c r="R27" s="12"/>
    </row>
    <row r="28" spans="1:18" ht="16.899999999999999" customHeight="1">
      <c r="C28" s="151" t="s">
        <v>107</v>
      </c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7"/>
      <c r="Q28" s="12"/>
    </row>
    <row r="29" spans="1:18" ht="12.75" customHeight="1">
      <c r="C29" s="151" t="s">
        <v>108</v>
      </c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7"/>
      <c r="Q29" s="12"/>
    </row>
    <row r="30" spans="1:18" ht="12.75" customHeight="1">
      <c r="C30" s="151" t="s">
        <v>109</v>
      </c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7"/>
      <c r="Q30" s="12"/>
    </row>
    <row r="31" spans="1:18" ht="12.75" customHeight="1">
      <c r="C31" s="151" t="s">
        <v>110</v>
      </c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7"/>
      <c r="Q31" s="12"/>
    </row>
    <row r="32" spans="1:18" ht="12.75" customHeight="1">
      <c r="C32" s="151" t="s">
        <v>111</v>
      </c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7"/>
      <c r="Q32" s="12"/>
    </row>
    <row r="33" spans="1:23" ht="12.75" customHeight="1">
      <c r="C33" s="151" t="s">
        <v>122</v>
      </c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7"/>
      <c r="Q33" s="12"/>
    </row>
    <row r="34" spans="1:23" ht="12.75" customHeight="1">
      <c r="C34" s="151" t="s">
        <v>123</v>
      </c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7"/>
      <c r="Q34" s="12"/>
    </row>
    <row r="35" spans="1:23">
      <c r="Q35" s="12"/>
    </row>
    <row r="36" spans="1:23">
      <c r="C36" s="10"/>
      <c r="D36" s="11"/>
      <c r="L36" s="11"/>
      <c r="N36" s="8"/>
      <c r="Q36" s="12"/>
    </row>
    <row r="37" spans="1:23">
      <c r="C37" s="11"/>
      <c r="D37" s="11"/>
    </row>
    <row r="38" spans="1:23">
      <c r="C38" s="11"/>
      <c r="D38" s="11"/>
    </row>
    <row r="40" spans="1:23" s="12" customFormat="1">
      <c r="A40" s="1"/>
      <c r="B40" s="1"/>
      <c r="C40" s="8"/>
      <c r="D40" s="8"/>
      <c r="E40" s="8"/>
      <c r="F40" s="8"/>
      <c r="G40" s="8"/>
      <c r="H40" s="8"/>
      <c r="I40" s="8"/>
      <c r="J40" s="8"/>
      <c r="K40" s="8"/>
      <c r="M40" s="8"/>
      <c r="O40" s="8"/>
      <c r="P40" s="8"/>
      <c r="Q40" s="8"/>
      <c r="R40" s="8"/>
      <c r="S40" s="8"/>
      <c r="T40" s="8"/>
      <c r="U40" s="8"/>
      <c r="V40" s="8"/>
      <c r="W40" s="8"/>
    </row>
  </sheetData>
  <mergeCells count="13">
    <mergeCell ref="N6:O6"/>
    <mergeCell ref="D7:E7"/>
    <mergeCell ref="L7:M7"/>
    <mergeCell ref="N7:O7"/>
    <mergeCell ref="C6:C8"/>
    <mergeCell ref="F6:G6"/>
    <mergeCell ref="F7:G7"/>
    <mergeCell ref="H6:I6"/>
    <mergeCell ref="H7:I7"/>
    <mergeCell ref="J6:K6"/>
    <mergeCell ref="J7:K7"/>
    <mergeCell ref="D6:E6"/>
    <mergeCell ref="L6:M6"/>
  </mergeCells>
  <printOptions horizontalCentered="1" verticalCentered="1"/>
  <pageMargins left="0.78740157480314965" right="0.78740157480314965" top="0.78740157480314965" bottom="0.98425196850393704" header="0" footer="0"/>
  <pageSetup paperSize="9" scale="87" orientation="landscape" r:id="rId1"/>
  <headerFooter alignWithMargins="0"/>
  <ignoredErrors>
    <ignoredError sqref="G23 E23 E27 G27 I23 I27 K23 K27 M23 M2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L19"/>
  <sheetViews>
    <sheetView showGridLines="0" showRowColHeaders="0" zoomScaleNormal="100" workbookViewId="0">
      <selection activeCell="J1" sqref="J1"/>
    </sheetView>
  </sheetViews>
  <sheetFormatPr baseColWidth="10" defaultRowHeight="12.75"/>
  <cols>
    <col min="1" max="1" width="0.140625" customWidth="1"/>
    <col min="2" max="2" width="2.7109375" customWidth="1"/>
    <col min="3" max="3" width="38.7109375" customWidth="1"/>
    <col min="4" max="4" width="5.7109375" customWidth="1"/>
    <col min="5" max="5" width="15.7109375" customWidth="1"/>
    <col min="6" max="6" width="5.7109375" customWidth="1"/>
    <col min="7" max="7" width="22.7109375" customWidth="1"/>
    <col min="8" max="8" width="5.7109375" customWidth="1"/>
    <col min="9" max="12" width="10.7109375" customWidth="1"/>
  </cols>
  <sheetData>
    <row r="1" spans="3:12" ht="21" customHeight="1">
      <c r="L1" s="31" t="s">
        <v>91</v>
      </c>
    </row>
    <row r="2" spans="3:12" ht="15" customHeight="1">
      <c r="L2" s="32" t="s">
        <v>92</v>
      </c>
    </row>
    <row r="3" spans="3:12" ht="21" customHeight="1">
      <c r="L3" s="108" t="s">
        <v>124</v>
      </c>
    </row>
    <row r="4" spans="3:12" ht="15" customHeight="1">
      <c r="L4" s="43"/>
    </row>
    <row r="5" spans="3:12" ht="15" customHeight="1">
      <c r="L5" s="43"/>
    </row>
    <row r="6" spans="3:12" ht="30">
      <c r="C6" s="109" t="s">
        <v>153</v>
      </c>
      <c r="E6" s="158" t="s">
        <v>152</v>
      </c>
      <c r="F6" s="158"/>
      <c r="G6" s="158"/>
      <c r="I6" s="159" t="s">
        <v>157</v>
      </c>
      <c r="J6" s="159"/>
      <c r="K6" s="159"/>
      <c r="L6" s="159"/>
    </row>
    <row r="7" spans="3:12" ht="15" customHeight="1">
      <c r="C7" s="93"/>
      <c r="E7" s="114"/>
      <c r="F7" s="113"/>
      <c r="G7" s="114"/>
      <c r="I7" s="93"/>
      <c r="J7" s="93"/>
      <c r="K7" s="93"/>
      <c r="L7" s="93"/>
    </row>
    <row r="8" spans="3:12" ht="21" customHeight="1">
      <c r="C8" s="94" t="str">
        <f>CONCATENATE(TEXT('Data '!L25/1000,"0,0")&amp;" TWh")</f>
        <v>254,1 TWh</v>
      </c>
      <c r="E8" s="94" t="str">
        <f>CONCATENATE(TEXT('Data '!E123,"0.000")&amp;" MW")</f>
        <v>40.947 MW</v>
      </c>
      <c r="F8" s="94"/>
      <c r="G8" s="113" t="str">
        <f>'Data '!D123</f>
        <v>8 February (8:24 pm)</v>
      </c>
      <c r="I8" s="94" t="str">
        <f>CONCATENATE(TEXT(SUM('Data '!L43,'Data '!L60,'Data '!L68,'Data '!L80)/1000,"0,0")&amp;" TWh")</f>
        <v>15,3 TWh</v>
      </c>
      <c r="J8" s="93"/>
      <c r="K8" s="93"/>
      <c r="L8" s="93"/>
    </row>
    <row r="9" spans="3:12" ht="15" customHeight="1">
      <c r="C9" s="93"/>
      <c r="E9" s="95"/>
      <c r="F9" s="95"/>
      <c r="G9" s="93"/>
      <c r="I9" s="93"/>
      <c r="J9" s="93"/>
      <c r="K9" s="93"/>
      <c r="L9" s="93"/>
    </row>
    <row r="10" spans="3:12" ht="15">
      <c r="C10" s="110" t="s">
        <v>130</v>
      </c>
      <c r="E10" s="111">
        <f>(('Data '!E123/'Data '!E122)-1)</f>
        <v>-1.0487905077209314E-2</v>
      </c>
      <c r="F10" s="111"/>
      <c r="G10" s="111">
        <f>(('Data '!E123/'Data '!E113)-1)</f>
        <v>-9.9075907590759127E-2</v>
      </c>
      <c r="I10" s="110" t="s">
        <v>130</v>
      </c>
      <c r="J10" s="114"/>
      <c r="K10" s="114"/>
      <c r="L10" s="114"/>
    </row>
    <row r="11" spans="3:12" ht="20.100000000000001" customHeight="1">
      <c r="C11" s="111">
        <f>'Data '!M25/100</f>
        <v>6.2075812192241564E-3</v>
      </c>
      <c r="E11" s="115" t="s">
        <v>135</v>
      </c>
      <c r="F11" s="115"/>
      <c r="G11" s="115" t="s">
        <v>156</v>
      </c>
      <c r="I11" s="116">
        <f>'Data '!M43/100</f>
        <v>7.2462865697862089E-3</v>
      </c>
      <c r="J11" s="116">
        <f>'Data '!M60/100</f>
        <v>-1.0362438490912562E-2</v>
      </c>
      <c r="K11" s="116">
        <f>'Data '!M68/100</f>
        <v>2.4350388391884303E-2</v>
      </c>
      <c r="L11" s="116">
        <f>'Data '!M80/100</f>
        <v>1.6881861391064623E-2</v>
      </c>
    </row>
    <row r="12" spans="3:12" ht="20.100000000000001" customHeight="1">
      <c r="C12" s="111">
        <f>'Data '!L109/100</f>
        <v>5.1448535463900491E-3</v>
      </c>
      <c r="E12" s="115" t="s">
        <v>154</v>
      </c>
      <c r="F12" s="115"/>
      <c r="G12" s="147" t="str">
        <f>'Data '!D113</f>
        <v>17 December 2007 (8:53 pm)</v>
      </c>
      <c r="I12" s="152" t="s">
        <v>118</v>
      </c>
      <c r="J12" s="152" t="s">
        <v>119</v>
      </c>
      <c r="K12" s="152" t="s">
        <v>53</v>
      </c>
      <c r="L12" s="152" t="s">
        <v>15</v>
      </c>
    </row>
    <row r="13" spans="3:12" ht="20.100000000000001" customHeight="1">
      <c r="C13" s="112" t="s">
        <v>134</v>
      </c>
      <c r="E13" s="115" t="str">
        <f>CONCATENATE(TEXT('Data '!E122,"0.000")&amp;" MW")</f>
        <v>41.381 MW</v>
      </c>
      <c r="F13" s="115"/>
      <c r="G13" s="115" t="str">
        <f>CONCATENATE(TEXT('Data '!E113,"0.000")&amp;" MW")</f>
        <v>45.450 MW</v>
      </c>
      <c r="I13" s="97"/>
      <c r="J13" s="93"/>
      <c r="K13" s="93"/>
      <c r="L13" s="93"/>
    </row>
    <row r="15" spans="3:12">
      <c r="C15" s="24"/>
      <c r="E15" s="24"/>
      <c r="F15" s="24"/>
      <c r="I15" s="24"/>
    </row>
    <row r="18" spans="3:3">
      <c r="C18" s="145"/>
    </row>
    <row r="19" spans="3:3">
      <c r="C19" s="145"/>
    </row>
  </sheetData>
  <mergeCells count="2">
    <mergeCell ref="E6:G6"/>
    <mergeCell ref="I6:L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T28"/>
  <sheetViews>
    <sheetView showGridLines="0" showRowColHeaders="0" zoomScaleNormal="100" workbookViewId="0">
      <selection activeCell="Q28" sqref="Q28"/>
    </sheetView>
  </sheetViews>
  <sheetFormatPr baseColWidth="10" defaultRowHeight="12.75"/>
  <cols>
    <col min="1" max="1" width="0.140625" customWidth="1"/>
    <col min="2" max="2" width="2.7109375" customWidth="1"/>
    <col min="3" max="16" width="12.7109375" customWidth="1"/>
  </cols>
  <sheetData>
    <row r="1" spans="3:16" ht="21" customHeight="1">
      <c r="P1" s="31" t="s">
        <v>91</v>
      </c>
    </row>
    <row r="2" spans="3:16" ht="15" customHeight="1">
      <c r="P2" s="32" t="s">
        <v>92</v>
      </c>
    </row>
    <row r="3" spans="3:16" ht="21" customHeight="1">
      <c r="P3" s="108" t="s">
        <v>124</v>
      </c>
    </row>
    <row r="4" spans="3:16" ht="15" customHeight="1">
      <c r="M4" s="43"/>
    </row>
    <row r="5" spans="3:16" ht="15" customHeight="1">
      <c r="M5" s="43"/>
    </row>
    <row r="6" spans="3:16" ht="21">
      <c r="C6" s="110" t="s">
        <v>143</v>
      </c>
      <c r="D6" s="101"/>
      <c r="E6" s="102"/>
      <c r="F6" s="102"/>
      <c r="G6" s="93"/>
      <c r="H6" s="93"/>
      <c r="I6" s="100" t="str">
        <f>CONCATENATE(TEXT('Data '!L21/1000,"0,0")&amp;" TWh")</f>
        <v>247,9 TWh</v>
      </c>
      <c r="J6" s="102"/>
      <c r="K6" s="102"/>
      <c r="L6" s="102"/>
      <c r="M6" s="102"/>
      <c r="N6" s="91"/>
      <c r="O6" s="110" t="s">
        <v>128</v>
      </c>
      <c r="P6" s="101"/>
    </row>
    <row r="7" spans="3:16" ht="15" customHeight="1">
      <c r="C7" s="101"/>
      <c r="D7" s="101"/>
      <c r="E7" s="103"/>
      <c r="F7" s="103"/>
      <c r="G7" s="103"/>
      <c r="H7" s="103"/>
      <c r="I7" s="101"/>
      <c r="J7" s="101"/>
      <c r="K7" s="101"/>
      <c r="L7" s="101"/>
      <c r="M7" s="101"/>
      <c r="N7" s="90"/>
      <c r="O7" s="110" t="s">
        <v>129</v>
      </c>
      <c r="P7" s="101"/>
    </row>
    <row r="8" spans="3:16" ht="30" customHeight="1">
      <c r="C8" s="118" t="s">
        <v>93</v>
      </c>
      <c r="D8" s="118" t="s">
        <v>98</v>
      </c>
      <c r="E8" s="125" t="s">
        <v>99</v>
      </c>
      <c r="F8" s="125" t="s">
        <v>100</v>
      </c>
      <c r="G8" s="125" t="s">
        <v>125</v>
      </c>
      <c r="H8" s="118"/>
      <c r="I8" s="118" t="s">
        <v>3</v>
      </c>
      <c r="J8" s="118" t="s">
        <v>95</v>
      </c>
      <c r="K8" s="125" t="s">
        <v>126</v>
      </c>
      <c r="L8" s="118" t="s">
        <v>102</v>
      </c>
      <c r="M8" s="125" t="s">
        <v>127</v>
      </c>
      <c r="N8" s="90"/>
      <c r="O8" s="101"/>
      <c r="P8" s="101"/>
    </row>
    <row r="9" spans="3:16" ht="15" customHeight="1">
      <c r="C9" s="101"/>
      <c r="D9" s="101"/>
      <c r="E9" s="102"/>
      <c r="F9" s="102"/>
      <c r="G9" s="102"/>
      <c r="H9" s="102"/>
      <c r="I9" s="101"/>
      <c r="J9" s="101"/>
      <c r="K9" s="101"/>
      <c r="L9" s="101"/>
      <c r="M9" s="101"/>
      <c r="N9" s="90"/>
      <c r="O9" s="122"/>
      <c r="P9" s="93"/>
    </row>
    <row r="10" spans="3:16" ht="21">
      <c r="C10" s="104">
        <f>'Data '!L146/100</f>
        <v>0.13699999999999998</v>
      </c>
      <c r="D10" s="104">
        <f>'Data '!L152/100</f>
        <v>0.19800000000000001</v>
      </c>
      <c r="E10" s="104">
        <f>'Data '!L153/100</f>
        <v>0.03</v>
      </c>
      <c r="F10" s="104">
        <f>'Data '!L154/100</f>
        <v>1.8000000000000002E-2</v>
      </c>
      <c r="G10" s="104">
        <f>SUM('Data '!L155,'Data '!L158)/100</f>
        <v>1.7000000000000001E-2</v>
      </c>
      <c r="H10" s="104"/>
      <c r="I10" s="104">
        <f>'Data '!L148/100</f>
        <v>0.214</v>
      </c>
      <c r="J10" s="104">
        <f>'Data '!L149/100</f>
        <v>0.14499999999999999</v>
      </c>
      <c r="K10" s="104">
        <f>'Data '!L151/100</f>
        <v>0.10800000000000001</v>
      </c>
      <c r="L10" s="104">
        <f>'Data '!L156/100</f>
        <v>0.11599999999999994</v>
      </c>
      <c r="M10" s="104">
        <f>SUM('Data '!L147,'Data '!L157)/100</f>
        <v>1.7000000000000001E-2</v>
      </c>
      <c r="N10" s="90"/>
      <c r="O10" s="94" t="str">
        <f>CONCATENATE(TEXT('Data '!L185,"0.000")&amp;" MW")</f>
        <v>98.651 MW</v>
      </c>
      <c r="P10" s="93"/>
    </row>
    <row r="11" spans="3:16" ht="21">
      <c r="C11" s="96"/>
      <c r="D11" s="96"/>
      <c r="E11" s="101"/>
      <c r="F11" s="101"/>
      <c r="G11" s="105"/>
      <c r="H11" s="105"/>
      <c r="I11" s="105"/>
      <c r="J11" s="101"/>
      <c r="K11" s="96"/>
      <c r="L11" s="96"/>
      <c r="M11" s="96"/>
      <c r="N11" s="89"/>
      <c r="O11" s="124"/>
      <c r="P11" s="93"/>
    </row>
    <row r="12" spans="3:16" ht="18.75">
      <c r="C12" s="96"/>
      <c r="D12" s="96"/>
      <c r="E12" s="101"/>
      <c r="F12" s="101"/>
      <c r="G12" s="105"/>
      <c r="H12" s="105"/>
      <c r="I12" s="105"/>
      <c r="J12" s="101"/>
      <c r="K12" s="96"/>
      <c r="L12" s="105"/>
      <c r="M12" s="106"/>
      <c r="N12" s="92"/>
      <c r="O12" s="123"/>
      <c r="P12" s="93"/>
    </row>
    <row r="13" spans="3:16" ht="21">
      <c r="C13" s="110" t="s">
        <v>144</v>
      </c>
      <c r="D13" s="110"/>
      <c r="E13" s="119"/>
      <c r="F13" s="119"/>
      <c r="G13" s="120"/>
      <c r="H13" s="120"/>
      <c r="I13" s="100" t="str">
        <f>CONCATENATE(TEXT('Data '!K21/1000,"0,0")&amp;" TWh")</f>
        <v>248,1 TWh</v>
      </c>
      <c r="J13" s="106"/>
      <c r="K13" s="106"/>
      <c r="L13" s="101"/>
      <c r="M13" s="101"/>
      <c r="N13" s="90"/>
      <c r="O13" s="110" t="s">
        <v>130</v>
      </c>
      <c r="P13" s="93"/>
    </row>
    <row r="14" spans="3:16" ht="15.75">
      <c r="C14" s="121">
        <f>'Data '!K146/100</f>
        <v>7.400000000000001E-2</v>
      </c>
      <c r="D14" s="121">
        <f>'Data '!K152/100</f>
        <v>0.191</v>
      </c>
      <c r="E14" s="121">
        <f>'Data '!K153/100</f>
        <v>3.2000000000000001E-2</v>
      </c>
      <c r="F14" s="121">
        <f>'Data '!K154/100</f>
        <v>2.2000000000000002E-2</v>
      </c>
      <c r="G14" s="121">
        <f>SUM('Data '!K155,'Data '!K158)/100</f>
        <v>1.8000000000000002E-2</v>
      </c>
      <c r="H14" s="121"/>
      <c r="I14" s="121">
        <f>'Data '!K148/100</f>
        <v>0.22399999999999998</v>
      </c>
      <c r="J14" s="121">
        <f>'Data '!K149/100</f>
        <v>0.17100000000000001</v>
      </c>
      <c r="K14" s="121">
        <f>'Data '!K151/100</f>
        <v>0.13600000000000001</v>
      </c>
      <c r="L14" s="121">
        <f>'Data '!K156/100</f>
        <v>0.11299999999999998</v>
      </c>
      <c r="M14" s="121">
        <f>SUM('Data '!K147,'Data '!K157)/100</f>
        <v>1.9E-2</v>
      </c>
      <c r="N14" s="90"/>
      <c r="O14" s="104">
        <f>(('Data '!L185/'Data '!K185)-1)</f>
        <v>-2.216527048271355E-3</v>
      </c>
      <c r="P14" s="93"/>
    </row>
    <row r="15" spans="3:16">
      <c r="C15" s="107"/>
      <c r="D15" s="101"/>
      <c r="E15" s="107"/>
      <c r="F15" s="107"/>
      <c r="G15" s="107"/>
      <c r="H15" s="107"/>
      <c r="I15" s="101"/>
      <c r="J15" s="101"/>
      <c r="K15" s="107"/>
      <c r="L15" s="101"/>
      <c r="M15" s="101"/>
      <c r="N15" s="90"/>
      <c r="O15" s="93"/>
      <c r="P15" s="93"/>
    </row>
    <row r="16" spans="3:16"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90"/>
      <c r="O16" s="93"/>
      <c r="P16" s="93"/>
    </row>
    <row r="17" spans="3:20"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</row>
    <row r="18" spans="3:20"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</row>
    <row r="19" spans="3:20" ht="18" customHeight="1">
      <c r="C19" s="110" t="s">
        <v>139</v>
      </c>
      <c r="D19" s="101"/>
      <c r="F19" s="110" t="s">
        <v>141</v>
      </c>
      <c r="G19" s="101"/>
      <c r="I19" s="153" t="s">
        <v>138</v>
      </c>
      <c r="J19" s="101"/>
      <c r="L19" s="153" t="s">
        <v>136</v>
      </c>
      <c r="M19" s="101"/>
      <c r="N19" s="90"/>
      <c r="O19" s="133" t="s">
        <v>150</v>
      </c>
      <c r="P19" s="101"/>
      <c r="T19" s="110"/>
    </row>
    <row r="20" spans="3:20" ht="18" customHeight="1">
      <c r="C20" s="110" t="s">
        <v>129</v>
      </c>
      <c r="D20" s="101"/>
      <c r="F20" s="110" t="s">
        <v>129</v>
      </c>
      <c r="G20" s="101"/>
      <c r="I20" s="153" t="s">
        <v>140</v>
      </c>
      <c r="J20" s="101"/>
      <c r="L20" s="153" t="s">
        <v>145</v>
      </c>
      <c r="M20" s="101"/>
      <c r="N20" s="90"/>
      <c r="O20" s="133" t="s">
        <v>151</v>
      </c>
      <c r="P20" s="101"/>
    </row>
    <row r="21" spans="3:20" ht="15">
      <c r="C21" s="101"/>
      <c r="D21" s="101"/>
      <c r="F21" s="101"/>
      <c r="G21" s="101"/>
      <c r="I21" s="126" t="s">
        <v>131</v>
      </c>
      <c r="J21" s="101"/>
      <c r="L21" s="101"/>
      <c r="M21" s="101"/>
      <c r="N21" s="90"/>
      <c r="O21" s="101"/>
      <c r="P21" s="101"/>
    </row>
    <row r="22" spans="3:20" ht="21">
      <c r="C22" s="122" t="str">
        <f>CONCATENATE(TEXT('Data '!L140/1000,"0,0")&amp;" TWh")</f>
        <v>99,1 TWh</v>
      </c>
      <c r="D22" s="93"/>
      <c r="F22" s="122"/>
      <c r="G22" s="93"/>
      <c r="I22" s="131" t="str">
        <f>CONCATENATE(TEXT('Data '!L193/1000,"0,0")&amp;" TWh")</f>
        <v>23,4 TWh</v>
      </c>
      <c r="J22" s="93"/>
      <c r="L22" s="122" t="str">
        <f>CONCATENATE(TEXT(-'Data '!L23/1000,"0,0")&amp;" TWh")</f>
        <v>1,2 TWh</v>
      </c>
      <c r="M22" s="93"/>
      <c r="O22" s="122" t="str">
        <f>CONCATENATE(TEXT('Data '!M213,"0.000")&amp;" km")</f>
        <v>44.243 km</v>
      </c>
      <c r="P22" s="93"/>
    </row>
    <row r="23" spans="3:20" ht="15">
      <c r="C23" s="93"/>
      <c r="D23" s="93"/>
      <c r="F23" s="93"/>
      <c r="G23" s="93"/>
      <c r="I23" s="126" t="s">
        <v>132</v>
      </c>
      <c r="J23" s="93"/>
      <c r="L23" s="93"/>
      <c r="M23" s="93"/>
      <c r="O23" s="139" t="s">
        <v>149</v>
      </c>
      <c r="P23" s="93"/>
    </row>
    <row r="24" spans="3:20" ht="21">
      <c r="C24" s="124" t="str">
        <f>CONCATENATE(TEXT('Data '!L159,"0,0")&amp;" %")</f>
        <v>40,0 %</v>
      </c>
      <c r="D24" s="93"/>
      <c r="F24" s="124" t="str">
        <f>CONCATENATE(TEXT('Data '!L167,"0,0")&amp;" %")</f>
        <v>62,2 %</v>
      </c>
      <c r="G24" s="93"/>
      <c r="I24" s="131" t="str">
        <f>CONCATENATE(TEXT('Data '!L198/1000,"0,0")&amp;" TWh")</f>
        <v>12,8 TWh</v>
      </c>
      <c r="J24" s="93"/>
      <c r="L24" s="124"/>
      <c r="M24" s="93"/>
      <c r="O24" s="132" t="str">
        <f>CONCATENATE(TEXT('Data '!L213,"0.0000")&amp;" km in 2017")</f>
        <v>43.930 km in 2017</v>
      </c>
      <c r="P24" s="93"/>
    </row>
    <row r="25" spans="3:20" ht="21">
      <c r="C25" s="123" t="s">
        <v>142</v>
      </c>
      <c r="D25" s="93"/>
      <c r="F25" s="123" t="s">
        <v>142</v>
      </c>
      <c r="G25" s="93"/>
      <c r="I25" s="123" t="s">
        <v>133</v>
      </c>
      <c r="J25" s="93"/>
      <c r="L25" s="123"/>
      <c r="M25" s="93"/>
      <c r="O25" s="123"/>
      <c r="P25" s="93"/>
    </row>
    <row r="26" spans="3:20" ht="21">
      <c r="C26" s="93"/>
      <c r="D26" s="93"/>
      <c r="F26" s="93"/>
      <c r="G26" s="93"/>
      <c r="I26" s="122" t="str">
        <f>CONCATENATE(TEXT('Data '!L203/1000,"0,0")&amp;" TWh")</f>
        <v>10,6 TWh</v>
      </c>
      <c r="J26" s="93"/>
      <c r="L26" s="110" t="s">
        <v>130</v>
      </c>
      <c r="M26" s="93"/>
      <c r="O26" s="122" t="s">
        <v>84</v>
      </c>
      <c r="P26" s="93"/>
    </row>
    <row r="27" spans="3:20" ht="21">
      <c r="C27" s="122" t="str">
        <f>CONCATENATE(TEXT('Data '!K159,"0,0")&amp;" % in 2017")</f>
        <v>33,7 % in 2017</v>
      </c>
      <c r="D27" s="93"/>
      <c r="F27" s="122" t="str">
        <f>CONCATENATE(TEXT('Data '!K167,"0,0")&amp;" % in 2017")</f>
        <v>57,0 % in 2017</v>
      </c>
      <c r="G27" s="93"/>
      <c r="I27" s="132" t="str">
        <f>CONCATENATE(TEXT('Data '!K203/1000,"0,0")&amp;" TWh in 2017")</f>
        <v>9,2 TWh in 2017</v>
      </c>
      <c r="J27" s="93"/>
      <c r="L27" s="111">
        <f>'Data '!M23/100</f>
        <v>2.6367737499992883E-2</v>
      </c>
      <c r="M27" s="93"/>
      <c r="O27" s="139" t="s">
        <v>148</v>
      </c>
      <c r="P27" s="93"/>
    </row>
    <row r="28" spans="3:20" ht="24" customHeight="1">
      <c r="C28" s="93"/>
      <c r="D28" s="93"/>
      <c r="F28" s="93"/>
      <c r="G28" s="93"/>
      <c r="I28" s="160" t="s">
        <v>146</v>
      </c>
      <c r="J28" s="160"/>
      <c r="L28" s="93"/>
      <c r="M28" s="93"/>
      <c r="O28" s="161" t="s">
        <v>147</v>
      </c>
      <c r="P28" s="161"/>
    </row>
  </sheetData>
  <mergeCells count="2">
    <mergeCell ref="I28:J28"/>
    <mergeCell ref="O28:P2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4"/>
  <sheetViews>
    <sheetView showGridLines="0" showRowColHeaders="0" topLeftCell="A93" workbookViewId="0">
      <selection activeCell="H117" sqref="H117"/>
    </sheetView>
  </sheetViews>
  <sheetFormatPr baseColWidth="10" defaultRowHeight="12.75"/>
  <cols>
    <col min="1" max="1" width="2.7109375" style="44" customWidth="1"/>
    <col min="2" max="2" width="29.85546875" style="44" customWidth="1"/>
    <col min="3" max="16384" width="11.42578125" style="44"/>
  </cols>
  <sheetData>
    <row r="1" spans="2:17" ht="21" customHeight="1">
      <c r="I1" s="31" t="s">
        <v>91</v>
      </c>
    </row>
    <row r="2" spans="2:17" ht="15" customHeight="1">
      <c r="I2" s="43" t="s">
        <v>92</v>
      </c>
    </row>
    <row r="3" spans="2:17" ht="21" customHeight="1">
      <c r="I3" s="108" t="s">
        <v>56</v>
      </c>
    </row>
    <row r="5" spans="2:17">
      <c r="B5" s="45"/>
    </row>
    <row r="6" spans="2:17" s="46" customFormat="1" ht="11.25" customHeight="1">
      <c r="B6" s="45" t="s">
        <v>85</v>
      </c>
      <c r="C6" s="53"/>
      <c r="D6" s="53"/>
      <c r="E6" s="54"/>
      <c r="F6" s="53"/>
      <c r="G6" s="53"/>
      <c r="H6" s="54"/>
      <c r="I6" s="53"/>
      <c r="J6" s="53"/>
      <c r="K6" s="54"/>
      <c r="L6" s="53"/>
      <c r="M6" s="53"/>
      <c r="N6" s="54"/>
      <c r="O6" s="53"/>
      <c r="P6" s="53"/>
      <c r="Q6" s="54"/>
    </row>
    <row r="7" spans="2:17" s="46" customFormat="1" ht="11.25" customHeight="1">
      <c r="B7" s="98"/>
      <c r="C7" s="99">
        <v>2009</v>
      </c>
      <c r="D7" s="99">
        <v>2010</v>
      </c>
      <c r="E7" s="99">
        <v>2011</v>
      </c>
      <c r="F7" s="99">
        <v>2012</v>
      </c>
      <c r="G7" s="99">
        <v>2013</v>
      </c>
      <c r="H7" s="99">
        <v>2014</v>
      </c>
      <c r="I7" s="99">
        <v>2015</v>
      </c>
      <c r="J7" s="99">
        <v>2016</v>
      </c>
      <c r="K7" s="99">
        <v>2017</v>
      </c>
      <c r="L7" s="99">
        <v>2018</v>
      </c>
      <c r="M7" s="99" t="s">
        <v>52</v>
      </c>
      <c r="N7" s="54"/>
      <c r="Q7" s="54"/>
    </row>
    <row r="8" spans="2:17" s="46" customFormat="1" ht="11.25" customHeight="1">
      <c r="B8" s="33" t="s">
        <v>2</v>
      </c>
      <c r="C8" s="27">
        <v>26185.975700000003</v>
      </c>
      <c r="D8" s="27">
        <v>41833.774188100004</v>
      </c>
      <c r="E8" s="27">
        <v>30435.663400210004</v>
      </c>
      <c r="F8" s="27">
        <v>20651.797535297999</v>
      </c>
      <c r="G8" s="27">
        <v>37382.405530939999</v>
      </c>
      <c r="H8" s="27">
        <v>39178.524159204004</v>
      </c>
      <c r="I8" s="27">
        <v>28379.011570850002</v>
      </c>
      <c r="J8" s="27">
        <v>36111.434365772002</v>
      </c>
      <c r="K8" s="27">
        <v>18447.346771659999</v>
      </c>
      <c r="L8" s="27">
        <v>33890.345197887014</v>
      </c>
      <c r="M8" s="26">
        <f>((L8/K8)-1)*100</f>
        <v>83.713927088699506</v>
      </c>
      <c r="N8" s="54"/>
      <c r="Q8" s="54"/>
    </row>
    <row r="9" spans="2:17" s="46" customFormat="1" ht="11.25" customHeight="1">
      <c r="B9" s="33" t="s">
        <v>19</v>
      </c>
      <c r="C9" s="27">
        <v>2655.9322999999999</v>
      </c>
      <c r="D9" s="27">
        <v>3120.4478038999996</v>
      </c>
      <c r="E9" s="27">
        <v>2183.53623079</v>
      </c>
      <c r="F9" s="27">
        <v>3201.889743702</v>
      </c>
      <c r="G9" s="27">
        <v>3289.6771840599995</v>
      </c>
      <c r="H9" s="27">
        <v>3415.9960267959996</v>
      </c>
      <c r="I9" s="27">
        <v>2895.3657881499998</v>
      </c>
      <c r="J9" s="27">
        <v>3134.3289102280005</v>
      </c>
      <c r="K9" s="27">
        <v>2248.9644183400001</v>
      </c>
      <c r="L9" s="27">
        <v>2007.9914774304448</v>
      </c>
      <c r="M9" s="26">
        <f t="shared" ref="M9:M23" si="0">((L9/K9)-1)*100</f>
        <v>-10.714840081259336</v>
      </c>
      <c r="N9" s="54"/>
      <c r="Q9" s="54"/>
    </row>
    <row r="10" spans="2:17" s="46" customFormat="1" ht="11.25" customHeight="1">
      <c r="B10" s="33" t="s">
        <v>3</v>
      </c>
      <c r="C10" s="27">
        <v>50549.445000000007</v>
      </c>
      <c r="D10" s="27">
        <v>59242.321647000004</v>
      </c>
      <c r="E10" s="27">
        <v>55005.874867000006</v>
      </c>
      <c r="F10" s="27">
        <v>58595.438798999996</v>
      </c>
      <c r="G10" s="27">
        <v>54210.788118999997</v>
      </c>
      <c r="H10" s="27">
        <v>54781.281335</v>
      </c>
      <c r="I10" s="27">
        <v>54661.803305000009</v>
      </c>
      <c r="J10" s="27">
        <v>56021.682058999999</v>
      </c>
      <c r="K10" s="27">
        <v>55539.351045999996</v>
      </c>
      <c r="L10" s="27">
        <v>53091.458206476185</v>
      </c>
      <c r="M10" s="26">
        <f t="shared" si="0"/>
        <v>-4.4074926937773595</v>
      </c>
      <c r="N10" s="54"/>
      <c r="Q10" s="54"/>
    </row>
    <row r="11" spans="2:17" s="46" customFormat="1" ht="11.25" customHeight="1">
      <c r="B11" s="33" t="s">
        <v>4</v>
      </c>
      <c r="C11" s="27">
        <v>31622.562000000002</v>
      </c>
      <c r="D11" s="27">
        <v>20599.255834</v>
      </c>
      <c r="E11" s="27">
        <v>40412.479847999995</v>
      </c>
      <c r="F11" s="27">
        <v>51097.323936000001</v>
      </c>
      <c r="G11" s="27">
        <v>37090.897312000001</v>
      </c>
      <c r="H11" s="27">
        <v>41058.278770999998</v>
      </c>
      <c r="I11" s="27">
        <v>50754.794511</v>
      </c>
      <c r="J11" s="27">
        <v>35010.909780000002</v>
      </c>
      <c r="K11" s="27">
        <v>42421.888556000005</v>
      </c>
      <c r="L11" s="27">
        <v>35878.356718632225</v>
      </c>
      <c r="M11" s="26">
        <f t="shared" si="0"/>
        <v>-15.42489516639467</v>
      </c>
      <c r="N11" s="54"/>
      <c r="Q11" s="54"/>
    </row>
    <row r="12" spans="2:17" s="46" customFormat="1" ht="11.25" customHeight="1">
      <c r="B12" s="33" t="s">
        <v>21</v>
      </c>
      <c r="C12" s="27">
        <v>1789.5900000000001</v>
      </c>
      <c r="D12" s="27">
        <v>1566.0229999999999</v>
      </c>
      <c r="E12" s="27">
        <v>-10.012343000000001</v>
      </c>
      <c r="F12" s="27">
        <v>-3.8126409999999997</v>
      </c>
      <c r="G12" s="27">
        <v>-2.012715</v>
      </c>
      <c r="H12" s="27">
        <v>-0.81973099999999999</v>
      </c>
      <c r="I12" s="27">
        <v>1.6618000000000001E-2</v>
      </c>
      <c r="J12" s="27">
        <v>2.3499999999999999E-4</v>
      </c>
      <c r="K12" s="27">
        <v>-9.9999999999999995E-7</v>
      </c>
      <c r="L12" s="27">
        <v>-9.9999999999999995E-7</v>
      </c>
      <c r="M12" s="26" t="s">
        <v>20</v>
      </c>
      <c r="N12" s="54"/>
      <c r="Q12" s="54"/>
    </row>
    <row r="13" spans="2:17" s="46" customFormat="1" ht="11.25" customHeight="1">
      <c r="B13" s="33" t="s">
        <v>22</v>
      </c>
      <c r="C13" s="27">
        <v>76379.284</v>
      </c>
      <c r="D13" s="27">
        <v>62954.940244999991</v>
      </c>
      <c r="E13" s="27">
        <v>49193.213946000011</v>
      </c>
      <c r="F13" s="27">
        <v>37316.789670999999</v>
      </c>
      <c r="G13" s="27">
        <v>24126.557304999998</v>
      </c>
      <c r="H13" s="27">
        <v>21120.508624999999</v>
      </c>
      <c r="I13" s="27">
        <v>25034.545559999999</v>
      </c>
      <c r="J13" s="27">
        <v>25463.066257999999</v>
      </c>
      <c r="K13" s="27">
        <v>33647.980778999998</v>
      </c>
      <c r="L13" s="27">
        <v>26834.634476746742</v>
      </c>
      <c r="M13" s="26">
        <f t="shared" si="0"/>
        <v>-20.24890095784151</v>
      </c>
      <c r="N13" s="54"/>
      <c r="Q13" s="54"/>
    </row>
    <row r="14" spans="2:17" s="46" customFormat="1" ht="11.25" customHeight="1">
      <c r="B14" s="33" t="s">
        <v>6</v>
      </c>
      <c r="C14" s="27">
        <v>37888.576999999997</v>
      </c>
      <c r="D14" s="27">
        <v>43208.396000000001</v>
      </c>
      <c r="E14" s="27">
        <v>42115.787093000006</v>
      </c>
      <c r="F14" s="27">
        <v>48156.257946999998</v>
      </c>
      <c r="G14" s="27">
        <v>54344.500782000003</v>
      </c>
      <c r="H14" s="27">
        <v>50636.662464000008</v>
      </c>
      <c r="I14" s="27">
        <v>47715.882144999996</v>
      </c>
      <c r="J14" s="27">
        <v>47298.163668000001</v>
      </c>
      <c r="K14" s="27">
        <v>47508.105951999998</v>
      </c>
      <c r="L14" s="27">
        <v>49112.092209999995</v>
      </c>
      <c r="M14" s="26">
        <f t="shared" si="0"/>
        <v>3.3762370144172715</v>
      </c>
      <c r="N14" s="54"/>
      <c r="Q14" s="54"/>
    </row>
    <row r="15" spans="2:17" s="46" customFormat="1" ht="11.25" customHeight="1">
      <c r="B15" s="33" t="s">
        <v>7</v>
      </c>
      <c r="C15" s="27">
        <v>5829.0049999999992</v>
      </c>
      <c r="D15" s="27">
        <v>6139.7820000000002</v>
      </c>
      <c r="E15" s="27">
        <v>7105.8708019999995</v>
      </c>
      <c r="F15" s="27">
        <v>7830.0693760000004</v>
      </c>
      <c r="G15" s="27">
        <v>7918.3761040000009</v>
      </c>
      <c r="H15" s="27">
        <v>7802.7909199999995</v>
      </c>
      <c r="I15" s="27">
        <v>7845.3145369999993</v>
      </c>
      <c r="J15" s="27">
        <v>7579.2182119999998</v>
      </c>
      <c r="K15" s="27">
        <v>8000.7121639999996</v>
      </c>
      <c r="L15" s="27">
        <v>7347.3705527380007</v>
      </c>
      <c r="M15" s="26">
        <f t="shared" si="0"/>
        <v>-8.1660431955266954</v>
      </c>
      <c r="N15" s="54"/>
      <c r="Q15" s="54"/>
    </row>
    <row r="16" spans="2:17" s="46" customFormat="1" ht="11.25" customHeight="1">
      <c r="B16" s="33" t="s">
        <v>8</v>
      </c>
      <c r="C16" s="27">
        <v>129.82299999999998</v>
      </c>
      <c r="D16" s="27">
        <v>691.62</v>
      </c>
      <c r="E16" s="27">
        <v>1861.6415489999997</v>
      </c>
      <c r="F16" s="27">
        <v>3447.4936120000002</v>
      </c>
      <c r="G16" s="27">
        <v>4441.5275350000002</v>
      </c>
      <c r="H16" s="27">
        <v>4958.9149259999995</v>
      </c>
      <c r="I16" s="27">
        <v>5085.235514</v>
      </c>
      <c r="J16" s="27">
        <v>5071.2017019999994</v>
      </c>
      <c r="K16" s="27">
        <v>5347.9524650000003</v>
      </c>
      <c r="L16" s="27">
        <v>4471.1815512620014</v>
      </c>
      <c r="M16" s="26">
        <f t="shared" si="0"/>
        <v>-16.394515835286107</v>
      </c>
      <c r="N16" s="54"/>
      <c r="Q16" s="54"/>
    </row>
    <row r="17" spans="2:17" s="46" customFormat="1" ht="11.25" customHeight="1">
      <c r="B17" s="33" t="s">
        <v>23</v>
      </c>
      <c r="C17" s="27">
        <v>3044.2870000000003</v>
      </c>
      <c r="D17" s="27">
        <v>3171.7989999999995</v>
      </c>
      <c r="E17" s="27">
        <v>3705.130529</v>
      </c>
      <c r="F17" s="27">
        <v>3782.4631420000005</v>
      </c>
      <c r="G17" s="27">
        <v>4325.2771579999999</v>
      </c>
      <c r="H17" s="27">
        <v>3805.563474</v>
      </c>
      <c r="I17" s="27">
        <v>3422.5667469999999</v>
      </c>
      <c r="J17" s="27">
        <v>3415.0193380000001</v>
      </c>
      <c r="K17" s="27">
        <v>3599.155882</v>
      </c>
      <c r="L17" s="27">
        <v>3560.9433480000007</v>
      </c>
      <c r="M17" s="26">
        <f t="shared" si="0"/>
        <v>-1.0617082241729747</v>
      </c>
      <c r="N17" s="54"/>
      <c r="Q17" s="54"/>
    </row>
    <row r="18" spans="2:17" s="46" customFormat="1" ht="11.25" customHeight="1">
      <c r="B18" s="33" t="s">
        <v>9</v>
      </c>
      <c r="C18" s="27">
        <v>28465.934000000001</v>
      </c>
      <c r="D18" s="27">
        <v>30789.052000000003</v>
      </c>
      <c r="E18" s="27">
        <v>30555.110683999999</v>
      </c>
      <c r="F18" s="27">
        <v>32417.788433000005</v>
      </c>
      <c r="G18" s="27">
        <v>30809.943766999997</v>
      </c>
      <c r="H18" s="27">
        <v>24128.021298</v>
      </c>
      <c r="I18" s="27">
        <v>25169.328039000004</v>
      </c>
      <c r="J18" s="27">
        <v>25873.942241999997</v>
      </c>
      <c r="K18" s="27">
        <v>28175.562469</v>
      </c>
      <c r="L18" s="27">
        <v>28665.223921000004</v>
      </c>
      <c r="M18" s="26">
        <f t="shared" si="0"/>
        <v>1.7378941504317735</v>
      </c>
      <c r="N18" s="54"/>
      <c r="Q18" s="54"/>
    </row>
    <row r="19" spans="2:17" s="46" customFormat="1" ht="11.25" customHeight="1">
      <c r="B19" s="33" t="s">
        <v>10</v>
      </c>
      <c r="C19" s="27" t="s">
        <v>20</v>
      </c>
      <c r="D19" s="27" t="s">
        <v>20</v>
      </c>
      <c r="E19" s="27">
        <v>1160.5408360000004</v>
      </c>
      <c r="F19" s="27">
        <v>1465.4718790000002</v>
      </c>
      <c r="G19" s="27">
        <v>1500.150535</v>
      </c>
      <c r="H19" s="27">
        <v>1833.3435570000001</v>
      </c>
      <c r="I19" s="27">
        <v>2324.7147409999998</v>
      </c>
      <c r="J19" s="27">
        <v>2471.3086454999998</v>
      </c>
      <c r="K19" s="27">
        <v>2459.1288610000001</v>
      </c>
      <c r="L19" s="27">
        <v>2298.0597214999989</v>
      </c>
      <c r="M19" s="26">
        <f t="shared" si="0"/>
        <v>-6.5498454373189237</v>
      </c>
      <c r="N19" s="54"/>
      <c r="Q19" s="54"/>
    </row>
    <row r="20" spans="2:17" s="46" customFormat="1" ht="11.25" customHeight="1">
      <c r="B20" s="33" t="s">
        <v>11</v>
      </c>
      <c r="C20" s="27" t="s">
        <v>20</v>
      </c>
      <c r="D20" s="27" t="s">
        <v>20</v>
      </c>
      <c r="E20" s="27">
        <v>608.82609999999988</v>
      </c>
      <c r="F20" s="27">
        <v>595.84598200000005</v>
      </c>
      <c r="G20" s="27">
        <v>438.65400899999997</v>
      </c>
      <c r="H20" s="27">
        <v>545.53808600000002</v>
      </c>
      <c r="I20" s="27">
        <v>662.65547500000002</v>
      </c>
      <c r="J20" s="27">
        <v>649.73991049999995</v>
      </c>
      <c r="K20" s="27">
        <v>728.15043299999991</v>
      </c>
      <c r="L20" s="27">
        <v>727.54144450000001</v>
      </c>
      <c r="M20" s="26">
        <f t="shared" si="0"/>
        <v>-8.3634984256053535E-2</v>
      </c>
      <c r="N20" s="54"/>
      <c r="Q20" s="54"/>
    </row>
    <row r="21" spans="2:17" s="46" customFormat="1" ht="11.25" customHeight="1">
      <c r="B21" s="64" t="s">
        <v>12</v>
      </c>
      <c r="C21" s="65">
        <f t="shared" ref="C21:J21" si="1">SUM(C8:C20)</f>
        <v>264540.41499999998</v>
      </c>
      <c r="D21" s="65">
        <f t="shared" si="1"/>
        <v>273317.41171800002</v>
      </c>
      <c r="E21" s="65">
        <f t="shared" si="1"/>
        <v>264333.66354199999</v>
      </c>
      <c r="F21" s="65">
        <f t="shared" si="1"/>
        <v>268554.817415</v>
      </c>
      <c r="G21" s="65">
        <f t="shared" si="1"/>
        <v>259876.74262599999</v>
      </c>
      <c r="H21" s="65">
        <f t="shared" si="1"/>
        <v>253264.60391099998</v>
      </c>
      <c r="I21" s="65">
        <f t="shared" si="1"/>
        <v>253951.23455100003</v>
      </c>
      <c r="J21" s="65">
        <f t="shared" si="1"/>
        <v>248100.01532599999</v>
      </c>
      <c r="K21" s="65">
        <f>SUM(K8:K20)</f>
        <v>248124.29979600001</v>
      </c>
      <c r="L21" s="65">
        <f>SUM(L8:L20)</f>
        <v>247885.19882517261</v>
      </c>
      <c r="M21" s="66">
        <f t="shared" si="0"/>
        <v>-9.6363383604092245E-2</v>
      </c>
      <c r="N21" s="54"/>
      <c r="Q21" s="54"/>
    </row>
    <row r="22" spans="2:17" s="46" customFormat="1" ht="11.25" customHeight="1">
      <c r="B22" s="48" t="s">
        <v>13</v>
      </c>
      <c r="C22" s="27">
        <v>-3794.1889999999999</v>
      </c>
      <c r="D22" s="27">
        <v>-4457.7825769999999</v>
      </c>
      <c r="E22" s="27">
        <v>-3241.4938166299999</v>
      </c>
      <c r="F22" s="27">
        <v>-5059.130999598</v>
      </c>
      <c r="G22" s="27">
        <v>-5955.7760918139993</v>
      </c>
      <c r="H22" s="27">
        <v>-5385.7688595580003</v>
      </c>
      <c r="I22" s="27">
        <v>-4512.2514306059993</v>
      </c>
      <c r="J22" s="27">
        <v>-4827.5850676680011</v>
      </c>
      <c r="K22" s="27">
        <v>-3607.5809876580001</v>
      </c>
      <c r="L22" s="27">
        <v>-3224.5584959492062</v>
      </c>
      <c r="M22" s="26">
        <f t="shared" si="0"/>
        <v>-10.617155734525808</v>
      </c>
      <c r="N22" s="54"/>
      <c r="Q22" s="54"/>
    </row>
    <row r="23" spans="2:17" s="46" customFormat="1" ht="11.25" customHeight="1">
      <c r="B23" s="48" t="s">
        <v>24</v>
      </c>
      <c r="C23" s="27" t="s">
        <v>20</v>
      </c>
      <c r="D23" s="27" t="s">
        <v>20</v>
      </c>
      <c r="E23" s="27">
        <v>-0.66324899999999998</v>
      </c>
      <c r="F23" s="27">
        <v>-575.56301800000006</v>
      </c>
      <c r="G23" s="27">
        <v>-1268.5085999999999</v>
      </c>
      <c r="H23" s="27">
        <v>-1298.258934</v>
      </c>
      <c r="I23" s="27">
        <v>-1335.7925440000001</v>
      </c>
      <c r="J23" s="27">
        <v>-1250.5839679999999</v>
      </c>
      <c r="K23" s="27">
        <v>-1179.306642</v>
      </c>
      <c r="L23" s="27">
        <v>-1210.4022899682541</v>
      </c>
      <c r="M23" s="26">
        <f t="shared" si="0"/>
        <v>2.6367737499992883</v>
      </c>
      <c r="N23" s="54"/>
      <c r="Q23" s="54"/>
    </row>
    <row r="24" spans="2:17" s="46" customFormat="1" ht="11.25" customHeight="1">
      <c r="B24" s="48" t="s">
        <v>25</v>
      </c>
      <c r="C24" s="27">
        <v>-8086.4139999999998</v>
      </c>
      <c r="D24" s="27">
        <v>-8332.6790579999997</v>
      </c>
      <c r="E24" s="27">
        <v>-6090.1263339999996</v>
      </c>
      <c r="F24" s="27">
        <v>-11199.953591</v>
      </c>
      <c r="G24" s="27">
        <v>-6732.1324500000001</v>
      </c>
      <c r="H24" s="27">
        <v>-3406.1240240000002</v>
      </c>
      <c r="I24" s="27">
        <v>-133.16316299999994</v>
      </c>
      <c r="J24" s="27">
        <v>7658.0436910000008</v>
      </c>
      <c r="K24" s="27">
        <v>9168.9935229999992</v>
      </c>
      <c r="L24" s="27">
        <v>10623.621671777773</v>
      </c>
      <c r="M24" s="26">
        <f>((L24/K24)-1)*100</f>
        <v>15.864643650678856</v>
      </c>
      <c r="N24" s="54"/>
      <c r="Q24" s="54"/>
    </row>
    <row r="25" spans="2:17" s="46" customFormat="1" ht="11.25" customHeight="1">
      <c r="B25" s="67" t="s">
        <v>14</v>
      </c>
      <c r="C25" s="68">
        <f t="shared" ref="C25:J25" si="2">SUM(C21:C24)</f>
        <v>252659.81199999998</v>
      </c>
      <c r="D25" s="68">
        <f t="shared" si="2"/>
        <v>260526.95008300003</v>
      </c>
      <c r="E25" s="68">
        <f t="shared" si="2"/>
        <v>255001.38014236998</v>
      </c>
      <c r="F25" s="68">
        <f t="shared" si="2"/>
        <v>251720.169806402</v>
      </c>
      <c r="G25" s="68">
        <f t="shared" si="2"/>
        <v>245920.32548418597</v>
      </c>
      <c r="H25" s="68">
        <f t="shared" si="2"/>
        <v>243174.45209344197</v>
      </c>
      <c r="I25" s="68">
        <f t="shared" si="2"/>
        <v>247970.02741339404</v>
      </c>
      <c r="J25" s="68">
        <f t="shared" si="2"/>
        <v>249679.889981332</v>
      </c>
      <c r="K25" s="68">
        <f>SUM(K21:K24)</f>
        <v>252506.40568934201</v>
      </c>
      <c r="L25" s="68">
        <f>SUM(L21:L24)</f>
        <v>254073.85971103294</v>
      </c>
      <c r="M25" s="69">
        <f>((L25/K25)-1)*100</f>
        <v>0.62075812192241564</v>
      </c>
      <c r="N25" s="54"/>
      <c r="Q25" s="54"/>
    </row>
    <row r="26" spans="2:17" s="46" customFormat="1" ht="11.25" customHeight="1">
      <c r="B26" s="52"/>
      <c r="C26" s="53"/>
      <c r="D26" s="53"/>
      <c r="E26" s="54"/>
      <c r="F26" s="53"/>
      <c r="G26" s="53"/>
      <c r="H26" s="54"/>
      <c r="I26" s="53"/>
      <c r="J26" s="53"/>
      <c r="K26" s="54"/>
      <c r="L26" s="53"/>
      <c r="M26" s="53"/>
      <c r="N26" s="54"/>
      <c r="O26" s="53"/>
      <c r="P26" s="53"/>
      <c r="Q26" s="54"/>
    </row>
    <row r="27" spans="2:17" s="46" customFormat="1" ht="11.25" customHeight="1">
      <c r="B27" s="45" t="s">
        <v>86</v>
      </c>
      <c r="C27" s="53"/>
      <c r="D27" s="53"/>
      <c r="E27" s="54"/>
      <c r="F27" s="53"/>
      <c r="G27" s="53"/>
      <c r="H27" s="54"/>
      <c r="I27" s="53"/>
      <c r="J27" s="53"/>
      <c r="K27" s="54"/>
      <c r="L27" s="53"/>
      <c r="M27" s="53"/>
      <c r="N27" s="54"/>
      <c r="O27" s="53"/>
      <c r="P27" s="53"/>
      <c r="Q27" s="54"/>
    </row>
    <row r="28" spans="2:17" s="46" customFormat="1" ht="11.25" customHeight="1">
      <c r="B28" s="98"/>
      <c r="C28" s="99">
        <v>2009</v>
      </c>
      <c r="D28" s="99">
        <v>2010</v>
      </c>
      <c r="E28" s="99">
        <v>2011</v>
      </c>
      <c r="F28" s="99">
        <v>2012</v>
      </c>
      <c r="G28" s="99">
        <v>2013</v>
      </c>
      <c r="H28" s="99">
        <v>2014</v>
      </c>
      <c r="I28" s="99">
        <v>2015</v>
      </c>
      <c r="J28" s="99">
        <v>2016</v>
      </c>
      <c r="K28" s="99">
        <v>2017</v>
      </c>
      <c r="L28" s="99">
        <v>2018</v>
      </c>
      <c r="M28" s="99" t="s">
        <v>52</v>
      </c>
      <c r="N28" s="54"/>
      <c r="O28" s="144"/>
      <c r="P28" s="53"/>
      <c r="Q28" s="54"/>
    </row>
    <row r="29" spans="2:17" s="46" customFormat="1" ht="11.25" customHeight="1">
      <c r="B29" s="48" t="s">
        <v>4</v>
      </c>
      <c r="C29" s="50">
        <v>3170.4630000000002</v>
      </c>
      <c r="D29" s="50">
        <v>3101.3575659999997</v>
      </c>
      <c r="E29" s="50">
        <v>2764.9845290000007</v>
      </c>
      <c r="F29" s="50">
        <v>2682.5672370000002</v>
      </c>
      <c r="G29" s="50">
        <v>2350.6404040000002</v>
      </c>
      <c r="H29" s="50">
        <v>2187.7777260000003</v>
      </c>
      <c r="I29" s="50">
        <v>1861.6830870000001</v>
      </c>
      <c r="J29" s="50">
        <v>2302.8679710000006</v>
      </c>
      <c r="K29" s="50">
        <v>2597.5318370000005</v>
      </c>
      <c r="L29" s="50">
        <v>2374.9930481135621</v>
      </c>
      <c r="M29" s="49">
        <f t="shared" ref="M29:M34" si="3">((L29/K29)-1)*100</f>
        <v>-8.5673170860326326</v>
      </c>
      <c r="N29" s="54"/>
      <c r="O29" s="53"/>
      <c r="P29" s="53"/>
      <c r="Q29" s="54"/>
    </row>
    <row r="30" spans="2:17" s="46" customFormat="1" ht="11.25" customHeight="1">
      <c r="B30" s="141" t="s">
        <v>27</v>
      </c>
      <c r="C30" s="142">
        <v>971.82500000000005</v>
      </c>
      <c r="D30" s="142">
        <v>1027.620046</v>
      </c>
      <c r="E30" s="142">
        <v>923.46236399999998</v>
      </c>
      <c r="F30" s="142">
        <v>933.28890000000001</v>
      </c>
      <c r="G30" s="142">
        <v>738.66198199999997</v>
      </c>
      <c r="H30" s="142">
        <v>666.78355999999997</v>
      </c>
      <c r="I30" s="142">
        <v>724.983971</v>
      </c>
      <c r="J30" s="142">
        <v>961.26081999999997</v>
      </c>
      <c r="K30" s="142">
        <v>795.98756000000003</v>
      </c>
      <c r="L30" s="142">
        <v>648.63881719777953</v>
      </c>
      <c r="M30" s="143">
        <f t="shared" si="3"/>
        <v>-18.51143789259979</v>
      </c>
      <c r="N30" s="54"/>
      <c r="O30" s="53"/>
      <c r="P30" s="53"/>
      <c r="Q30" s="54"/>
    </row>
    <row r="31" spans="2:17" s="46" customFormat="1" ht="11.25" customHeight="1">
      <c r="B31" s="141" t="s">
        <v>28</v>
      </c>
      <c r="C31" s="142">
        <v>339.36900000000003</v>
      </c>
      <c r="D31" s="142">
        <v>299.41436599999997</v>
      </c>
      <c r="E31" s="142">
        <v>350.60437099999996</v>
      </c>
      <c r="F31" s="142">
        <v>340.44978000000003</v>
      </c>
      <c r="G31" s="142">
        <v>514.33898799999997</v>
      </c>
      <c r="H31" s="142">
        <v>585.38788199999999</v>
      </c>
      <c r="I31" s="142">
        <v>586.5892990000001</v>
      </c>
      <c r="J31" s="142">
        <v>339.75826499999994</v>
      </c>
      <c r="K31" s="142">
        <v>556.52457400000003</v>
      </c>
      <c r="L31" s="142">
        <v>802.28206658156876</v>
      </c>
      <c r="M31" s="143">
        <f t="shared" si="3"/>
        <v>44.159324504791542</v>
      </c>
      <c r="N31" s="54"/>
      <c r="O31" s="53"/>
      <c r="P31" s="53"/>
      <c r="Q31" s="54"/>
    </row>
    <row r="32" spans="2:17" s="46" customFormat="1" ht="11.25" customHeight="1">
      <c r="B32" s="48" t="s">
        <v>30</v>
      </c>
      <c r="C32" s="50">
        <f t="shared" ref="C32:J32" si="4">SUM(C30:C31)</f>
        <v>1311.194</v>
      </c>
      <c r="D32" s="50">
        <f t="shared" si="4"/>
        <v>1327.034412</v>
      </c>
      <c r="E32" s="50">
        <f t="shared" si="4"/>
        <v>1274.0667349999999</v>
      </c>
      <c r="F32" s="50">
        <f t="shared" si="4"/>
        <v>1273.7386799999999</v>
      </c>
      <c r="G32" s="50">
        <f t="shared" si="4"/>
        <v>1253.0009700000001</v>
      </c>
      <c r="H32" s="50">
        <f t="shared" si="4"/>
        <v>1252.1714419999998</v>
      </c>
      <c r="I32" s="50">
        <f t="shared" si="4"/>
        <v>1311.5732700000001</v>
      </c>
      <c r="J32" s="50">
        <f t="shared" si="4"/>
        <v>1301.0190849999999</v>
      </c>
      <c r="K32" s="50">
        <f>SUM(K30:K31)</f>
        <v>1352.5121340000001</v>
      </c>
      <c r="L32" s="50">
        <f>SUM(L30:L31)</f>
        <v>1450.9208837793483</v>
      </c>
      <c r="M32" s="49">
        <f t="shared" si="3"/>
        <v>7.275997553405178</v>
      </c>
      <c r="N32" s="54"/>
      <c r="O32" s="53"/>
      <c r="P32" s="53"/>
      <c r="Q32" s="54"/>
    </row>
    <row r="33" spans="2:17" s="46" customFormat="1" ht="11.25" customHeight="1">
      <c r="B33" s="48" t="s">
        <v>22</v>
      </c>
      <c r="C33" s="50">
        <v>1292.183</v>
      </c>
      <c r="D33" s="50">
        <v>1135.633722</v>
      </c>
      <c r="E33" s="50">
        <v>1323.108338</v>
      </c>
      <c r="F33" s="50">
        <v>885.97971200000006</v>
      </c>
      <c r="G33" s="50">
        <v>407.33072799999997</v>
      </c>
      <c r="H33" s="50">
        <v>419.63312000000002</v>
      </c>
      <c r="I33" s="50">
        <v>804.68698600000005</v>
      </c>
      <c r="J33" s="50">
        <v>535.08209499999998</v>
      </c>
      <c r="K33" s="50">
        <v>420.42935599999998</v>
      </c>
      <c r="L33" s="50">
        <v>597.04101800216063</v>
      </c>
      <c r="M33" s="49">
        <f t="shared" si="3"/>
        <v>42.007452496290632</v>
      </c>
      <c r="N33" s="54"/>
      <c r="O33" s="53"/>
      <c r="P33" s="53"/>
      <c r="Q33" s="54"/>
    </row>
    <row r="34" spans="2:17" s="46" customFormat="1" ht="11.25" customHeight="1">
      <c r="B34" s="48" t="s">
        <v>31</v>
      </c>
      <c r="C34" s="50">
        <v>5.5659999999999998</v>
      </c>
      <c r="D34" s="50">
        <v>6.6943319999999993</v>
      </c>
      <c r="E34" s="50">
        <v>8.721718000000001</v>
      </c>
      <c r="F34" s="50">
        <v>8.8079369999999972</v>
      </c>
      <c r="G34" s="50">
        <v>6.7598550000000017</v>
      </c>
      <c r="H34" s="50">
        <v>7.6940939999999998</v>
      </c>
      <c r="I34" s="50">
        <v>10.57849</v>
      </c>
      <c r="J34" s="50">
        <v>10.092818999999999</v>
      </c>
      <c r="K34" s="50">
        <v>14.746465000000001</v>
      </c>
      <c r="L34" s="50">
        <v>12.813724000000002</v>
      </c>
      <c r="M34" s="49">
        <f t="shared" si="3"/>
        <v>-13.106469923469778</v>
      </c>
      <c r="N34" s="54"/>
      <c r="O34" s="53"/>
      <c r="P34" s="53"/>
      <c r="Q34" s="54"/>
    </row>
    <row r="35" spans="2:17" s="46" customFormat="1" ht="11.25" customHeight="1">
      <c r="B35" s="51" t="s">
        <v>6</v>
      </c>
      <c r="C35" s="50">
        <v>5.5430000000000001</v>
      </c>
      <c r="D35" s="50">
        <v>5.5709999999999997</v>
      </c>
      <c r="E35" s="50">
        <v>5.7859150000000001</v>
      </c>
      <c r="F35" s="50">
        <v>6.5046989999999996</v>
      </c>
      <c r="G35" s="50">
        <v>6.1594680000000004</v>
      </c>
      <c r="H35" s="50">
        <v>5.8395779999999995</v>
      </c>
      <c r="I35" s="50">
        <v>5.3182280000000004</v>
      </c>
      <c r="J35" s="50">
        <v>5.4160579999999996</v>
      </c>
      <c r="K35" s="50">
        <v>2.9242759999999999</v>
      </c>
      <c r="L35" s="50">
        <v>3.6469423218198509</v>
      </c>
      <c r="M35" s="49">
        <f t="shared" ref="M35:M43" si="5">((L35/K35)-1)*100</f>
        <v>24.712657827778607</v>
      </c>
      <c r="N35" s="54"/>
      <c r="O35" s="53"/>
      <c r="P35" s="53"/>
      <c r="Q35" s="54"/>
    </row>
    <row r="36" spans="2:17" s="46" customFormat="1" ht="11.25" customHeight="1">
      <c r="B36" s="51" t="s">
        <v>7</v>
      </c>
      <c r="C36" s="50">
        <v>80.933000000000007</v>
      </c>
      <c r="D36" s="50">
        <v>87.757000000000005</v>
      </c>
      <c r="E36" s="50">
        <v>101.81091599999999</v>
      </c>
      <c r="F36" s="50">
        <v>115.59326899999998</v>
      </c>
      <c r="G36" s="50">
        <v>122.11285199999999</v>
      </c>
      <c r="H36" s="50">
        <v>122.76568900000001</v>
      </c>
      <c r="I36" s="50">
        <v>122.61980299999999</v>
      </c>
      <c r="J36" s="50">
        <v>120.50753</v>
      </c>
      <c r="K36" s="50">
        <v>123.33699499999999</v>
      </c>
      <c r="L36" s="50">
        <v>113.08098047736902</v>
      </c>
      <c r="M36" s="49">
        <f t="shared" si="5"/>
        <v>-8.3154405720935252</v>
      </c>
      <c r="N36" s="54"/>
      <c r="O36" s="53"/>
      <c r="P36" s="53"/>
      <c r="Q36" s="54"/>
    </row>
    <row r="37" spans="2:17" s="46" customFormat="1" ht="11.25" customHeight="1">
      <c r="B37" s="33" t="s">
        <v>23</v>
      </c>
      <c r="C37" s="50">
        <v>0</v>
      </c>
      <c r="D37" s="50">
        <v>0</v>
      </c>
      <c r="E37" s="50">
        <v>8.779300000000001E-2</v>
      </c>
      <c r="F37" s="50">
        <v>0.56982999999999995</v>
      </c>
      <c r="G37" s="50">
        <v>0.50569299999999995</v>
      </c>
      <c r="H37" s="50">
        <v>1.9456589999999998</v>
      </c>
      <c r="I37" s="50">
        <v>1.971549</v>
      </c>
      <c r="J37" s="50">
        <v>1.3097150000000002</v>
      </c>
      <c r="K37" s="50">
        <v>1.6267410000000002</v>
      </c>
      <c r="L37" s="50">
        <v>1.2360489363999947</v>
      </c>
      <c r="M37" s="49">
        <f t="shared" si="5"/>
        <v>-24.016857237876554</v>
      </c>
      <c r="N37" s="54"/>
      <c r="O37" s="53"/>
      <c r="P37" s="53"/>
      <c r="Q37" s="54"/>
    </row>
    <row r="38" spans="2:17" s="46" customFormat="1" ht="11.25" customHeight="1">
      <c r="B38" s="33" t="s">
        <v>9</v>
      </c>
      <c r="C38" s="50">
        <v>127.042</v>
      </c>
      <c r="D38" s="50">
        <v>176.244</v>
      </c>
      <c r="E38" s="50">
        <v>13.333673999999998</v>
      </c>
      <c r="F38" s="50">
        <v>26.496670000000002</v>
      </c>
      <c r="G38" s="50">
        <v>25.720821999999995</v>
      </c>
      <c r="H38" s="50">
        <v>25.222583999999994</v>
      </c>
      <c r="I38" s="50">
        <v>31.549726999999994</v>
      </c>
      <c r="J38" s="50">
        <v>34.701317000000003</v>
      </c>
      <c r="K38" s="50">
        <v>36.244234000000006</v>
      </c>
      <c r="L38" s="50">
        <v>34.073825045402735</v>
      </c>
      <c r="M38" s="49">
        <f t="shared" si="5"/>
        <v>-5.9882875565731908</v>
      </c>
      <c r="N38" s="54"/>
      <c r="O38" s="53"/>
      <c r="P38" s="53"/>
      <c r="Q38" s="54"/>
    </row>
    <row r="39" spans="2:17" s="46" customFormat="1" ht="11.25" customHeight="1">
      <c r="B39" s="33" t="s">
        <v>10</v>
      </c>
      <c r="C39" s="27" t="s">
        <v>20</v>
      </c>
      <c r="D39" s="27" t="s">
        <v>20</v>
      </c>
      <c r="E39" s="50">
        <v>123.7120335</v>
      </c>
      <c r="F39" s="50">
        <v>122.78953600000001</v>
      </c>
      <c r="G39" s="50">
        <v>113.06659500000001</v>
      </c>
      <c r="H39" s="50">
        <v>128.0843295</v>
      </c>
      <c r="I39" s="50">
        <v>151.09772949999999</v>
      </c>
      <c r="J39" s="50">
        <v>130.80506650000001</v>
      </c>
      <c r="K39" s="50">
        <v>143.878668</v>
      </c>
      <c r="L39" s="50">
        <v>130.9019649653365</v>
      </c>
      <c r="M39" s="49">
        <f t="shared" si="5"/>
        <v>-9.0191987561794136</v>
      </c>
      <c r="N39" s="54"/>
      <c r="O39" s="53"/>
      <c r="P39" s="53"/>
      <c r="Q39" s="54"/>
    </row>
    <row r="40" spans="2:17" s="46" customFormat="1" ht="11.25" customHeight="1">
      <c r="B40" s="33" t="s">
        <v>11</v>
      </c>
      <c r="C40" s="27" t="s">
        <v>20</v>
      </c>
      <c r="D40" s="27" t="s">
        <v>20</v>
      </c>
      <c r="E40" s="50">
        <v>123.7120335</v>
      </c>
      <c r="F40" s="50">
        <v>122.78953600000001</v>
      </c>
      <c r="G40" s="50">
        <v>113.06659500000001</v>
      </c>
      <c r="H40" s="50">
        <v>128.0843295</v>
      </c>
      <c r="I40" s="50">
        <v>151.09772949999999</v>
      </c>
      <c r="J40" s="50">
        <v>130.80506650000001</v>
      </c>
      <c r="K40" s="50">
        <v>143.878668</v>
      </c>
      <c r="L40" s="50">
        <v>130.9019649653365</v>
      </c>
      <c r="M40" s="49">
        <f t="shared" si="5"/>
        <v>-9.0191987561794136</v>
      </c>
      <c r="N40" s="54"/>
      <c r="O40" s="53"/>
      <c r="P40" s="53"/>
      <c r="Q40" s="54"/>
    </row>
    <row r="41" spans="2:17" s="46" customFormat="1" ht="11.25" customHeight="1">
      <c r="B41" s="64" t="s">
        <v>12</v>
      </c>
      <c r="C41" s="65">
        <f t="shared" ref="C41:J41" si="6">SUM(C29:C29,C32:C40)</f>
        <v>5992.924</v>
      </c>
      <c r="D41" s="65">
        <f t="shared" si="6"/>
        <v>5840.2920319999994</v>
      </c>
      <c r="E41" s="65">
        <f t="shared" si="6"/>
        <v>5739.3236850000012</v>
      </c>
      <c r="F41" s="65">
        <f t="shared" si="6"/>
        <v>5245.8371060000009</v>
      </c>
      <c r="G41" s="65">
        <f t="shared" si="6"/>
        <v>4398.3639820000008</v>
      </c>
      <c r="H41" s="65">
        <f t="shared" si="6"/>
        <v>4279.2185510000008</v>
      </c>
      <c r="I41" s="65">
        <f t="shared" si="6"/>
        <v>4452.1765990000004</v>
      </c>
      <c r="J41" s="65">
        <f t="shared" si="6"/>
        <v>4572.6067230000008</v>
      </c>
      <c r="K41" s="65">
        <f>SUM(K29:K29,K32:K40)</f>
        <v>4837.1093740000006</v>
      </c>
      <c r="L41" s="65">
        <f>SUM(L29:L29,L32:L40)</f>
        <v>4849.6104006067344</v>
      </c>
      <c r="M41" s="66">
        <f t="shared" si="5"/>
        <v>0.25844002357953144</v>
      </c>
      <c r="N41" s="54"/>
      <c r="O41" s="53"/>
      <c r="P41" s="53"/>
      <c r="Q41" s="54"/>
    </row>
    <row r="42" spans="2:17" s="46" customFormat="1" ht="11.25" customHeight="1">
      <c r="B42" s="86" t="s">
        <v>24</v>
      </c>
      <c r="C42" s="87" t="s">
        <v>20</v>
      </c>
      <c r="D42" s="87" t="s">
        <v>20</v>
      </c>
      <c r="E42" s="87">
        <v>0.66324899999999998</v>
      </c>
      <c r="F42" s="87">
        <v>575.56301800000006</v>
      </c>
      <c r="G42" s="87">
        <v>1268.5085999999999</v>
      </c>
      <c r="H42" s="87">
        <v>1298.258934</v>
      </c>
      <c r="I42" s="87">
        <v>1335.7925439999999</v>
      </c>
      <c r="J42" s="87">
        <v>1250.5839679999999</v>
      </c>
      <c r="K42" s="87">
        <v>1179.306642</v>
      </c>
      <c r="L42" s="87">
        <v>1210.4022899682543</v>
      </c>
      <c r="M42" s="88">
        <f t="shared" si="5"/>
        <v>2.6367737499993105</v>
      </c>
      <c r="N42" s="54"/>
      <c r="O42" s="53"/>
      <c r="P42" s="53"/>
      <c r="Q42" s="54"/>
    </row>
    <row r="43" spans="2:17" s="46" customFormat="1" ht="11.25" customHeight="1">
      <c r="B43" s="67" t="s">
        <v>14</v>
      </c>
      <c r="C43" s="68">
        <f t="shared" ref="C43:J43" si="7">SUM(C41:C42)</f>
        <v>5992.924</v>
      </c>
      <c r="D43" s="68">
        <f t="shared" si="7"/>
        <v>5840.2920319999994</v>
      </c>
      <c r="E43" s="68">
        <f t="shared" si="7"/>
        <v>5739.9869340000014</v>
      </c>
      <c r="F43" s="68">
        <f t="shared" si="7"/>
        <v>5821.4001240000007</v>
      </c>
      <c r="G43" s="68">
        <f t="shared" si="7"/>
        <v>5666.8725820000009</v>
      </c>
      <c r="H43" s="68">
        <f t="shared" si="7"/>
        <v>5577.4774850000013</v>
      </c>
      <c r="I43" s="68">
        <f t="shared" si="7"/>
        <v>5787.9691430000003</v>
      </c>
      <c r="J43" s="68">
        <f t="shared" si="7"/>
        <v>5823.1906910000007</v>
      </c>
      <c r="K43" s="68">
        <f>SUM(K41:K42)</f>
        <v>6016.416016000001</v>
      </c>
      <c r="L43" s="68">
        <f>SUM(L41:L42)</f>
        <v>6060.0126905749885</v>
      </c>
      <c r="M43" s="69">
        <f t="shared" si="5"/>
        <v>0.72462865697862089</v>
      </c>
      <c r="N43" s="54"/>
      <c r="O43" s="53"/>
      <c r="P43" s="53"/>
      <c r="Q43" s="54"/>
    </row>
    <row r="44" spans="2:17" s="46" customFormat="1" ht="11.25" customHeight="1">
      <c r="B44" s="52"/>
      <c r="C44" s="53"/>
      <c r="D44" s="53"/>
      <c r="E44" s="54"/>
      <c r="F44" s="53"/>
      <c r="G44" s="53"/>
      <c r="H44" s="54"/>
      <c r="I44" s="53"/>
      <c r="J44" s="53"/>
      <c r="K44" s="54"/>
      <c r="L44" s="53"/>
      <c r="M44" s="53"/>
      <c r="N44" s="54"/>
      <c r="O44" s="53"/>
      <c r="P44" s="53"/>
      <c r="Q44" s="54"/>
    </row>
    <row r="45" spans="2:17" s="46" customFormat="1" ht="11.25" customHeight="1">
      <c r="B45" s="45" t="s">
        <v>87</v>
      </c>
      <c r="C45" s="53"/>
      <c r="D45" s="53"/>
      <c r="E45" s="54"/>
      <c r="F45" s="53"/>
      <c r="G45" s="53"/>
      <c r="H45" s="54"/>
      <c r="I45" s="53"/>
      <c r="J45" s="53"/>
      <c r="K45" s="54"/>
      <c r="L45" s="53"/>
      <c r="M45" s="53"/>
      <c r="N45" s="54"/>
      <c r="O45" s="53"/>
      <c r="P45" s="53"/>
      <c r="Q45" s="54"/>
    </row>
    <row r="46" spans="2:17" s="46" customFormat="1" ht="11.25" customHeight="1">
      <c r="B46" s="98"/>
      <c r="C46" s="99">
        <v>2009</v>
      </c>
      <c r="D46" s="99">
        <v>2010</v>
      </c>
      <c r="E46" s="99">
        <v>2011</v>
      </c>
      <c r="F46" s="99">
        <v>2012</v>
      </c>
      <c r="G46" s="99">
        <v>2013</v>
      </c>
      <c r="H46" s="99">
        <v>2014</v>
      </c>
      <c r="I46" s="99">
        <v>2015</v>
      </c>
      <c r="J46" s="99">
        <v>2016</v>
      </c>
      <c r="K46" s="99">
        <v>2017</v>
      </c>
      <c r="L46" s="99">
        <v>2018</v>
      </c>
      <c r="M46" s="99" t="s">
        <v>52</v>
      </c>
      <c r="N46" s="54"/>
      <c r="O46" s="144"/>
      <c r="P46" s="53"/>
      <c r="Q46" s="54"/>
    </row>
    <row r="47" spans="2:17" s="46" customFormat="1" ht="11.25" customHeight="1">
      <c r="B47" s="48" t="s">
        <v>2</v>
      </c>
      <c r="C47" s="50">
        <v>0.39800000000000002</v>
      </c>
      <c r="D47" s="50">
        <v>0</v>
      </c>
      <c r="E47" s="50">
        <v>1.6547710000000002</v>
      </c>
      <c r="F47" s="50">
        <v>1.7690990000000002</v>
      </c>
      <c r="G47" s="50">
        <v>3.0312830000000002</v>
      </c>
      <c r="H47" s="50">
        <v>3.4610559999999997</v>
      </c>
      <c r="I47" s="50">
        <v>3.5683929999999999</v>
      </c>
      <c r="J47" s="50">
        <v>3.4539609999999992</v>
      </c>
      <c r="K47" s="50">
        <v>3.2719790000000004</v>
      </c>
      <c r="L47" s="50">
        <v>3.2514243205654183</v>
      </c>
      <c r="M47" s="49">
        <f t="shared" ref="M47:M52" si="8">((L47/K47)-1)*100</f>
        <v>-0.62820328109018941</v>
      </c>
      <c r="N47" s="54"/>
      <c r="O47" s="53"/>
      <c r="P47" s="53"/>
      <c r="Q47" s="54"/>
    </row>
    <row r="48" spans="2:17" s="46" customFormat="1" ht="11.25" customHeight="1">
      <c r="B48" s="141" t="s">
        <v>27</v>
      </c>
      <c r="C48" s="142">
        <v>2140.6990000000001</v>
      </c>
      <c r="D48" s="142">
        <v>2183.387772</v>
      </c>
      <c r="E48" s="142">
        <v>2161.3083939999992</v>
      </c>
      <c r="F48" s="142">
        <v>2108.4429610000002</v>
      </c>
      <c r="G48" s="142">
        <v>2066.5691229999998</v>
      </c>
      <c r="H48" s="142">
        <v>2138.1984350000002</v>
      </c>
      <c r="I48" s="142">
        <v>2202.3375219999998</v>
      </c>
      <c r="J48" s="142">
        <v>2222.3015430000005</v>
      </c>
      <c r="K48" s="142">
        <v>2242.3242279999999</v>
      </c>
      <c r="L48" s="142">
        <v>2121.9060434937228</v>
      </c>
      <c r="M48" s="143">
        <f t="shared" si="8"/>
        <v>-5.3702396380777557</v>
      </c>
      <c r="N48" s="54"/>
      <c r="O48" s="53"/>
      <c r="P48" s="53"/>
      <c r="Q48" s="54"/>
    </row>
    <row r="49" spans="2:17" s="46" customFormat="1" ht="11.25" customHeight="1">
      <c r="B49" s="141" t="s">
        <v>28</v>
      </c>
      <c r="C49" s="142">
        <v>342.172054</v>
      </c>
      <c r="D49" s="142">
        <v>343.281657</v>
      </c>
      <c r="E49" s="142">
        <v>528.79792800000007</v>
      </c>
      <c r="F49" s="142">
        <v>598.67031000000009</v>
      </c>
      <c r="G49" s="142">
        <v>368.83079299999997</v>
      </c>
      <c r="H49" s="142">
        <v>360.74429499999997</v>
      </c>
      <c r="I49" s="142">
        <v>327.805271</v>
      </c>
      <c r="J49" s="142">
        <v>275.90062399999999</v>
      </c>
      <c r="K49" s="142">
        <v>314.34570599999995</v>
      </c>
      <c r="L49" s="142">
        <v>289.66438160502543</v>
      </c>
      <c r="M49" s="143">
        <f t="shared" si="8"/>
        <v>-7.8516499267766493</v>
      </c>
      <c r="N49" s="54"/>
      <c r="O49" s="53"/>
      <c r="P49" s="53"/>
      <c r="Q49" s="54"/>
    </row>
    <row r="50" spans="2:17" s="46" customFormat="1" ht="11.25" customHeight="1">
      <c r="B50" s="141" t="s">
        <v>29</v>
      </c>
      <c r="C50" s="142">
        <v>3243.6280000000002</v>
      </c>
      <c r="D50" s="142">
        <v>2972.5871049999996</v>
      </c>
      <c r="E50" s="142">
        <v>2634.2951170000006</v>
      </c>
      <c r="F50" s="142">
        <v>2681.6959269999998</v>
      </c>
      <c r="G50" s="142">
        <v>2463.7969990000001</v>
      </c>
      <c r="H50" s="142">
        <v>2070.771428</v>
      </c>
      <c r="I50" s="142">
        <v>2222.9505670000003</v>
      </c>
      <c r="J50" s="142">
        <v>2536.1430030000001</v>
      </c>
      <c r="K50" s="142">
        <v>2674.3938499999999</v>
      </c>
      <c r="L50" s="142">
        <v>2453.2867647585826</v>
      </c>
      <c r="M50" s="143">
        <f t="shared" si="8"/>
        <v>-8.2675588429661282</v>
      </c>
      <c r="N50" s="54"/>
      <c r="O50" s="53"/>
      <c r="P50" s="53"/>
      <c r="Q50" s="54"/>
    </row>
    <row r="51" spans="2:17" s="46" customFormat="1" ht="11.25" customHeight="1">
      <c r="B51" s="48" t="s">
        <v>30</v>
      </c>
      <c r="C51" s="50">
        <f t="shared" ref="C51:J51" si="9">SUM(C48:C50)</f>
        <v>5726.4990539999999</v>
      </c>
      <c r="D51" s="50">
        <f t="shared" si="9"/>
        <v>5499.2565340000001</v>
      </c>
      <c r="E51" s="50">
        <f t="shared" si="9"/>
        <v>5324.4014389999993</v>
      </c>
      <c r="F51" s="50">
        <f t="shared" si="9"/>
        <v>5388.8091979999999</v>
      </c>
      <c r="G51" s="50">
        <f t="shared" si="9"/>
        <v>4899.1969150000004</v>
      </c>
      <c r="H51" s="50">
        <f t="shared" si="9"/>
        <v>4569.7141580000007</v>
      </c>
      <c r="I51" s="50">
        <f t="shared" si="9"/>
        <v>4753.0933600000008</v>
      </c>
      <c r="J51" s="50">
        <f t="shared" si="9"/>
        <v>5034.3451700000005</v>
      </c>
      <c r="K51" s="50">
        <f>SUM(K48:K50)</f>
        <v>5231.0637839999999</v>
      </c>
      <c r="L51" s="50">
        <f>SUM(L48:L50)</f>
        <v>4864.8571898573309</v>
      </c>
      <c r="M51" s="49">
        <f t="shared" si="8"/>
        <v>-7.000614201317279</v>
      </c>
      <c r="N51" s="54"/>
      <c r="O51" s="53"/>
      <c r="P51" s="53"/>
      <c r="Q51" s="54"/>
    </row>
    <row r="52" spans="2:17" s="46" customFormat="1" ht="11.25" customHeight="1">
      <c r="B52" s="48" t="s">
        <v>22</v>
      </c>
      <c r="C52" s="50">
        <v>2552.328</v>
      </c>
      <c r="D52" s="50">
        <v>2708.4101850000002</v>
      </c>
      <c r="E52" s="50">
        <v>2914.6264579999997</v>
      </c>
      <c r="F52" s="50">
        <v>2870.3244979999995</v>
      </c>
      <c r="G52" s="50">
        <v>2946.1503710000002</v>
      </c>
      <c r="H52" s="50">
        <v>3240.591696</v>
      </c>
      <c r="I52" s="50">
        <v>3188.0567890000002</v>
      </c>
      <c r="J52" s="50">
        <v>3008.3337410000004</v>
      </c>
      <c r="K52" s="50">
        <v>2997.3769480000005</v>
      </c>
      <c r="L52" s="50">
        <v>3030.3783758141599</v>
      </c>
      <c r="M52" s="49">
        <f t="shared" si="8"/>
        <v>1.101010262862645</v>
      </c>
      <c r="N52" s="54"/>
      <c r="O52" s="53"/>
      <c r="P52" s="53"/>
      <c r="Q52" s="54"/>
    </row>
    <row r="53" spans="2:17" s="46" customFormat="1" ht="11.25" customHeight="1">
      <c r="B53" s="48" t="s">
        <v>31</v>
      </c>
      <c r="C53" s="50">
        <v>33.787999999999997</v>
      </c>
      <c r="D53" s="50">
        <v>0</v>
      </c>
      <c r="E53" s="50">
        <v>0</v>
      </c>
      <c r="F53" s="50">
        <v>0</v>
      </c>
      <c r="G53" s="50">
        <v>0</v>
      </c>
      <c r="H53" s="50">
        <v>0</v>
      </c>
      <c r="I53" s="50">
        <v>0</v>
      </c>
      <c r="J53" s="50">
        <v>0</v>
      </c>
      <c r="K53" s="50" t="s">
        <v>20</v>
      </c>
      <c r="L53" s="50" t="s">
        <v>20</v>
      </c>
      <c r="M53" s="49" t="s">
        <v>20</v>
      </c>
      <c r="N53" s="54"/>
      <c r="O53" s="53"/>
      <c r="P53" s="53"/>
      <c r="Q53" s="54"/>
    </row>
    <row r="54" spans="2:17" s="46" customFormat="1" ht="11.25" customHeight="1">
      <c r="B54" s="48" t="s">
        <v>5</v>
      </c>
      <c r="C54" s="50" t="s">
        <v>20</v>
      </c>
      <c r="D54" s="50" t="s">
        <v>20</v>
      </c>
      <c r="E54" s="50" t="s">
        <v>20</v>
      </c>
      <c r="F54" s="50" t="s">
        <v>20</v>
      </c>
      <c r="G54" s="50" t="s">
        <v>20</v>
      </c>
      <c r="H54" s="50">
        <v>0.72883699999999996</v>
      </c>
      <c r="I54" s="50">
        <v>8.2074240000000014</v>
      </c>
      <c r="J54" s="50">
        <v>17.891935999999998</v>
      </c>
      <c r="K54" s="50">
        <v>20.233057000000002</v>
      </c>
      <c r="L54" s="50">
        <v>24.820859657224158</v>
      </c>
      <c r="M54" s="49">
        <f>((L54/K54)-1)*100</f>
        <v>22.674787389884553</v>
      </c>
      <c r="N54" s="54"/>
      <c r="O54" s="53"/>
      <c r="P54" s="53"/>
      <c r="Q54" s="54"/>
    </row>
    <row r="55" spans="2:17" s="46" customFormat="1" ht="11.25" customHeight="1">
      <c r="B55" s="51" t="s">
        <v>6</v>
      </c>
      <c r="C55" s="50">
        <v>358.70699999999999</v>
      </c>
      <c r="D55" s="50">
        <v>331.363</v>
      </c>
      <c r="E55" s="50">
        <v>355.67776100000003</v>
      </c>
      <c r="F55" s="50">
        <v>361.76732500000008</v>
      </c>
      <c r="G55" s="50">
        <v>362.73348499999997</v>
      </c>
      <c r="H55" s="50">
        <v>389.52880599999997</v>
      </c>
      <c r="I55" s="50">
        <v>396.68714299999999</v>
      </c>
      <c r="J55" s="50">
        <v>393.08058299999999</v>
      </c>
      <c r="K55" s="50">
        <v>395.92533299999991</v>
      </c>
      <c r="L55" s="50">
        <v>630.33778104653322</v>
      </c>
      <c r="M55" s="49">
        <f>((L55/K55)-1)*100</f>
        <v>59.206226151367126</v>
      </c>
      <c r="N55" s="54"/>
      <c r="O55" s="53"/>
      <c r="P55" s="53"/>
      <c r="Q55" s="54"/>
    </row>
    <row r="56" spans="2:17" s="46" customFormat="1" ht="11.25" customHeight="1">
      <c r="B56" s="51" t="s">
        <v>7</v>
      </c>
      <c r="C56" s="50">
        <v>162.33000000000001</v>
      </c>
      <c r="D56" s="50">
        <v>195.166</v>
      </c>
      <c r="E56" s="50">
        <v>232.99919000000006</v>
      </c>
      <c r="F56" s="50">
        <v>256.51338600000003</v>
      </c>
      <c r="G56" s="50">
        <v>286.70331700000003</v>
      </c>
      <c r="H56" s="50">
        <v>282.28568899999993</v>
      </c>
      <c r="I56" s="50">
        <v>275.546605</v>
      </c>
      <c r="J56" s="50">
        <v>277.66134299999999</v>
      </c>
      <c r="K56" s="50">
        <v>273.626665</v>
      </c>
      <c r="L56" s="50">
        <v>276.10490371048814</v>
      </c>
      <c r="M56" s="49">
        <f>((L56/K56)-1)*100</f>
        <v>0.90570073296334375</v>
      </c>
      <c r="N56" s="54"/>
      <c r="O56" s="53"/>
      <c r="P56" s="53"/>
      <c r="Q56" s="54"/>
    </row>
    <row r="57" spans="2:17" s="46" customFormat="1" ht="11.25" customHeight="1">
      <c r="B57" s="33" t="s">
        <v>23</v>
      </c>
      <c r="C57" s="50">
        <v>273.05500000000001</v>
      </c>
      <c r="D57" s="50">
        <v>160.56100000000001</v>
      </c>
      <c r="E57" s="50">
        <v>8.8159460000000021</v>
      </c>
      <c r="F57" s="50">
        <v>8.0504470000000001</v>
      </c>
      <c r="G57" s="50">
        <v>8.5025880000000011</v>
      </c>
      <c r="H57" s="50">
        <v>8.8065839999999991</v>
      </c>
      <c r="I57" s="50">
        <v>8.0536250000000003</v>
      </c>
      <c r="J57" s="50">
        <v>9.3357749999999999</v>
      </c>
      <c r="K57" s="50">
        <v>9.5652589999999993</v>
      </c>
      <c r="L57" s="50">
        <v>8.7648993386727216</v>
      </c>
      <c r="M57" s="49">
        <f>((L57/K57)-1)*100</f>
        <v>-8.3673600613143666</v>
      </c>
      <c r="N57" s="54"/>
      <c r="O57" s="53"/>
      <c r="P57" s="53"/>
      <c r="Q57" s="54"/>
    </row>
    <row r="58" spans="2:17" s="46" customFormat="1" ht="11.25" customHeight="1">
      <c r="B58" s="33" t="s">
        <v>9</v>
      </c>
      <c r="C58" s="50">
        <v>0.02</v>
      </c>
      <c r="D58" s="50">
        <v>0</v>
      </c>
      <c r="E58" s="50">
        <v>24.807366000000002</v>
      </c>
      <c r="F58" s="50">
        <v>0</v>
      </c>
      <c r="G58" s="50">
        <v>0</v>
      </c>
      <c r="H58" s="50">
        <v>0</v>
      </c>
      <c r="I58" s="50">
        <v>0</v>
      </c>
      <c r="J58" s="50">
        <v>0</v>
      </c>
      <c r="K58" s="50" t="s">
        <v>20</v>
      </c>
      <c r="L58" s="50" t="s">
        <v>20</v>
      </c>
      <c r="M58" s="49" t="s">
        <v>20</v>
      </c>
      <c r="N58" s="54"/>
      <c r="O58" s="53"/>
      <c r="P58" s="53"/>
      <c r="Q58" s="54"/>
    </row>
    <row r="59" spans="2:17" s="46" customFormat="1" ht="11.25" customHeight="1">
      <c r="B59" s="64" t="s">
        <v>12</v>
      </c>
      <c r="C59" s="65">
        <f t="shared" ref="C59:J59" si="10">SUM(C47:C47,C51:C58)</f>
        <v>9107.1250540000019</v>
      </c>
      <c r="D59" s="65">
        <f t="shared" si="10"/>
        <v>8894.7567189999991</v>
      </c>
      <c r="E59" s="65">
        <f t="shared" si="10"/>
        <v>8862.9829310000023</v>
      </c>
      <c r="F59" s="65">
        <f t="shared" si="10"/>
        <v>8887.2339530000008</v>
      </c>
      <c r="G59" s="65">
        <f t="shared" si="10"/>
        <v>8506.317959</v>
      </c>
      <c r="H59" s="65">
        <f t="shared" si="10"/>
        <v>8495.1168259999995</v>
      </c>
      <c r="I59" s="65">
        <f t="shared" si="10"/>
        <v>8633.2133389999999</v>
      </c>
      <c r="J59" s="65">
        <f t="shared" si="10"/>
        <v>8744.1025090000003</v>
      </c>
      <c r="K59" s="65">
        <f>SUM(K47:K47,K51:K58)</f>
        <v>8931.0630249999995</v>
      </c>
      <c r="L59" s="65">
        <f>SUM(L47:L47,L51:L58)</f>
        <v>8838.5154337449731</v>
      </c>
      <c r="M59" s="66">
        <f>((L59/K59)-1)*100</f>
        <v>-1.0362438490912562</v>
      </c>
      <c r="N59" s="54"/>
      <c r="O59" s="53"/>
      <c r="P59" s="53"/>
      <c r="Q59" s="54"/>
    </row>
    <row r="60" spans="2:17" s="46" customFormat="1" ht="11.25" customHeight="1">
      <c r="B60" s="67" t="s">
        <v>14</v>
      </c>
      <c r="C60" s="68">
        <f>C59</f>
        <v>9107.1250540000019</v>
      </c>
      <c r="D60" s="68">
        <f t="shared" ref="D60:L60" si="11">D59</f>
        <v>8894.7567189999991</v>
      </c>
      <c r="E60" s="68">
        <f t="shared" si="11"/>
        <v>8862.9829310000023</v>
      </c>
      <c r="F60" s="68">
        <f t="shared" si="11"/>
        <v>8887.2339530000008</v>
      </c>
      <c r="G60" s="68">
        <f t="shared" si="11"/>
        <v>8506.317959</v>
      </c>
      <c r="H60" s="68">
        <f t="shared" si="11"/>
        <v>8495.1168259999995</v>
      </c>
      <c r="I60" s="68">
        <f t="shared" si="11"/>
        <v>8633.2133389999999</v>
      </c>
      <c r="J60" s="68">
        <f t="shared" si="11"/>
        <v>8744.1025090000003</v>
      </c>
      <c r="K60" s="68">
        <f t="shared" si="11"/>
        <v>8931.0630249999995</v>
      </c>
      <c r="L60" s="68">
        <f t="shared" si="11"/>
        <v>8838.5154337449731</v>
      </c>
      <c r="M60" s="69">
        <f>((L60/K60)-1)*100</f>
        <v>-1.0362438490912562</v>
      </c>
      <c r="N60" s="54"/>
      <c r="O60" s="53"/>
      <c r="P60" s="53"/>
      <c r="Q60" s="54"/>
    </row>
    <row r="61" spans="2:17" s="46" customFormat="1" ht="11.25" customHeight="1">
      <c r="B61" s="52"/>
      <c r="C61" s="53"/>
      <c r="D61" s="53"/>
      <c r="E61" s="54"/>
      <c r="F61" s="53"/>
      <c r="G61" s="53"/>
      <c r="H61" s="54"/>
      <c r="I61" s="53"/>
      <c r="J61" s="53"/>
      <c r="K61" s="54"/>
      <c r="L61" s="53"/>
      <c r="M61" s="53"/>
      <c r="N61" s="54"/>
      <c r="O61" s="53"/>
      <c r="P61" s="53"/>
      <c r="Q61" s="54"/>
    </row>
    <row r="62" spans="2:17" s="46" customFormat="1" ht="11.25" customHeight="1">
      <c r="B62" s="45" t="s">
        <v>88</v>
      </c>
      <c r="C62" s="53"/>
      <c r="D62" s="53"/>
      <c r="E62" s="54"/>
      <c r="F62" s="53"/>
      <c r="G62" s="53"/>
      <c r="H62" s="54"/>
      <c r="I62" s="53"/>
      <c r="J62" s="53"/>
      <c r="K62" s="54"/>
      <c r="L62" s="53"/>
      <c r="M62" s="53"/>
      <c r="N62" s="54"/>
      <c r="O62" s="53"/>
      <c r="P62" s="53"/>
      <c r="Q62" s="54"/>
    </row>
    <row r="63" spans="2:17" s="46" customFormat="1" ht="11.25" customHeight="1">
      <c r="B63" s="98"/>
      <c r="C63" s="99">
        <v>2009</v>
      </c>
      <c r="D63" s="99">
        <v>2010</v>
      </c>
      <c r="E63" s="99">
        <v>2011</v>
      </c>
      <c r="F63" s="99">
        <v>2012</v>
      </c>
      <c r="G63" s="99">
        <v>2013</v>
      </c>
      <c r="H63" s="99">
        <v>2014</v>
      </c>
      <c r="I63" s="99">
        <v>2015</v>
      </c>
      <c r="J63" s="99">
        <v>2016</v>
      </c>
      <c r="K63" s="99">
        <v>2017</v>
      </c>
      <c r="L63" s="99">
        <v>2018</v>
      </c>
      <c r="M63" s="99" t="s">
        <v>52</v>
      </c>
      <c r="N63" s="54"/>
      <c r="O63" s="144"/>
      <c r="P63" s="53"/>
      <c r="Q63" s="54"/>
    </row>
    <row r="64" spans="2:17" s="46" customFormat="1" ht="11.25" customHeight="1">
      <c r="B64" s="141" t="s">
        <v>27</v>
      </c>
      <c r="C64" s="142">
        <v>208.316</v>
      </c>
      <c r="D64" s="142">
        <v>214.66624400000001</v>
      </c>
      <c r="E64" s="142">
        <v>202.666877</v>
      </c>
      <c r="F64" s="142">
        <v>211.51078899999999</v>
      </c>
      <c r="G64" s="142">
        <v>201.70539200000002</v>
      </c>
      <c r="H64" s="142">
        <v>212.15262499999997</v>
      </c>
      <c r="I64" s="142">
        <v>203.25730900000002</v>
      </c>
      <c r="J64" s="142">
        <v>210.55799200000004</v>
      </c>
      <c r="K64" s="142">
        <v>202.64833499999997</v>
      </c>
      <c r="L64" s="142">
        <v>207.68115099999997</v>
      </c>
      <c r="M64" s="143">
        <f>((L64/K64)-1)*100</f>
        <v>2.4835220087053855</v>
      </c>
      <c r="N64" s="54"/>
      <c r="O64" s="53"/>
      <c r="P64" s="53"/>
      <c r="Q64" s="54"/>
    </row>
    <row r="65" spans="2:17" s="46" customFormat="1" ht="11.25" customHeight="1">
      <c r="B65" s="141" t="s">
        <v>28</v>
      </c>
      <c r="C65" s="142">
        <v>3.2530000000000001</v>
      </c>
      <c r="D65" s="142">
        <v>2.8688669999999998</v>
      </c>
      <c r="E65" s="142">
        <v>0.30601600000000001</v>
      </c>
      <c r="F65" s="142">
        <v>0.56112200000000001</v>
      </c>
      <c r="G65" s="142">
        <v>0.25954299999999997</v>
      </c>
      <c r="H65" s="142">
        <v>9.2532000000000003E-2</v>
      </c>
      <c r="I65" s="142">
        <v>0.76578100000000004</v>
      </c>
      <c r="J65" s="142">
        <v>0.122944</v>
      </c>
      <c r="K65" s="142">
        <v>0.21249499999999999</v>
      </c>
      <c r="L65" s="142">
        <v>0.119419</v>
      </c>
      <c r="M65" s="143">
        <f>((L65/K65)-1)*100</f>
        <v>-43.801501211793216</v>
      </c>
      <c r="N65" s="54"/>
      <c r="O65" s="53"/>
      <c r="P65" s="53"/>
      <c r="Q65" s="54"/>
    </row>
    <row r="66" spans="2:17" s="46" customFormat="1" ht="11.25" customHeight="1">
      <c r="B66" s="48" t="s">
        <v>30</v>
      </c>
      <c r="C66" s="50">
        <f t="shared" ref="C66:J66" si="12">SUM(C64:C65)</f>
        <v>211.56900000000002</v>
      </c>
      <c r="D66" s="50">
        <f t="shared" si="12"/>
        <v>217.535111</v>
      </c>
      <c r="E66" s="50">
        <f t="shared" si="12"/>
        <v>202.972893</v>
      </c>
      <c r="F66" s="50">
        <f t="shared" si="12"/>
        <v>212.071911</v>
      </c>
      <c r="G66" s="50">
        <f t="shared" si="12"/>
        <v>201.96493500000003</v>
      </c>
      <c r="H66" s="50">
        <f t="shared" si="12"/>
        <v>212.24515699999998</v>
      </c>
      <c r="I66" s="50">
        <f t="shared" si="12"/>
        <v>204.02309000000002</v>
      </c>
      <c r="J66" s="50">
        <f t="shared" si="12"/>
        <v>210.68093600000003</v>
      </c>
      <c r="K66" s="50">
        <f>SUM(K64:K65)</f>
        <v>202.86082999999996</v>
      </c>
      <c r="L66" s="50">
        <f>SUM(L64:L65)</f>
        <v>207.80056999999996</v>
      </c>
      <c r="M66" s="49">
        <f>((L66/K66)-1)*100</f>
        <v>2.4350388391884303</v>
      </c>
      <c r="N66" s="54"/>
      <c r="O66" s="53"/>
      <c r="P66" s="53"/>
      <c r="Q66" s="54"/>
    </row>
    <row r="67" spans="2:17" s="46" customFormat="1" ht="11.25" customHeight="1">
      <c r="B67" s="64" t="s">
        <v>12</v>
      </c>
      <c r="C67" s="65">
        <f t="shared" ref="C67:J68" si="13">C66</f>
        <v>211.56900000000002</v>
      </c>
      <c r="D67" s="65">
        <f t="shared" si="13"/>
        <v>217.535111</v>
      </c>
      <c r="E67" s="65">
        <f t="shared" si="13"/>
        <v>202.972893</v>
      </c>
      <c r="F67" s="65">
        <f t="shared" si="13"/>
        <v>212.071911</v>
      </c>
      <c r="G67" s="65">
        <f t="shared" si="13"/>
        <v>201.96493500000003</v>
      </c>
      <c r="H67" s="65">
        <f t="shared" si="13"/>
        <v>212.24515699999998</v>
      </c>
      <c r="I67" s="65">
        <f t="shared" si="13"/>
        <v>204.02309000000002</v>
      </c>
      <c r="J67" s="65">
        <f t="shared" si="13"/>
        <v>210.68093600000003</v>
      </c>
      <c r="K67" s="65">
        <f>K66</f>
        <v>202.86082999999996</v>
      </c>
      <c r="L67" s="65">
        <f t="shared" ref="L67:L68" si="14">L66</f>
        <v>207.80056999999996</v>
      </c>
      <c r="M67" s="66">
        <f>M66</f>
        <v>2.4350388391884303</v>
      </c>
      <c r="N67" s="54"/>
      <c r="O67" s="53"/>
      <c r="P67" s="53"/>
      <c r="Q67" s="54"/>
    </row>
    <row r="68" spans="2:17" s="46" customFormat="1" ht="11.25" customHeight="1">
      <c r="B68" s="67" t="s">
        <v>14</v>
      </c>
      <c r="C68" s="68">
        <f>C67</f>
        <v>211.56900000000002</v>
      </c>
      <c r="D68" s="68">
        <f t="shared" si="13"/>
        <v>217.535111</v>
      </c>
      <c r="E68" s="68">
        <f t="shared" si="13"/>
        <v>202.972893</v>
      </c>
      <c r="F68" s="68">
        <f t="shared" si="13"/>
        <v>212.071911</v>
      </c>
      <c r="G68" s="68">
        <f t="shared" si="13"/>
        <v>201.96493500000003</v>
      </c>
      <c r="H68" s="68">
        <f t="shared" si="13"/>
        <v>212.24515699999998</v>
      </c>
      <c r="I68" s="68">
        <f t="shared" si="13"/>
        <v>204.02309000000002</v>
      </c>
      <c r="J68" s="68">
        <f t="shared" si="13"/>
        <v>210.68093600000003</v>
      </c>
      <c r="K68" s="68">
        <f t="shared" ref="K68" si="15">K67</f>
        <v>202.86082999999996</v>
      </c>
      <c r="L68" s="68">
        <f t="shared" si="14"/>
        <v>207.80056999999996</v>
      </c>
      <c r="M68" s="69">
        <f>((L68/K68)-1)*100</f>
        <v>2.4350388391884303</v>
      </c>
      <c r="N68" s="54"/>
      <c r="O68" s="53"/>
      <c r="P68" s="53"/>
      <c r="Q68" s="54"/>
    </row>
    <row r="69" spans="2:17" s="46" customFormat="1" ht="11.25" customHeight="1">
      <c r="B69" s="52"/>
      <c r="C69" s="53"/>
      <c r="D69" s="53"/>
      <c r="E69" s="54"/>
      <c r="F69" s="53"/>
      <c r="G69" s="53"/>
      <c r="H69" s="54"/>
      <c r="I69" s="53"/>
      <c r="J69" s="53"/>
      <c r="K69" s="54"/>
      <c r="L69" s="53"/>
      <c r="M69" s="53"/>
      <c r="N69" s="54"/>
      <c r="O69" s="53"/>
      <c r="P69" s="53"/>
      <c r="Q69" s="54"/>
    </row>
    <row r="70" spans="2:17" s="46" customFormat="1" ht="11.25" customHeight="1">
      <c r="B70" s="45" t="s">
        <v>89</v>
      </c>
      <c r="C70" s="53"/>
      <c r="D70" s="53"/>
      <c r="E70" s="54"/>
      <c r="F70" s="53"/>
      <c r="G70" s="53"/>
      <c r="H70" s="54"/>
      <c r="I70" s="53"/>
      <c r="J70" s="53"/>
      <c r="K70" s="54"/>
      <c r="L70" s="53"/>
      <c r="M70" s="53"/>
      <c r="N70" s="54"/>
      <c r="O70" s="53"/>
      <c r="P70" s="53"/>
      <c r="Q70" s="54"/>
    </row>
    <row r="71" spans="2:17" s="46" customFormat="1" ht="11.25" customHeight="1">
      <c r="B71" s="98"/>
      <c r="C71" s="99">
        <v>2009</v>
      </c>
      <c r="D71" s="99">
        <v>2010</v>
      </c>
      <c r="E71" s="99">
        <v>2011</v>
      </c>
      <c r="F71" s="99">
        <v>2012</v>
      </c>
      <c r="G71" s="99">
        <v>2013</v>
      </c>
      <c r="H71" s="99">
        <v>2014</v>
      </c>
      <c r="I71" s="99">
        <v>2015</v>
      </c>
      <c r="J71" s="99">
        <v>2016</v>
      </c>
      <c r="K71" s="99">
        <v>2017</v>
      </c>
      <c r="L71" s="99">
        <v>2018</v>
      </c>
      <c r="M71" s="99" t="s">
        <v>52</v>
      </c>
      <c r="N71" s="54"/>
      <c r="O71" s="53"/>
      <c r="P71" s="53"/>
      <c r="Q71" s="54"/>
    </row>
    <row r="72" spans="2:17" s="46" customFormat="1" ht="11.25" customHeight="1">
      <c r="B72" s="141" t="s">
        <v>27</v>
      </c>
      <c r="C72" s="142">
        <v>197.553</v>
      </c>
      <c r="D72" s="142">
        <v>204.71797099999995</v>
      </c>
      <c r="E72" s="142">
        <v>207.23852499999995</v>
      </c>
      <c r="F72" s="142">
        <v>214.80020499999995</v>
      </c>
      <c r="G72" s="142">
        <v>201.45699900000002</v>
      </c>
      <c r="H72" s="142">
        <v>200.05045799999999</v>
      </c>
      <c r="I72" s="142">
        <v>203.91710199999997</v>
      </c>
      <c r="J72" s="142">
        <v>198.25031599999997</v>
      </c>
      <c r="K72" s="142">
        <v>200.31696400000004</v>
      </c>
      <c r="L72" s="142">
        <v>203.32454199999998</v>
      </c>
      <c r="M72" s="143">
        <f t="shared" ref="M72:M77" si="16">((L72/K72)-1)*100</f>
        <v>1.501409536138909</v>
      </c>
      <c r="N72" s="54"/>
      <c r="O72" s="144"/>
      <c r="P72" s="53"/>
      <c r="Q72" s="54"/>
    </row>
    <row r="73" spans="2:17" s="46" customFormat="1" ht="11.25" customHeight="1">
      <c r="B73" s="141" t="s">
        <v>28</v>
      </c>
      <c r="C73" s="142">
        <v>0.54500000000000004</v>
      </c>
      <c r="D73" s="142">
        <v>0.49845600000000001</v>
      </c>
      <c r="E73" s="142">
        <v>0.53390800000000005</v>
      </c>
      <c r="F73" s="142">
        <v>0.14022000000000001</v>
      </c>
      <c r="G73" s="142">
        <v>9.3681E-2</v>
      </c>
      <c r="H73" s="142">
        <v>0.76630999999999994</v>
      </c>
      <c r="I73" s="142">
        <v>0.61149799999999999</v>
      </c>
      <c r="J73" s="142">
        <v>0.255469</v>
      </c>
      <c r="K73" s="142">
        <v>7.7272999999999994E-2</v>
      </c>
      <c r="L73" s="142">
        <v>6.6958000000000004E-2</v>
      </c>
      <c r="M73" s="143">
        <f t="shared" si="16"/>
        <v>-13.348776416083229</v>
      </c>
      <c r="N73" s="54"/>
      <c r="O73" s="53"/>
      <c r="P73" s="53"/>
      <c r="Q73" s="54"/>
    </row>
    <row r="74" spans="2:17" s="46" customFormat="1" ht="11.25" customHeight="1">
      <c r="B74" s="48" t="s">
        <v>30</v>
      </c>
      <c r="C74" s="50">
        <f t="shared" ref="C74:J74" si="17">SUM(C72:C73)</f>
        <v>198.09799999999998</v>
      </c>
      <c r="D74" s="50">
        <f t="shared" si="17"/>
        <v>205.21642699999995</v>
      </c>
      <c r="E74" s="50">
        <f t="shared" si="17"/>
        <v>207.77243299999995</v>
      </c>
      <c r="F74" s="50">
        <f t="shared" si="17"/>
        <v>214.94042499999995</v>
      </c>
      <c r="G74" s="50">
        <f t="shared" si="17"/>
        <v>201.55068000000003</v>
      </c>
      <c r="H74" s="50">
        <f t="shared" si="17"/>
        <v>200.816768</v>
      </c>
      <c r="I74" s="50">
        <f t="shared" si="17"/>
        <v>204.52859999999998</v>
      </c>
      <c r="J74" s="50">
        <f t="shared" si="17"/>
        <v>198.50578499999997</v>
      </c>
      <c r="K74" s="50">
        <f>SUM(K72:K73)</f>
        <v>200.39423700000003</v>
      </c>
      <c r="L74" s="50">
        <f>SUM(L72:L73)</f>
        <v>203.39149999999998</v>
      </c>
      <c r="M74" s="49">
        <f t="shared" si="16"/>
        <v>1.4956832316489921</v>
      </c>
      <c r="N74" s="54"/>
      <c r="O74" s="53"/>
      <c r="P74" s="53"/>
      <c r="Q74" s="54"/>
    </row>
    <row r="75" spans="2:17" s="46" customFormat="1" ht="11.25" customHeight="1">
      <c r="B75" s="51" t="s">
        <v>7</v>
      </c>
      <c r="C75" s="50">
        <v>0.122</v>
      </c>
      <c r="D75" s="50">
        <v>6.7000000000000004E-2</v>
      </c>
      <c r="E75" s="50">
        <v>7.1472000000000008E-2</v>
      </c>
      <c r="F75" s="50">
        <v>8.3113999999999993E-2</v>
      </c>
      <c r="G75" s="50">
        <v>8.2322999999999993E-2</v>
      </c>
      <c r="H75" s="50">
        <v>8.3833000000000005E-2</v>
      </c>
      <c r="I75" s="50">
        <v>7.9959999999999989E-2</v>
      </c>
      <c r="J75" s="50">
        <v>8.0099999999999977E-2</v>
      </c>
      <c r="K75" s="50">
        <v>7.6868999999999979E-2</v>
      </c>
      <c r="L75" s="50">
        <v>6.5796000000000007E-2</v>
      </c>
      <c r="M75" s="49">
        <f t="shared" si="16"/>
        <v>-14.405026733793825</v>
      </c>
      <c r="N75" s="54"/>
      <c r="O75" s="53"/>
      <c r="P75" s="53"/>
      <c r="Q75" s="54"/>
    </row>
    <row r="76" spans="2:17" s="46" customFormat="1" ht="11.25" customHeight="1">
      <c r="B76" s="33" t="s">
        <v>10</v>
      </c>
      <c r="C76" s="50" t="s">
        <v>20</v>
      </c>
      <c r="D76" s="50" t="s">
        <v>20</v>
      </c>
      <c r="E76" s="50">
        <v>3.5176105000000004</v>
      </c>
      <c r="F76" s="50">
        <v>1.154479</v>
      </c>
      <c r="G76" s="50">
        <v>4.0188984999999997</v>
      </c>
      <c r="H76" s="50">
        <v>4.4491570000000005</v>
      </c>
      <c r="I76" s="50">
        <v>4.2964980000000006</v>
      </c>
      <c r="J76" s="50">
        <v>4.8500525000000012</v>
      </c>
      <c r="K76" s="50">
        <v>4.976986000000001</v>
      </c>
      <c r="L76" s="50">
        <v>5.2600745000000009</v>
      </c>
      <c r="M76" s="49">
        <f t="shared" si="16"/>
        <v>5.6879504985547502</v>
      </c>
      <c r="N76" s="54"/>
      <c r="O76" s="53"/>
      <c r="P76" s="53"/>
      <c r="Q76" s="54"/>
    </row>
    <row r="77" spans="2:17" s="46" customFormat="1" ht="11.25" customHeight="1">
      <c r="B77" s="33" t="s">
        <v>11</v>
      </c>
      <c r="C77" s="50" t="s">
        <v>20</v>
      </c>
      <c r="D77" s="50" t="s">
        <v>20</v>
      </c>
      <c r="E77" s="50">
        <v>3.5176105000000004</v>
      </c>
      <c r="F77" s="50">
        <v>1.154479</v>
      </c>
      <c r="G77" s="50">
        <v>4.0188984999999997</v>
      </c>
      <c r="H77" s="50">
        <v>4.4491570000000005</v>
      </c>
      <c r="I77" s="50">
        <v>4.2964980000000006</v>
      </c>
      <c r="J77" s="50">
        <v>4.8500525000000012</v>
      </c>
      <c r="K77" s="50">
        <v>4.976986000000001</v>
      </c>
      <c r="L77" s="50">
        <v>5.2600745000000009</v>
      </c>
      <c r="M77" s="49">
        <f t="shared" si="16"/>
        <v>5.6879504985547502</v>
      </c>
      <c r="N77" s="54"/>
      <c r="O77" s="53"/>
      <c r="P77" s="53"/>
      <c r="Q77" s="54"/>
    </row>
    <row r="78" spans="2:17" s="46" customFormat="1" ht="11.25" customHeight="1">
      <c r="B78" s="33" t="s">
        <v>9</v>
      </c>
      <c r="C78" s="50">
        <v>7.7350000000000003</v>
      </c>
      <c r="D78" s="50">
        <v>8.0280000000000005</v>
      </c>
      <c r="E78" s="50">
        <v>0</v>
      </c>
      <c r="F78" s="50">
        <v>0</v>
      </c>
      <c r="G78" s="50">
        <v>0</v>
      </c>
      <c r="H78" s="50">
        <v>0</v>
      </c>
      <c r="I78" s="50" t="s">
        <v>20</v>
      </c>
      <c r="J78" s="50" t="s">
        <v>20</v>
      </c>
      <c r="K78" s="50" t="s">
        <v>20</v>
      </c>
      <c r="L78" s="50" t="s">
        <v>20</v>
      </c>
      <c r="M78" s="50" t="s">
        <v>20</v>
      </c>
      <c r="N78" s="54"/>
      <c r="O78" s="53"/>
      <c r="P78" s="53"/>
      <c r="Q78" s="54"/>
    </row>
    <row r="79" spans="2:17" s="46" customFormat="1" ht="11.25" customHeight="1">
      <c r="B79" s="64" t="s">
        <v>12</v>
      </c>
      <c r="C79" s="65">
        <f>SUM(C74:C78)</f>
        <v>205.95500000000001</v>
      </c>
      <c r="D79" s="65">
        <f t="shared" ref="D79:L79" si="18">SUM(D74:D78)</f>
        <v>213.31142699999995</v>
      </c>
      <c r="E79" s="65">
        <f t="shared" si="18"/>
        <v>214.87912599999993</v>
      </c>
      <c r="F79" s="65">
        <f t="shared" si="18"/>
        <v>217.33249699999996</v>
      </c>
      <c r="G79" s="65">
        <f t="shared" si="18"/>
        <v>209.67080000000004</v>
      </c>
      <c r="H79" s="65">
        <f t="shared" si="18"/>
        <v>209.79891500000002</v>
      </c>
      <c r="I79" s="65">
        <f t="shared" si="18"/>
        <v>213.20155600000001</v>
      </c>
      <c r="J79" s="65">
        <f t="shared" si="18"/>
        <v>208.28598999999997</v>
      </c>
      <c r="K79" s="65">
        <f t="shared" si="18"/>
        <v>210.42507800000004</v>
      </c>
      <c r="L79" s="65">
        <f t="shared" si="18"/>
        <v>213.97744499999999</v>
      </c>
      <c r="M79" s="66">
        <f>((L79/K79)-1)*100</f>
        <v>1.6881861391064623</v>
      </c>
      <c r="N79" s="54"/>
      <c r="O79" s="53"/>
      <c r="P79" s="53"/>
      <c r="Q79" s="54"/>
    </row>
    <row r="80" spans="2:17" s="46" customFormat="1" ht="11.25" customHeight="1">
      <c r="B80" s="67" t="s">
        <v>14</v>
      </c>
      <c r="C80" s="68">
        <f t="shared" ref="C80:J80" si="19">C79</f>
        <v>205.95500000000001</v>
      </c>
      <c r="D80" s="68">
        <f t="shared" si="19"/>
        <v>213.31142699999995</v>
      </c>
      <c r="E80" s="68">
        <f t="shared" si="19"/>
        <v>214.87912599999993</v>
      </c>
      <c r="F80" s="68">
        <f t="shared" si="19"/>
        <v>217.33249699999996</v>
      </c>
      <c r="G80" s="68">
        <f t="shared" si="19"/>
        <v>209.67080000000004</v>
      </c>
      <c r="H80" s="68">
        <f t="shared" si="19"/>
        <v>209.79891500000002</v>
      </c>
      <c r="I80" s="68">
        <f t="shared" si="19"/>
        <v>213.20155600000001</v>
      </c>
      <c r="J80" s="68">
        <f t="shared" si="19"/>
        <v>208.28598999999997</v>
      </c>
      <c r="K80" s="68">
        <f>K79</f>
        <v>210.42507800000004</v>
      </c>
      <c r="L80" s="68">
        <f>L79</f>
        <v>213.97744499999999</v>
      </c>
      <c r="M80" s="69">
        <f>((L80/K80)-1)*100</f>
        <v>1.6881861391064623</v>
      </c>
      <c r="N80" s="54"/>
      <c r="O80" s="53"/>
      <c r="P80" s="53"/>
      <c r="Q80" s="54"/>
    </row>
    <row r="81" spans="2:17" s="46" customFormat="1" ht="11.25" customHeight="1">
      <c r="B81" s="52"/>
      <c r="C81" s="53"/>
      <c r="D81" s="53"/>
      <c r="E81" s="54"/>
      <c r="F81" s="53"/>
      <c r="G81" s="53"/>
      <c r="H81" s="54"/>
      <c r="I81" s="53"/>
      <c r="J81" s="53"/>
      <c r="K81" s="54"/>
      <c r="L81" s="53"/>
      <c r="M81" s="53"/>
      <c r="N81" s="54"/>
      <c r="O81" s="53"/>
      <c r="P81" s="53"/>
      <c r="Q81" s="54"/>
    </row>
    <row r="82" spans="2:17" s="46" customFormat="1" ht="11.25" customHeight="1">
      <c r="B82" s="45" t="s">
        <v>90</v>
      </c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4"/>
      <c r="O82" s="53"/>
      <c r="P82" s="53"/>
      <c r="Q82" s="54"/>
    </row>
    <row r="83" spans="2:17" s="46" customFormat="1" ht="11.25" customHeight="1">
      <c r="B83" s="98"/>
      <c r="C83" s="99">
        <v>2009</v>
      </c>
      <c r="D83" s="99">
        <v>2010</v>
      </c>
      <c r="E83" s="99">
        <v>2011</v>
      </c>
      <c r="F83" s="99">
        <v>2012</v>
      </c>
      <c r="G83" s="99">
        <v>2013</v>
      </c>
      <c r="H83" s="99">
        <v>2014</v>
      </c>
      <c r="I83" s="99">
        <v>2015</v>
      </c>
      <c r="J83" s="99">
        <v>2016</v>
      </c>
      <c r="K83" s="99">
        <v>2017</v>
      </c>
      <c r="L83" s="99">
        <v>2018</v>
      </c>
      <c r="M83" s="99" t="s">
        <v>52</v>
      </c>
      <c r="N83" s="54"/>
      <c r="O83" s="53"/>
      <c r="P83" s="53"/>
      <c r="Q83" s="54"/>
    </row>
    <row r="84" spans="2:17" s="46" customFormat="1" ht="11.25" customHeight="1">
      <c r="B84" s="33" t="s">
        <v>2</v>
      </c>
      <c r="C84" s="27">
        <f>SUM(C8,C47)</f>
        <v>26186.373700000004</v>
      </c>
      <c r="D84" s="27">
        <f t="shared" ref="D84:L84" si="20">SUM(D8,D47)</f>
        <v>41833.774188100004</v>
      </c>
      <c r="E84" s="27">
        <f t="shared" si="20"/>
        <v>30437.318171210005</v>
      </c>
      <c r="F84" s="27">
        <f t="shared" si="20"/>
        <v>20653.566634298</v>
      </c>
      <c r="G84" s="27">
        <f t="shared" si="20"/>
        <v>37385.436813939996</v>
      </c>
      <c r="H84" s="27">
        <f t="shared" si="20"/>
        <v>39181.985215204004</v>
      </c>
      <c r="I84" s="27">
        <f t="shared" si="20"/>
        <v>28382.579963850003</v>
      </c>
      <c r="J84" s="27">
        <f t="shared" si="20"/>
        <v>36114.888326772001</v>
      </c>
      <c r="K84" s="27">
        <f t="shared" si="20"/>
        <v>18450.61875066</v>
      </c>
      <c r="L84" s="27">
        <f t="shared" si="20"/>
        <v>33893.59662220758</v>
      </c>
      <c r="M84" s="26">
        <f t="shared" ref="M84:M101" si="21">((L84/K84)-1)*100</f>
        <v>83.698970100908767</v>
      </c>
      <c r="N84" s="54"/>
      <c r="O84" s="53"/>
      <c r="P84" s="53"/>
      <c r="Q84" s="54"/>
    </row>
    <row r="85" spans="2:17" s="46" customFormat="1" ht="11.25" customHeight="1">
      <c r="B85" s="33" t="s">
        <v>19</v>
      </c>
      <c r="C85" s="27">
        <f>C9</f>
        <v>2655.9322999999999</v>
      </c>
      <c r="D85" s="27">
        <f t="shared" ref="D85:L85" si="22">D9</f>
        <v>3120.4478038999996</v>
      </c>
      <c r="E85" s="27">
        <f t="shared" si="22"/>
        <v>2183.53623079</v>
      </c>
      <c r="F85" s="27">
        <f t="shared" si="22"/>
        <v>3201.889743702</v>
      </c>
      <c r="G85" s="27">
        <f t="shared" si="22"/>
        <v>3289.6771840599995</v>
      </c>
      <c r="H85" s="27">
        <f t="shared" si="22"/>
        <v>3415.9960267959996</v>
      </c>
      <c r="I85" s="27">
        <f t="shared" si="22"/>
        <v>2895.3657881499998</v>
      </c>
      <c r="J85" s="27">
        <f t="shared" si="22"/>
        <v>3134.3289102280005</v>
      </c>
      <c r="K85" s="27">
        <f t="shared" si="22"/>
        <v>2248.9644183400001</v>
      </c>
      <c r="L85" s="27">
        <f t="shared" si="22"/>
        <v>2007.9914774304448</v>
      </c>
      <c r="M85" s="26">
        <f t="shared" si="21"/>
        <v>-10.714840081259336</v>
      </c>
      <c r="N85" s="54"/>
      <c r="O85" s="53"/>
      <c r="P85" s="53"/>
      <c r="Q85" s="54"/>
    </row>
    <row r="86" spans="2:17" s="46" customFormat="1" ht="11.25" customHeight="1">
      <c r="B86" s="33" t="s">
        <v>3</v>
      </c>
      <c r="C86" s="27">
        <f>C10</f>
        <v>50549.445000000007</v>
      </c>
      <c r="D86" s="27">
        <f t="shared" ref="D86:L86" si="23">D10</f>
        <v>59242.321647000004</v>
      </c>
      <c r="E86" s="27">
        <f t="shared" si="23"/>
        <v>55005.874867000006</v>
      </c>
      <c r="F86" s="27">
        <f t="shared" si="23"/>
        <v>58595.438798999996</v>
      </c>
      <c r="G86" s="27">
        <f t="shared" si="23"/>
        <v>54210.788118999997</v>
      </c>
      <c r="H86" s="27">
        <f t="shared" si="23"/>
        <v>54781.281335</v>
      </c>
      <c r="I86" s="27">
        <f t="shared" si="23"/>
        <v>54661.803305000009</v>
      </c>
      <c r="J86" s="27">
        <f t="shared" si="23"/>
        <v>56021.682058999999</v>
      </c>
      <c r="K86" s="27">
        <f t="shared" si="23"/>
        <v>55539.351045999996</v>
      </c>
      <c r="L86" s="27">
        <f t="shared" si="23"/>
        <v>53091.458206476185</v>
      </c>
      <c r="M86" s="26">
        <f t="shared" si="21"/>
        <v>-4.4074926937773595</v>
      </c>
      <c r="N86" s="54"/>
      <c r="O86" s="53"/>
      <c r="P86" s="53"/>
      <c r="Q86" s="54"/>
    </row>
    <row r="87" spans="2:17" s="46" customFormat="1" ht="11.25" customHeight="1">
      <c r="B87" s="33" t="s">
        <v>4</v>
      </c>
      <c r="C87" s="27">
        <f>SUM(C11,C29)</f>
        <v>34793.025000000001</v>
      </c>
      <c r="D87" s="27">
        <f t="shared" ref="D87:L87" si="24">SUM(D11,D29)</f>
        <v>23700.613399999998</v>
      </c>
      <c r="E87" s="27">
        <f t="shared" si="24"/>
        <v>43177.464376999997</v>
      </c>
      <c r="F87" s="27">
        <f t="shared" si="24"/>
        <v>53779.891173000004</v>
      </c>
      <c r="G87" s="27">
        <f t="shared" si="24"/>
        <v>39441.537715999999</v>
      </c>
      <c r="H87" s="27">
        <f t="shared" si="24"/>
        <v>43246.056496999998</v>
      </c>
      <c r="I87" s="27">
        <f t="shared" si="24"/>
        <v>52616.477597999998</v>
      </c>
      <c r="J87" s="27">
        <f t="shared" si="24"/>
        <v>37313.777751000001</v>
      </c>
      <c r="K87" s="27">
        <f t="shared" si="24"/>
        <v>45019.420393000008</v>
      </c>
      <c r="L87" s="27">
        <f t="shared" si="24"/>
        <v>38253.349766745785</v>
      </c>
      <c r="M87" s="26">
        <f t="shared" si="21"/>
        <v>-15.029226425372343</v>
      </c>
      <c r="N87" s="54"/>
      <c r="O87" s="53"/>
      <c r="P87" s="53"/>
      <c r="Q87" s="54"/>
    </row>
    <row r="88" spans="2:17" s="46" customFormat="1" ht="11.25" customHeight="1">
      <c r="B88" s="33" t="s">
        <v>21</v>
      </c>
      <c r="C88" s="27">
        <f t="shared" ref="C88:L88" si="25">SUM(C12,C32,C34,C51,C53,C943,C66,C74)</f>
        <v>9276.3040540000002</v>
      </c>
      <c r="D88" s="27">
        <f t="shared" si="25"/>
        <v>8821.7598159999998</v>
      </c>
      <c r="E88" s="27">
        <f t="shared" si="25"/>
        <v>7007.9228749999993</v>
      </c>
      <c r="F88" s="27">
        <f t="shared" si="25"/>
        <v>7094.5555100000001</v>
      </c>
      <c r="G88" s="27">
        <f t="shared" si="25"/>
        <v>6560.4606400000011</v>
      </c>
      <c r="H88" s="27">
        <f t="shared" si="25"/>
        <v>6241.8218880000004</v>
      </c>
      <c r="I88" s="27">
        <f t="shared" si="25"/>
        <v>6483.8134280000004</v>
      </c>
      <c r="J88" s="27">
        <f t="shared" si="25"/>
        <v>6754.6440300000004</v>
      </c>
      <c r="K88" s="27">
        <f t="shared" si="25"/>
        <v>7001.5774490000003</v>
      </c>
      <c r="L88" s="27">
        <f t="shared" si="25"/>
        <v>6739.7838666366797</v>
      </c>
      <c r="M88" s="26">
        <f t="shared" si="21"/>
        <v>-3.7390657215498058</v>
      </c>
      <c r="N88" s="54"/>
      <c r="O88" s="53"/>
      <c r="P88" s="53"/>
      <c r="Q88" s="54"/>
    </row>
    <row r="89" spans="2:17" s="46" customFormat="1" ht="11.25" customHeight="1">
      <c r="B89" s="33" t="s">
        <v>22</v>
      </c>
      <c r="C89" s="27">
        <f>SUM(C13,C33,C52)</f>
        <v>80223.794999999998</v>
      </c>
      <c r="D89" s="27">
        <f t="shared" ref="D89:L89" si="26">SUM(D13,D33,D52)</f>
        <v>66798.98415199999</v>
      </c>
      <c r="E89" s="27">
        <f t="shared" si="26"/>
        <v>53430.948742000008</v>
      </c>
      <c r="F89" s="27">
        <f t="shared" si="26"/>
        <v>41073.093881000001</v>
      </c>
      <c r="G89" s="27">
        <f t="shared" si="26"/>
        <v>27480.038403999999</v>
      </c>
      <c r="H89" s="27">
        <f t="shared" si="26"/>
        <v>24780.733440999997</v>
      </c>
      <c r="I89" s="27">
        <f t="shared" si="26"/>
        <v>29027.289335000001</v>
      </c>
      <c r="J89" s="27">
        <f t="shared" si="26"/>
        <v>29006.482093999999</v>
      </c>
      <c r="K89" s="27">
        <f t="shared" si="26"/>
        <v>37065.787082999996</v>
      </c>
      <c r="L89" s="27">
        <f t="shared" si="26"/>
        <v>30462.053870563061</v>
      </c>
      <c r="M89" s="26">
        <f t="shared" si="21"/>
        <v>-17.816249787572158</v>
      </c>
      <c r="N89" s="54"/>
      <c r="O89" s="53"/>
      <c r="P89" s="53"/>
      <c r="Q89" s="54"/>
    </row>
    <row r="90" spans="2:17" s="46" customFormat="1" ht="11.25" customHeight="1">
      <c r="B90" s="33" t="s">
        <v>5</v>
      </c>
      <c r="C90" s="27" t="str">
        <f>C54</f>
        <v>-</v>
      </c>
      <c r="D90" s="27" t="str">
        <f t="shared" ref="D90:L90" si="27">D54</f>
        <v>-</v>
      </c>
      <c r="E90" s="27" t="str">
        <f t="shared" si="27"/>
        <v>-</v>
      </c>
      <c r="F90" s="27" t="str">
        <f t="shared" si="27"/>
        <v>-</v>
      </c>
      <c r="G90" s="27" t="str">
        <f t="shared" si="27"/>
        <v>-</v>
      </c>
      <c r="H90" s="27">
        <f t="shared" si="27"/>
        <v>0.72883699999999996</v>
      </c>
      <c r="I90" s="27">
        <f t="shared" si="27"/>
        <v>8.2074240000000014</v>
      </c>
      <c r="J90" s="27">
        <f t="shared" si="27"/>
        <v>17.891935999999998</v>
      </c>
      <c r="K90" s="27">
        <f t="shared" si="27"/>
        <v>20.233057000000002</v>
      </c>
      <c r="L90" s="27">
        <f t="shared" si="27"/>
        <v>24.820859657224158</v>
      </c>
      <c r="M90" s="26">
        <f t="shared" si="21"/>
        <v>22.674787389884553</v>
      </c>
      <c r="N90" s="54"/>
      <c r="O90" s="53"/>
      <c r="P90" s="53"/>
      <c r="Q90" s="54"/>
    </row>
    <row r="91" spans="2:17" s="46" customFormat="1" ht="11.25" customHeight="1">
      <c r="B91" s="33" t="s">
        <v>6</v>
      </c>
      <c r="C91" s="27">
        <f>SUM(C14,C35,C55)</f>
        <v>38252.826999999997</v>
      </c>
      <c r="D91" s="27">
        <f t="shared" ref="D91:L91" si="28">SUM(D14,D35,D55)</f>
        <v>43545.33</v>
      </c>
      <c r="E91" s="27">
        <f t="shared" si="28"/>
        <v>42477.250769000006</v>
      </c>
      <c r="F91" s="27">
        <f t="shared" si="28"/>
        <v>48524.529970999996</v>
      </c>
      <c r="G91" s="27">
        <f t="shared" si="28"/>
        <v>54713.393734999998</v>
      </c>
      <c r="H91" s="27">
        <f t="shared" si="28"/>
        <v>51032.030848000009</v>
      </c>
      <c r="I91" s="27">
        <f t="shared" si="28"/>
        <v>48117.887515999995</v>
      </c>
      <c r="J91" s="27">
        <f t="shared" si="28"/>
        <v>47696.660309000006</v>
      </c>
      <c r="K91" s="27">
        <f t="shared" si="28"/>
        <v>47906.955560999995</v>
      </c>
      <c r="L91" s="27">
        <f t="shared" si="28"/>
        <v>49746.076933368349</v>
      </c>
      <c r="M91" s="26">
        <f t="shared" si="21"/>
        <v>3.8389443679563318</v>
      </c>
      <c r="N91" s="54"/>
      <c r="O91" s="53"/>
      <c r="P91" s="53"/>
      <c r="Q91" s="54"/>
    </row>
    <row r="92" spans="2:17" s="46" customFormat="1" ht="11.25" customHeight="1">
      <c r="B92" s="33" t="s">
        <v>7</v>
      </c>
      <c r="C92" s="27">
        <f>SUM(C15,C36,C56,C75)</f>
        <v>6072.3899999999994</v>
      </c>
      <c r="D92" s="27">
        <f t="shared" ref="D92:L92" si="29">SUM(D15,D36,D56,D75)</f>
        <v>6422.7719999999999</v>
      </c>
      <c r="E92" s="27">
        <f t="shared" si="29"/>
        <v>7440.7523799999999</v>
      </c>
      <c r="F92" s="27">
        <f t="shared" si="29"/>
        <v>8202.259145</v>
      </c>
      <c r="G92" s="27">
        <f t="shared" si="29"/>
        <v>8327.2745960000011</v>
      </c>
      <c r="H92" s="27">
        <f t="shared" si="29"/>
        <v>8207.9261310000002</v>
      </c>
      <c r="I92" s="27">
        <f t="shared" si="29"/>
        <v>8243.5609049999985</v>
      </c>
      <c r="J92" s="27">
        <f t="shared" si="29"/>
        <v>7977.4671849999995</v>
      </c>
      <c r="K92" s="27">
        <f t="shared" si="29"/>
        <v>8397.7526930000004</v>
      </c>
      <c r="L92" s="27">
        <f t="shared" si="29"/>
        <v>7736.622232925858</v>
      </c>
      <c r="M92" s="26">
        <f t="shared" si="21"/>
        <v>-7.8727069520067143</v>
      </c>
      <c r="N92" s="54"/>
      <c r="O92" s="53"/>
      <c r="P92" s="53"/>
      <c r="Q92" s="54"/>
    </row>
    <row r="93" spans="2:17" s="46" customFormat="1" ht="11.25" customHeight="1">
      <c r="B93" s="33" t="s">
        <v>8</v>
      </c>
      <c r="C93" s="27">
        <f>C16</f>
        <v>129.82299999999998</v>
      </c>
      <c r="D93" s="27">
        <f t="shared" ref="D93:L93" si="30">D16</f>
        <v>691.62</v>
      </c>
      <c r="E93" s="27">
        <f t="shared" si="30"/>
        <v>1861.6415489999997</v>
      </c>
      <c r="F93" s="27">
        <f t="shared" si="30"/>
        <v>3447.4936120000002</v>
      </c>
      <c r="G93" s="27">
        <f t="shared" si="30"/>
        <v>4441.5275350000002</v>
      </c>
      <c r="H93" s="27">
        <f t="shared" si="30"/>
        <v>4958.9149259999995</v>
      </c>
      <c r="I93" s="27">
        <f t="shared" si="30"/>
        <v>5085.235514</v>
      </c>
      <c r="J93" s="27">
        <f t="shared" si="30"/>
        <v>5071.2017019999994</v>
      </c>
      <c r="K93" s="27">
        <f t="shared" si="30"/>
        <v>5347.9524650000003</v>
      </c>
      <c r="L93" s="27">
        <f t="shared" si="30"/>
        <v>4471.1815512620014</v>
      </c>
      <c r="M93" s="26">
        <f t="shared" si="21"/>
        <v>-16.394515835286107</v>
      </c>
      <c r="N93" s="54"/>
      <c r="O93" s="53"/>
      <c r="P93" s="53"/>
      <c r="Q93" s="54"/>
    </row>
    <row r="94" spans="2:17" s="46" customFormat="1" ht="11.25" customHeight="1">
      <c r="B94" s="33" t="s">
        <v>23</v>
      </c>
      <c r="C94" s="27">
        <f>SUM(C17,C37,C57)</f>
        <v>3317.3420000000001</v>
      </c>
      <c r="D94" s="27">
        <f t="shared" ref="D94:L94" si="31">SUM(D17,D37,D57)</f>
        <v>3332.3599999999997</v>
      </c>
      <c r="E94" s="27">
        <f t="shared" si="31"/>
        <v>3714.0342680000003</v>
      </c>
      <c r="F94" s="27">
        <f t="shared" si="31"/>
        <v>3791.0834190000005</v>
      </c>
      <c r="G94" s="27">
        <f t="shared" si="31"/>
        <v>4334.2854390000002</v>
      </c>
      <c r="H94" s="27">
        <f t="shared" si="31"/>
        <v>3816.3157169999999</v>
      </c>
      <c r="I94" s="27">
        <f t="shared" si="31"/>
        <v>3432.5919209999997</v>
      </c>
      <c r="J94" s="27">
        <f t="shared" si="31"/>
        <v>3425.6648279999999</v>
      </c>
      <c r="K94" s="27">
        <f t="shared" si="31"/>
        <v>3610.347882</v>
      </c>
      <c r="L94" s="27">
        <f t="shared" si="31"/>
        <v>3570.9442962750736</v>
      </c>
      <c r="M94" s="26">
        <f t="shared" si="21"/>
        <v>-1.091406895201974</v>
      </c>
      <c r="N94" s="54"/>
      <c r="O94" s="53"/>
      <c r="P94" s="53"/>
      <c r="Q94" s="54"/>
    </row>
    <row r="95" spans="2:17" s="46" customFormat="1" ht="11.25" customHeight="1">
      <c r="B95" s="33" t="s">
        <v>9</v>
      </c>
      <c r="C95" s="27">
        <f>SUM(C18,C38,C58,C78)</f>
        <v>28600.731000000003</v>
      </c>
      <c r="D95" s="27">
        <f t="shared" ref="D95:L95" si="32">SUM(D18,D38,D58,D78)</f>
        <v>30973.324000000001</v>
      </c>
      <c r="E95" s="27">
        <f t="shared" si="32"/>
        <v>30593.251724000002</v>
      </c>
      <c r="F95" s="27">
        <f t="shared" si="32"/>
        <v>32444.285103000006</v>
      </c>
      <c r="G95" s="27">
        <f t="shared" si="32"/>
        <v>30835.664588999996</v>
      </c>
      <c r="H95" s="27">
        <f t="shared" si="32"/>
        <v>24153.243881999999</v>
      </c>
      <c r="I95" s="27">
        <f t="shared" si="32"/>
        <v>25200.877766000005</v>
      </c>
      <c r="J95" s="27">
        <f t="shared" si="32"/>
        <v>25908.643558999996</v>
      </c>
      <c r="K95" s="27">
        <f t="shared" si="32"/>
        <v>28211.806703000002</v>
      </c>
      <c r="L95" s="27">
        <f t="shared" si="32"/>
        <v>28699.297746045406</v>
      </c>
      <c r="M95" s="26">
        <f t="shared" si="21"/>
        <v>1.7279681807601754</v>
      </c>
      <c r="N95" s="54"/>
      <c r="O95" s="53"/>
      <c r="P95" s="53"/>
      <c r="Q95" s="54"/>
    </row>
    <row r="96" spans="2:17" s="46" customFormat="1" ht="11.25" customHeight="1">
      <c r="B96" s="33" t="s">
        <v>10</v>
      </c>
      <c r="C96" s="27">
        <f>SUM(C19,C39,C76)</f>
        <v>0</v>
      </c>
      <c r="D96" s="27">
        <f t="shared" ref="D96:L96" si="33">SUM(D19,D39,D76)</f>
        <v>0</v>
      </c>
      <c r="E96" s="27">
        <f t="shared" si="33"/>
        <v>1287.7704800000004</v>
      </c>
      <c r="F96" s="27">
        <f t="shared" si="33"/>
        <v>1589.4158940000002</v>
      </c>
      <c r="G96" s="27">
        <f t="shared" si="33"/>
        <v>1617.2360285</v>
      </c>
      <c r="H96" s="27">
        <f t="shared" si="33"/>
        <v>1965.8770435000001</v>
      </c>
      <c r="I96" s="27">
        <f t="shared" si="33"/>
        <v>2480.1089684999997</v>
      </c>
      <c r="J96" s="27">
        <f t="shared" si="33"/>
        <v>2606.9637644999998</v>
      </c>
      <c r="K96" s="27">
        <f t="shared" si="33"/>
        <v>2607.9845150000001</v>
      </c>
      <c r="L96" s="27">
        <f t="shared" si="33"/>
        <v>2434.2217609653353</v>
      </c>
      <c r="M96" s="26">
        <f t="shared" si="21"/>
        <v>-6.6627218465162059</v>
      </c>
      <c r="N96" s="54"/>
      <c r="O96" s="53"/>
      <c r="P96" s="53"/>
      <c r="Q96" s="54"/>
    </row>
    <row r="97" spans="2:17" s="46" customFormat="1" ht="11.25" customHeight="1">
      <c r="B97" s="33" t="s">
        <v>11</v>
      </c>
      <c r="C97" s="27">
        <f>SUM(C20,C40,C77)</f>
        <v>0</v>
      </c>
      <c r="D97" s="27">
        <f t="shared" ref="D97:L97" si="34">SUM(D20,D40,D77)</f>
        <v>0</v>
      </c>
      <c r="E97" s="27">
        <f t="shared" si="34"/>
        <v>736.05574399999989</v>
      </c>
      <c r="F97" s="27">
        <f t="shared" si="34"/>
        <v>719.78999700000008</v>
      </c>
      <c r="G97" s="27">
        <f t="shared" si="34"/>
        <v>555.73950249999996</v>
      </c>
      <c r="H97" s="27">
        <f t="shared" si="34"/>
        <v>678.0715725</v>
      </c>
      <c r="I97" s="27">
        <f t="shared" si="34"/>
        <v>818.04970250000008</v>
      </c>
      <c r="J97" s="27">
        <f t="shared" si="34"/>
        <v>785.39502949999996</v>
      </c>
      <c r="K97" s="27">
        <f t="shared" si="34"/>
        <v>877.00608699999987</v>
      </c>
      <c r="L97" s="27">
        <f t="shared" si="34"/>
        <v>863.70348396533655</v>
      </c>
      <c r="M97" s="26">
        <f t="shared" si="21"/>
        <v>-1.5168199208477451</v>
      </c>
      <c r="N97" s="54"/>
      <c r="O97" s="53"/>
      <c r="P97" s="53"/>
      <c r="Q97" s="54"/>
    </row>
    <row r="98" spans="2:17" s="46" customFormat="1" ht="11.25" customHeight="1">
      <c r="B98" s="64" t="s">
        <v>12</v>
      </c>
      <c r="C98" s="65">
        <f>SUM(C84:C97)</f>
        <v>280057.98805400002</v>
      </c>
      <c r="D98" s="65">
        <f t="shared" ref="D98:L98" si="35">SUM(D84:D97)</f>
        <v>288483.30700700002</v>
      </c>
      <c r="E98" s="65">
        <f t="shared" si="35"/>
        <v>279353.82217699999</v>
      </c>
      <c r="F98" s="65">
        <f t="shared" si="35"/>
        <v>283117.29288200004</v>
      </c>
      <c r="G98" s="65">
        <f t="shared" si="35"/>
        <v>273193.06030199997</v>
      </c>
      <c r="H98" s="65">
        <f t="shared" si="35"/>
        <v>266460.98335999995</v>
      </c>
      <c r="I98" s="65">
        <f t="shared" si="35"/>
        <v>267453.84913499997</v>
      </c>
      <c r="J98" s="65">
        <f t="shared" si="35"/>
        <v>261835.69148399998</v>
      </c>
      <c r="K98" s="65">
        <f t="shared" si="35"/>
        <v>262305.758103</v>
      </c>
      <c r="L98" s="65">
        <f t="shared" si="35"/>
        <v>261995.10267452427</v>
      </c>
      <c r="M98" s="66">
        <f t="shared" si="21"/>
        <v>-0.11843256157333393</v>
      </c>
      <c r="N98" s="54"/>
      <c r="O98" s="53"/>
      <c r="P98" s="53"/>
      <c r="Q98" s="54"/>
    </row>
    <row r="99" spans="2:17" s="46" customFormat="1" ht="11.25" customHeight="1">
      <c r="B99" s="48" t="s">
        <v>13</v>
      </c>
      <c r="C99" s="27">
        <f>C22</f>
        <v>-3794.1889999999999</v>
      </c>
      <c r="D99" s="27">
        <f t="shared" ref="D99:L99" si="36">D22</f>
        <v>-4457.7825769999999</v>
      </c>
      <c r="E99" s="27">
        <f t="shared" si="36"/>
        <v>-3241.4938166299999</v>
      </c>
      <c r="F99" s="27">
        <f t="shared" si="36"/>
        <v>-5059.130999598</v>
      </c>
      <c r="G99" s="27">
        <f t="shared" si="36"/>
        <v>-5955.7760918139993</v>
      </c>
      <c r="H99" s="27">
        <f t="shared" si="36"/>
        <v>-5385.7688595580003</v>
      </c>
      <c r="I99" s="27">
        <f t="shared" si="36"/>
        <v>-4512.2514306059993</v>
      </c>
      <c r="J99" s="27">
        <f t="shared" si="36"/>
        <v>-4827.5850676680011</v>
      </c>
      <c r="K99" s="27">
        <f t="shared" si="36"/>
        <v>-3607.5809876580001</v>
      </c>
      <c r="L99" s="27">
        <f t="shared" si="36"/>
        <v>-3224.5584959492062</v>
      </c>
      <c r="M99" s="26">
        <f t="shared" si="21"/>
        <v>-10.617155734525808</v>
      </c>
      <c r="N99" s="54"/>
      <c r="O99" s="53"/>
      <c r="P99" s="53"/>
      <c r="Q99" s="54"/>
    </row>
    <row r="100" spans="2:17" s="46" customFormat="1" ht="11.25" customHeight="1">
      <c r="B100" s="48" t="s">
        <v>25</v>
      </c>
      <c r="C100" s="27">
        <f>C24</f>
        <v>-8086.4139999999998</v>
      </c>
      <c r="D100" s="27">
        <f t="shared" ref="D100:L100" si="37">D24</f>
        <v>-8332.6790579999997</v>
      </c>
      <c r="E100" s="27">
        <f t="shared" si="37"/>
        <v>-6090.1263339999996</v>
      </c>
      <c r="F100" s="27">
        <f t="shared" si="37"/>
        <v>-11199.953591</v>
      </c>
      <c r="G100" s="27">
        <f t="shared" si="37"/>
        <v>-6732.1324500000001</v>
      </c>
      <c r="H100" s="27">
        <f t="shared" si="37"/>
        <v>-3406.1240240000002</v>
      </c>
      <c r="I100" s="27">
        <f t="shared" si="37"/>
        <v>-133.16316299999994</v>
      </c>
      <c r="J100" s="27">
        <f t="shared" si="37"/>
        <v>7658.0436910000008</v>
      </c>
      <c r="K100" s="27">
        <f t="shared" si="37"/>
        <v>9168.9935229999992</v>
      </c>
      <c r="L100" s="27">
        <f t="shared" si="37"/>
        <v>10623.621671777773</v>
      </c>
      <c r="M100" s="26">
        <f t="shared" si="21"/>
        <v>15.864643650678856</v>
      </c>
      <c r="N100" s="54"/>
      <c r="O100" s="53"/>
      <c r="P100" s="53"/>
      <c r="Q100" s="54"/>
    </row>
    <row r="101" spans="2:17" s="46" customFormat="1" ht="11.25" customHeight="1">
      <c r="B101" s="67" t="s">
        <v>14</v>
      </c>
      <c r="C101" s="68">
        <f>SUM(C98:C100)</f>
        <v>268177.38505400001</v>
      </c>
      <c r="D101" s="68">
        <f t="shared" ref="D101:L101" si="38">SUM(D98:D100)</f>
        <v>275692.84537200007</v>
      </c>
      <c r="E101" s="68">
        <f t="shared" si="38"/>
        <v>270022.20202637004</v>
      </c>
      <c r="F101" s="68">
        <f t="shared" si="38"/>
        <v>266858.20829140203</v>
      </c>
      <c r="G101" s="68">
        <f t="shared" si="38"/>
        <v>260505.15176018598</v>
      </c>
      <c r="H101" s="68">
        <f t="shared" si="38"/>
        <v>257669.09047644195</v>
      </c>
      <c r="I101" s="68">
        <f t="shared" si="38"/>
        <v>262808.43454139394</v>
      </c>
      <c r="J101" s="68">
        <f t="shared" si="38"/>
        <v>264666.15010733198</v>
      </c>
      <c r="K101" s="68">
        <f t="shared" si="38"/>
        <v>267867.17063834198</v>
      </c>
      <c r="L101" s="68">
        <f t="shared" si="38"/>
        <v>269394.16585035285</v>
      </c>
      <c r="M101" s="69">
        <f t="shared" si="21"/>
        <v>0.57005687123656834</v>
      </c>
      <c r="N101" s="54"/>
      <c r="O101" s="53"/>
      <c r="P101" s="53"/>
      <c r="Q101" s="54"/>
    </row>
    <row r="102" spans="2:17" s="46" customFormat="1" ht="11.25" customHeight="1">
      <c r="B102" s="52"/>
      <c r="C102" s="53"/>
      <c r="D102" s="53"/>
      <c r="E102" s="54"/>
      <c r="F102" s="53"/>
      <c r="G102" s="53"/>
      <c r="H102" s="54"/>
      <c r="I102" s="53"/>
      <c r="J102" s="53"/>
      <c r="K102" s="54"/>
      <c r="L102" s="53"/>
      <c r="M102" s="53"/>
      <c r="N102" s="54"/>
      <c r="O102" s="53"/>
      <c r="P102" s="53"/>
      <c r="Q102" s="54"/>
    </row>
    <row r="103" spans="2:17">
      <c r="B103" s="45" t="s">
        <v>32</v>
      </c>
      <c r="C103" s="47"/>
      <c r="D103" s="47"/>
      <c r="E103" s="47"/>
      <c r="F103" s="47"/>
      <c r="G103" s="47"/>
      <c r="H103" s="75"/>
      <c r="I103" s="75"/>
      <c r="J103" s="75"/>
      <c r="K103" s="75"/>
      <c r="L103" s="75"/>
    </row>
    <row r="104" spans="2:17">
      <c r="B104" s="98"/>
      <c r="C104" s="99">
        <v>2009</v>
      </c>
      <c r="D104" s="99">
        <v>2010</v>
      </c>
      <c r="E104" s="99">
        <v>2011</v>
      </c>
      <c r="F104" s="99">
        <v>2012</v>
      </c>
      <c r="G104" s="99">
        <v>2013</v>
      </c>
      <c r="H104" s="99">
        <v>2014</v>
      </c>
      <c r="I104" s="99">
        <v>2015</v>
      </c>
      <c r="J104" s="99">
        <v>2016</v>
      </c>
      <c r="K104" s="99">
        <v>2017</v>
      </c>
      <c r="L104" s="99">
        <v>2018</v>
      </c>
    </row>
    <row r="105" spans="2:17">
      <c r="B105" s="134" t="s">
        <v>38</v>
      </c>
      <c r="C105" s="135">
        <v>-4.7309999999999999</v>
      </c>
      <c r="D105" s="135">
        <v>3.113747511510212</v>
      </c>
      <c r="E105" s="135">
        <v>-2.1209206720724127</v>
      </c>
      <c r="F105" s="135">
        <v>-1.2867421870957019</v>
      </c>
      <c r="G105" s="135">
        <v>-2.3040840655225714</v>
      </c>
      <c r="H105" s="135">
        <v>-1.1165703303855801</v>
      </c>
      <c r="I105" s="135">
        <v>1.9720720160641081</v>
      </c>
      <c r="J105" s="135">
        <v>0.68954404924408408</v>
      </c>
      <c r="K105" s="135">
        <v>1.1320558128334435</v>
      </c>
      <c r="L105" s="135">
        <v>0.62075812192250446</v>
      </c>
    </row>
    <row r="106" spans="2:17">
      <c r="B106" s="76"/>
      <c r="C106" s="27"/>
      <c r="D106" s="27"/>
      <c r="E106" s="27"/>
      <c r="F106" s="27"/>
      <c r="G106" s="27"/>
      <c r="H106" s="27"/>
      <c r="I106" s="27"/>
      <c r="J106" s="27"/>
      <c r="K106" s="27"/>
      <c r="L106" s="27"/>
    </row>
    <row r="107" spans="2:17">
      <c r="B107" s="76" t="s">
        <v>16</v>
      </c>
      <c r="C107" s="55">
        <v>-0.48399999999999999</v>
      </c>
      <c r="D107" s="55">
        <v>5.4714882115680652E-2</v>
      </c>
      <c r="E107" s="55">
        <v>0.13995989034844003</v>
      </c>
      <c r="F107" s="55">
        <v>-0.27523301080143447</v>
      </c>
      <c r="G107" s="55">
        <v>0.19281581100265566</v>
      </c>
      <c r="H107" s="55">
        <v>-3.0730600920070295E-3</v>
      </c>
      <c r="I107" s="55">
        <v>-6.0843878812311125E-2</v>
      </c>
      <c r="J107" s="55">
        <v>0.58438696235036947</v>
      </c>
      <c r="K107" s="55">
        <v>-0.34214636765030892</v>
      </c>
      <c r="L107" s="55">
        <v>-0.1128049902241246</v>
      </c>
    </row>
    <row r="108" spans="2:17">
      <c r="B108" s="76" t="s">
        <v>17</v>
      </c>
      <c r="C108" s="55">
        <v>0.441</v>
      </c>
      <c r="D108" s="55">
        <v>0.39683130554921675</v>
      </c>
      <c r="E108" s="55">
        <v>-1.0255883589234793</v>
      </c>
      <c r="F108" s="55">
        <v>0.69357018081355193</v>
      </c>
      <c r="G108" s="55">
        <v>-0.27206283069688419</v>
      </c>
      <c r="H108" s="55">
        <v>-0.98836652267776381</v>
      </c>
      <c r="I108" s="55">
        <v>0.35936597688595029</v>
      </c>
      <c r="J108" s="55">
        <v>9.2093590159092464E-2</v>
      </c>
      <c r="K108" s="55">
        <v>-0.16648553520739462</v>
      </c>
      <c r="L108" s="55">
        <v>0.21907775750762415</v>
      </c>
    </row>
    <row r="109" spans="2:17">
      <c r="B109" s="77" t="s">
        <v>39</v>
      </c>
      <c r="C109" s="56">
        <v>-4.6879999999999997</v>
      </c>
      <c r="D109" s="56">
        <v>2.6622013238452702</v>
      </c>
      <c r="E109" s="56">
        <v>-1.2332150802072173</v>
      </c>
      <c r="F109" s="56">
        <v>-1.7010009062974341</v>
      </c>
      <c r="G109" s="56">
        <v>-2.2228217045758392</v>
      </c>
      <c r="H109" s="56">
        <v>-0.1257412732204144</v>
      </c>
      <c r="I109" s="56">
        <v>1.6870463613417597</v>
      </c>
      <c r="J109" s="56">
        <v>1.3063496734622149E-2</v>
      </c>
      <c r="K109" s="56">
        <v>1.640687715691147</v>
      </c>
      <c r="L109" s="56">
        <v>0.51448535463900491</v>
      </c>
    </row>
    <row r="111" spans="2:17">
      <c r="B111" s="45" t="s">
        <v>33</v>
      </c>
    </row>
    <row r="112" spans="2:17">
      <c r="B112" s="70"/>
      <c r="C112" s="70"/>
      <c r="D112" s="57" t="s">
        <v>37</v>
      </c>
      <c r="E112" s="57" t="s">
        <v>40</v>
      </c>
    </row>
    <row r="113" spans="2:13">
      <c r="B113" s="58" t="s">
        <v>35</v>
      </c>
      <c r="C113" s="28"/>
      <c r="D113" s="28" t="s">
        <v>137</v>
      </c>
      <c r="E113" s="59">
        <v>45450</v>
      </c>
      <c r="F113" s="60"/>
    </row>
    <row r="114" spans="2:13">
      <c r="B114" s="58">
        <v>2009</v>
      </c>
      <c r="C114" s="28"/>
      <c r="D114" s="28" t="s">
        <v>75</v>
      </c>
      <c r="E114" s="59">
        <v>44495.910199999998</v>
      </c>
      <c r="F114" s="60"/>
    </row>
    <row r="115" spans="2:13">
      <c r="B115" s="58">
        <v>2010</v>
      </c>
      <c r="C115" s="28"/>
      <c r="D115" s="28" t="s">
        <v>76</v>
      </c>
      <c r="E115" s="59">
        <v>44486</v>
      </c>
      <c r="F115" s="60"/>
    </row>
    <row r="116" spans="2:13">
      <c r="B116" s="58">
        <v>2011</v>
      </c>
      <c r="C116" s="28"/>
      <c r="D116" s="28" t="s">
        <v>77</v>
      </c>
      <c r="E116" s="59">
        <v>43969</v>
      </c>
      <c r="F116" s="60"/>
    </row>
    <row r="117" spans="2:13">
      <c r="B117" s="58">
        <v>2012</v>
      </c>
      <c r="C117" s="28"/>
      <c r="D117" s="28" t="s">
        <v>78</v>
      </c>
      <c r="E117" s="59">
        <v>43527</v>
      </c>
      <c r="F117" s="60"/>
    </row>
    <row r="118" spans="2:13">
      <c r="B118" s="58">
        <v>2013</v>
      </c>
      <c r="C118" s="28"/>
      <c r="D118" s="28" t="s">
        <v>79</v>
      </c>
      <c r="E118" s="59">
        <v>40277</v>
      </c>
      <c r="F118" s="60"/>
    </row>
    <row r="119" spans="2:13">
      <c r="B119" s="58">
        <v>2014</v>
      </c>
      <c r="C119" s="28"/>
      <c r="D119" s="28" t="s">
        <v>80</v>
      </c>
      <c r="E119" s="59">
        <v>38948</v>
      </c>
    </row>
    <row r="120" spans="2:13">
      <c r="B120" s="58">
        <v>2015</v>
      </c>
      <c r="C120" s="28"/>
      <c r="D120" s="28" t="s">
        <v>81</v>
      </c>
      <c r="E120" s="59">
        <v>40726</v>
      </c>
    </row>
    <row r="121" spans="2:13">
      <c r="B121" s="58">
        <v>2016</v>
      </c>
      <c r="C121" s="28"/>
      <c r="D121" s="28" t="s">
        <v>82</v>
      </c>
      <c r="E121" s="59">
        <v>40489</v>
      </c>
    </row>
    <row r="122" spans="2:13">
      <c r="B122" s="58">
        <v>2017</v>
      </c>
      <c r="C122" s="28"/>
      <c r="D122" s="28" t="s">
        <v>34</v>
      </c>
      <c r="E122" s="59">
        <v>41381</v>
      </c>
    </row>
    <row r="123" spans="2:13">
      <c r="B123" s="61">
        <v>2018</v>
      </c>
      <c r="C123" s="29"/>
      <c r="D123" s="29" t="s">
        <v>155</v>
      </c>
      <c r="E123" s="62">
        <v>40947</v>
      </c>
      <c r="F123" s="148"/>
      <c r="G123" s="148"/>
    </row>
    <row r="124" spans="2:13" s="74" customFormat="1">
      <c r="B124" s="71"/>
      <c r="C124" s="72"/>
      <c r="D124" s="72"/>
      <c r="E124" s="73"/>
    </row>
    <row r="125" spans="2:13">
      <c r="B125" s="45" t="s">
        <v>42</v>
      </c>
      <c r="C125" s="47"/>
      <c r="D125" s="47"/>
      <c r="E125" s="47"/>
      <c r="F125" s="47"/>
      <c r="G125" s="47"/>
      <c r="H125" s="75"/>
      <c r="I125" s="75"/>
      <c r="J125" s="75"/>
      <c r="K125" s="75"/>
      <c r="L125" s="75"/>
    </row>
    <row r="126" spans="2:13">
      <c r="B126" s="98"/>
      <c r="C126" s="99">
        <v>2009</v>
      </c>
      <c r="D126" s="99">
        <v>2010</v>
      </c>
      <c r="E126" s="99">
        <v>2011</v>
      </c>
      <c r="F126" s="99">
        <v>2012</v>
      </c>
      <c r="G126" s="99">
        <v>2013</v>
      </c>
      <c r="H126" s="99">
        <v>2014</v>
      </c>
      <c r="I126" s="99">
        <v>2015</v>
      </c>
      <c r="J126" s="99">
        <v>2016</v>
      </c>
      <c r="K126" s="99">
        <v>2017</v>
      </c>
      <c r="L126" s="99">
        <v>2018</v>
      </c>
      <c r="M126" s="99" t="s">
        <v>52</v>
      </c>
    </row>
    <row r="127" spans="2:13">
      <c r="B127" s="76" t="s">
        <v>2</v>
      </c>
      <c r="C127" s="27">
        <f t="shared" ref="C127:L127" si="39">C8</f>
        <v>26185.975700000003</v>
      </c>
      <c r="D127" s="27">
        <f t="shared" si="39"/>
        <v>41833.774188100004</v>
      </c>
      <c r="E127" s="27">
        <f t="shared" si="39"/>
        <v>30435.663400210004</v>
      </c>
      <c r="F127" s="27">
        <f t="shared" si="39"/>
        <v>20651.797535297999</v>
      </c>
      <c r="G127" s="27">
        <f t="shared" si="39"/>
        <v>37382.405530939999</v>
      </c>
      <c r="H127" s="27">
        <f t="shared" si="39"/>
        <v>39178.524159204004</v>
      </c>
      <c r="I127" s="27">
        <f t="shared" si="39"/>
        <v>28379.011570850002</v>
      </c>
      <c r="J127" s="27">
        <f t="shared" si="39"/>
        <v>36111.434365772002</v>
      </c>
      <c r="K127" s="27">
        <f t="shared" si="39"/>
        <v>18447.346771659999</v>
      </c>
      <c r="L127" s="27">
        <f t="shared" si="39"/>
        <v>33890.345197887014</v>
      </c>
      <c r="M127" s="26">
        <f>((L127/K127)-1)*100</f>
        <v>83.713927088699506</v>
      </c>
    </row>
    <row r="128" spans="2:13">
      <c r="B128" s="76" t="s">
        <v>19</v>
      </c>
      <c r="C128" s="27">
        <f t="shared" ref="C128:L128" si="40">C9</f>
        <v>2655.9322999999999</v>
      </c>
      <c r="D128" s="27">
        <f t="shared" si="40"/>
        <v>3120.4478038999996</v>
      </c>
      <c r="E128" s="27">
        <f t="shared" si="40"/>
        <v>2183.53623079</v>
      </c>
      <c r="F128" s="27">
        <f t="shared" si="40"/>
        <v>3201.889743702</v>
      </c>
      <c r="G128" s="27">
        <f t="shared" si="40"/>
        <v>3289.6771840599995</v>
      </c>
      <c r="H128" s="27">
        <f t="shared" si="40"/>
        <v>3415.9960267959996</v>
      </c>
      <c r="I128" s="27">
        <f t="shared" si="40"/>
        <v>2895.3657881499998</v>
      </c>
      <c r="J128" s="27">
        <f t="shared" si="40"/>
        <v>3134.3289102280005</v>
      </c>
      <c r="K128" s="27">
        <f t="shared" si="40"/>
        <v>2248.9644183400001</v>
      </c>
      <c r="L128" s="27">
        <f t="shared" si="40"/>
        <v>2007.9914774304448</v>
      </c>
      <c r="M128" s="26">
        <f t="shared" ref="M128:M142" si="41">((L128/K128)-1)*100</f>
        <v>-10.714840081259336</v>
      </c>
    </row>
    <row r="129" spans="2:13">
      <c r="B129" s="76" t="s">
        <v>3</v>
      </c>
      <c r="C129" s="27">
        <f t="shared" ref="C129:L129" si="42">C10</f>
        <v>50549.445000000007</v>
      </c>
      <c r="D129" s="27">
        <f t="shared" si="42"/>
        <v>59242.321647000004</v>
      </c>
      <c r="E129" s="27">
        <f t="shared" si="42"/>
        <v>55005.874867000006</v>
      </c>
      <c r="F129" s="27">
        <f t="shared" si="42"/>
        <v>58595.438798999996</v>
      </c>
      <c r="G129" s="27">
        <f t="shared" si="42"/>
        <v>54210.788118999997</v>
      </c>
      <c r="H129" s="27">
        <f t="shared" si="42"/>
        <v>54781.281335</v>
      </c>
      <c r="I129" s="27">
        <f t="shared" si="42"/>
        <v>54661.803305000009</v>
      </c>
      <c r="J129" s="27">
        <f t="shared" si="42"/>
        <v>56021.682058999999</v>
      </c>
      <c r="K129" s="27">
        <f t="shared" si="42"/>
        <v>55539.351045999996</v>
      </c>
      <c r="L129" s="27">
        <f t="shared" si="42"/>
        <v>53091.458206476185</v>
      </c>
      <c r="M129" s="26">
        <f t="shared" si="41"/>
        <v>-4.4074926937773595</v>
      </c>
    </row>
    <row r="130" spans="2:13">
      <c r="B130" s="76" t="s">
        <v>4</v>
      </c>
      <c r="C130" s="27">
        <f t="shared" ref="C130:L130" si="43">C11</f>
        <v>31622.562000000002</v>
      </c>
      <c r="D130" s="27">
        <f t="shared" si="43"/>
        <v>20599.255834</v>
      </c>
      <c r="E130" s="27">
        <f t="shared" si="43"/>
        <v>40412.479847999995</v>
      </c>
      <c r="F130" s="27">
        <f t="shared" si="43"/>
        <v>51097.323936000001</v>
      </c>
      <c r="G130" s="27">
        <f t="shared" si="43"/>
        <v>37090.897312000001</v>
      </c>
      <c r="H130" s="27">
        <f t="shared" si="43"/>
        <v>41058.278770999998</v>
      </c>
      <c r="I130" s="27">
        <f t="shared" si="43"/>
        <v>50754.794511</v>
      </c>
      <c r="J130" s="27">
        <f t="shared" si="43"/>
        <v>35010.909780000002</v>
      </c>
      <c r="K130" s="27">
        <f t="shared" si="43"/>
        <v>42421.888556000005</v>
      </c>
      <c r="L130" s="27">
        <f t="shared" si="43"/>
        <v>35878.356718632225</v>
      </c>
      <c r="M130" s="26">
        <f t="shared" si="41"/>
        <v>-15.42489516639467</v>
      </c>
    </row>
    <row r="131" spans="2:13">
      <c r="B131" s="76" t="s">
        <v>21</v>
      </c>
      <c r="C131" s="27">
        <f t="shared" ref="C131:L131" si="44">C12</f>
        <v>1789.5900000000001</v>
      </c>
      <c r="D131" s="27">
        <f t="shared" si="44"/>
        <v>1566.0229999999999</v>
      </c>
      <c r="E131" s="27">
        <f t="shared" si="44"/>
        <v>-10.012343000000001</v>
      </c>
      <c r="F131" s="27">
        <f t="shared" si="44"/>
        <v>-3.8126409999999997</v>
      </c>
      <c r="G131" s="27">
        <f t="shared" si="44"/>
        <v>-2.012715</v>
      </c>
      <c r="H131" s="27">
        <f t="shared" si="44"/>
        <v>-0.81973099999999999</v>
      </c>
      <c r="I131" s="27">
        <f t="shared" si="44"/>
        <v>1.6618000000000001E-2</v>
      </c>
      <c r="J131" s="27">
        <f t="shared" si="44"/>
        <v>2.3499999999999999E-4</v>
      </c>
      <c r="K131" s="27">
        <f t="shared" si="44"/>
        <v>-9.9999999999999995E-7</v>
      </c>
      <c r="L131" s="27">
        <f t="shared" si="44"/>
        <v>-9.9999999999999995E-7</v>
      </c>
      <c r="M131" s="26">
        <f t="shared" si="41"/>
        <v>0</v>
      </c>
    </row>
    <row r="132" spans="2:13">
      <c r="B132" s="76" t="s">
        <v>22</v>
      </c>
      <c r="C132" s="27">
        <f t="shared" ref="C132:L132" si="45">C13</f>
        <v>76379.284</v>
      </c>
      <c r="D132" s="27">
        <f t="shared" si="45"/>
        <v>62954.940244999991</v>
      </c>
      <c r="E132" s="27">
        <f t="shared" si="45"/>
        <v>49193.213946000011</v>
      </c>
      <c r="F132" s="27">
        <f t="shared" si="45"/>
        <v>37316.789670999999</v>
      </c>
      <c r="G132" s="27">
        <f t="shared" si="45"/>
        <v>24126.557304999998</v>
      </c>
      <c r="H132" s="27">
        <f t="shared" si="45"/>
        <v>21120.508624999999</v>
      </c>
      <c r="I132" s="27">
        <f t="shared" si="45"/>
        <v>25034.545559999999</v>
      </c>
      <c r="J132" s="27">
        <f t="shared" si="45"/>
        <v>25463.066257999999</v>
      </c>
      <c r="K132" s="27">
        <f t="shared" si="45"/>
        <v>33647.980778999998</v>
      </c>
      <c r="L132" s="27">
        <f t="shared" si="45"/>
        <v>26834.634476746742</v>
      </c>
      <c r="M132" s="26">
        <f t="shared" si="41"/>
        <v>-20.24890095784151</v>
      </c>
    </row>
    <row r="133" spans="2:13">
      <c r="B133" s="76" t="s">
        <v>6</v>
      </c>
      <c r="C133" s="27">
        <f t="shared" ref="C133:L133" si="46">C14</f>
        <v>37888.576999999997</v>
      </c>
      <c r="D133" s="27">
        <f t="shared" si="46"/>
        <v>43208.396000000001</v>
      </c>
      <c r="E133" s="27">
        <f t="shared" si="46"/>
        <v>42115.787093000006</v>
      </c>
      <c r="F133" s="27">
        <f t="shared" si="46"/>
        <v>48156.257946999998</v>
      </c>
      <c r="G133" s="27">
        <f t="shared" si="46"/>
        <v>54344.500782000003</v>
      </c>
      <c r="H133" s="27">
        <f t="shared" si="46"/>
        <v>50636.662464000008</v>
      </c>
      <c r="I133" s="27">
        <f t="shared" si="46"/>
        <v>47715.882144999996</v>
      </c>
      <c r="J133" s="27">
        <f t="shared" si="46"/>
        <v>47298.163668000001</v>
      </c>
      <c r="K133" s="27">
        <f t="shared" si="46"/>
        <v>47508.105951999998</v>
      </c>
      <c r="L133" s="27">
        <f t="shared" si="46"/>
        <v>49112.092209999995</v>
      </c>
      <c r="M133" s="26">
        <f t="shared" si="41"/>
        <v>3.3762370144172715</v>
      </c>
    </row>
    <row r="134" spans="2:13">
      <c r="B134" s="76" t="s">
        <v>7</v>
      </c>
      <c r="C134" s="27">
        <f t="shared" ref="C134:L134" si="47">C15</f>
        <v>5829.0049999999992</v>
      </c>
      <c r="D134" s="27">
        <f t="shared" si="47"/>
        <v>6139.7820000000002</v>
      </c>
      <c r="E134" s="27">
        <f t="shared" si="47"/>
        <v>7105.8708019999995</v>
      </c>
      <c r="F134" s="27">
        <f t="shared" si="47"/>
        <v>7830.0693760000004</v>
      </c>
      <c r="G134" s="27">
        <f t="shared" si="47"/>
        <v>7918.3761040000009</v>
      </c>
      <c r="H134" s="27">
        <f t="shared" si="47"/>
        <v>7802.7909199999995</v>
      </c>
      <c r="I134" s="27">
        <f t="shared" si="47"/>
        <v>7845.3145369999993</v>
      </c>
      <c r="J134" s="27">
        <f t="shared" si="47"/>
        <v>7579.2182119999998</v>
      </c>
      <c r="K134" s="27">
        <f t="shared" si="47"/>
        <v>8000.7121639999996</v>
      </c>
      <c r="L134" s="27">
        <f t="shared" si="47"/>
        <v>7347.3705527380007</v>
      </c>
      <c r="M134" s="26">
        <f t="shared" si="41"/>
        <v>-8.1660431955266954</v>
      </c>
    </row>
    <row r="135" spans="2:13">
      <c r="B135" s="76" t="s">
        <v>8</v>
      </c>
      <c r="C135" s="27">
        <f t="shared" ref="C135:L135" si="48">C16</f>
        <v>129.82299999999998</v>
      </c>
      <c r="D135" s="27">
        <f t="shared" si="48"/>
        <v>691.62</v>
      </c>
      <c r="E135" s="27">
        <f t="shared" si="48"/>
        <v>1861.6415489999997</v>
      </c>
      <c r="F135" s="27">
        <f t="shared" si="48"/>
        <v>3447.4936120000002</v>
      </c>
      <c r="G135" s="27">
        <f t="shared" si="48"/>
        <v>4441.5275350000002</v>
      </c>
      <c r="H135" s="27">
        <f t="shared" si="48"/>
        <v>4958.9149259999995</v>
      </c>
      <c r="I135" s="27">
        <f t="shared" si="48"/>
        <v>5085.235514</v>
      </c>
      <c r="J135" s="27">
        <f t="shared" si="48"/>
        <v>5071.2017019999994</v>
      </c>
      <c r="K135" s="27">
        <f t="shared" si="48"/>
        <v>5347.9524650000003</v>
      </c>
      <c r="L135" s="27">
        <f t="shared" si="48"/>
        <v>4471.1815512620014</v>
      </c>
      <c r="M135" s="26">
        <f t="shared" si="41"/>
        <v>-16.394515835286107</v>
      </c>
    </row>
    <row r="136" spans="2:13">
      <c r="B136" s="33" t="s">
        <v>23</v>
      </c>
      <c r="C136" s="27">
        <f t="shared" ref="C136:L136" si="49">C17</f>
        <v>3044.2870000000003</v>
      </c>
      <c r="D136" s="27">
        <f t="shared" si="49"/>
        <v>3171.7989999999995</v>
      </c>
      <c r="E136" s="27">
        <f t="shared" si="49"/>
        <v>3705.130529</v>
      </c>
      <c r="F136" s="27">
        <f t="shared" si="49"/>
        <v>3782.4631420000005</v>
      </c>
      <c r="G136" s="27">
        <f t="shared" si="49"/>
        <v>4325.2771579999999</v>
      </c>
      <c r="H136" s="27">
        <f t="shared" si="49"/>
        <v>3805.563474</v>
      </c>
      <c r="I136" s="27">
        <f t="shared" si="49"/>
        <v>3422.5667469999999</v>
      </c>
      <c r="J136" s="27">
        <f t="shared" si="49"/>
        <v>3415.0193380000001</v>
      </c>
      <c r="K136" s="27">
        <f t="shared" si="49"/>
        <v>3599.155882</v>
      </c>
      <c r="L136" s="27">
        <f t="shared" si="49"/>
        <v>3560.9433480000007</v>
      </c>
      <c r="M136" s="26">
        <f t="shared" si="41"/>
        <v>-1.0617082241729747</v>
      </c>
    </row>
    <row r="137" spans="2:13">
      <c r="B137" s="33" t="s">
        <v>9</v>
      </c>
      <c r="C137" s="27">
        <f t="shared" ref="C137:L137" si="50">C18</f>
        <v>28465.934000000001</v>
      </c>
      <c r="D137" s="27">
        <f t="shared" si="50"/>
        <v>30789.052000000003</v>
      </c>
      <c r="E137" s="27">
        <f t="shared" si="50"/>
        <v>30555.110683999999</v>
      </c>
      <c r="F137" s="27">
        <f t="shared" si="50"/>
        <v>32417.788433000005</v>
      </c>
      <c r="G137" s="27">
        <f t="shared" si="50"/>
        <v>30809.943766999997</v>
      </c>
      <c r="H137" s="27">
        <f t="shared" si="50"/>
        <v>24128.021298</v>
      </c>
      <c r="I137" s="27">
        <f t="shared" si="50"/>
        <v>25169.328039000004</v>
      </c>
      <c r="J137" s="27">
        <f t="shared" si="50"/>
        <v>25873.942241999997</v>
      </c>
      <c r="K137" s="27">
        <f t="shared" si="50"/>
        <v>28175.562469</v>
      </c>
      <c r="L137" s="27">
        <f t="shared" si="50"/>
        <v>28665.223921000004</v>
      </c>
      <c r="M137" s="26">
        <f t="shared" si="41"/>
        <v>1.7378941504317735</v>
      </c>
    </row>
    <row r="138" spans="2:13">
      <c r="B138" s="76" t="s">
        <v>10</v>
      </c>
      <c r="C138" s="27" t="str">
        <f t="shared" ref="C138:L138" si="51">C19</f>
        <v>-</v>
      </c>
      <c r="D138" s="27" t="str">
        <f t="shared" si="51"/>
        <v>-</v>
      </c>
      <c r="E138" s="27">
        <f t="shared" si="51"/>
        <v>1160.5408360000004</v>
      </c>
      <c r="F138" s="27">
        <f t="shared" si="51"/>
        <v>1465.4718790000002</v>
      </c>
      <c r="G138" s="27">
        <f t="shared" si="51"/>
        <v>1500.150535</v>
      </c>
      <c r="H138" s="27">
        <f t="shared" si="51"/>
        <v>1833.3435570000001</v>
      </c>
      <c r="I138" s="27">
        <f t="shared" si="51"/>
        <v>2324.7147409999998</v>
      </c>
      <c r="J138" s="27">
        <f t="shared" si="51"/>
        <v>2471.3086454999998</v>
      </c>
      <c r="K138" s="27">
        <f t="shared" si="51"/>
        <v>2459.1288610000001</v>
      </c>
      <c r="L138" s="27">
        <f t="shared" si="51"/>
        <v>2298.0597214999989</v>
      </c>
      <c r="M138" s="26">
        <f t="shared" si="41"/>
        <v>-6.5498454373189237</v>
      </c>
    </row>
    <row r="139" spans="2:13">
      <c r="B139" s="77" t="s">
        <v>11</v>
      </c>
      <c r="C139" s="27" t="str">
        <f t="shared" ref="C139:L139" si="52">C20</f>
        <v>-</v>
      </c>
      <c r="D139" s="27" t="str">
        <f t="shared" si="52"/>
        <v>-</v>
      </c>
      <c r="E139" s="27">
        <f t="shared" si="52"/>
        <v>608.82609999999988</v>
      </c>
      <c r="F139" s="27">
        <f t="shared" si="52"/>
        <v>595.84598200000005</v>
      </c>
      <c r="G139" s="27">
        <f t="shared" si="52"/>
        <v>438.65400899999997</v>
      </c>
      <c r="H139" s="27">
        <f t="shared" si="52"/>
        <v>545.53808600000002</v>
      </c>
      <c r="I139" s="27">
        <f t="shared" si="52"/>
        <v>662.65547500000002</v>
      </c>
      <c r="J139" s="27">
        <f t="shared" si="52"/>
        <v>649.73991049999995</v>
      </c>
      <c r="K139" s="27">
        <f t="shared" si="52"/>
        <v>728.15043299999991</v>
      </c>
      <c r="L139" s="27">
        <f t="shared" si="52"/>
        <v>727.54144450000001</v>
      </c>
      <c r="M139" s="26">
        <f t="shared" si="41"/>
        <v>-8.3634984256053535E-2</v>
      </c>
    </row>
    <row r="140" spans="2:13">
      <c r="B140" s="78" t="s">
        <v>43</v>
      </c>
      <c r="C140" s="79">
        <f t="shared" ref="C140:G140" si="53">SUM(C127,C133:C136,C139)</f>
        <v>73077.667700000005</v>
      </c>
      <c r="D140" s="79">
        <f t="shared" si="53"/>
        <v>95045.371188100005</v>
      </c>
      <c r="E140" s="79">
        <f t="shared" si="53"/>
        <v>85832.919473210015</v>
      </c>
      <c r="F140" s="79">
        <f t="shared" si="53"/>
        <v>84463.927594298002</v>
      </c>
      <c r="G140" s="79">
        <f t="shared" si="53"/>
        <v>108850.74111894</v>
      </c>
      <c r="H140" s="79">
        <f>SUM(H127,H133:H136,H139)</f>
        <v>106927.994029204</v>
      </c>
      <c r="I140" s="79">
        <f t="shared" ref="I140:L140" si="54">SUM(I127,I133:I136,I139)</f>
        <v>93110.66598885</v>
      </c>
      <c r="J140" s="79">
        <f t="shared" si="54"/>
        <v>100124.777196272</v>
      </c>
      <c r="K140" s="79">
        <f t="shared" si="54"/>
        <v>83631.423667659998</v>
      </c>
      <c r="L140" s="79">
        <f t="shared" si="54"/>
        <v>99109.474304387026</v>
      </c>
      <c r="M140" s="80">
        <f>((L140/K140)-1)*100</f>
        <v>18.507458031845438</v>
      </c>
    </row>
    <row r="141" spans="2:13">
      <c r="B141" s="78" t="s">
        <v>44</v>
      </c>
      <c r="C141" s="79">
        <f t="shared" ref="C141:G141" si="55">SUM(C128:C132,C137:C138)</f>
        <v>191462.74730000002</v>
      </c>
      <c r="D141" s="79">
        <f t="shared" si="55"/>
        <v>178272.0405299</v>
      </c>
      <c r="E141" s="79">
        <f t="shared" si="55"/>
        <v>178500.74406878999</v>
      </c>
      <c r="F141" s="79">
        <f t="shared" si="55"/>
        <v>184090.889820702</v>
      </c>
      <c r="G141" s="79">
        <f t="shared" si="55"/>
        <v>151026.00150705999</v>
      </c>
      <c r="H141" s="79">
        <f>SUM(H128:H132,H137:H138)</f>
        <v>146336.609881796</v>
      </c>
      <c r="I141" s="79">
        <f t="shared" ref="I141:L141" si="56">SUM(I128:I132,I137:I138)</f>
        <v>160840.56856215</v>
      </c>
      <c r="J141" s="79">
        <f t="shared" si="56"/>
        <v>147975.23812972798</v>
      </c>
      <c r="K141" s="79">
        <f t="shared" si="56"/>
        <v>164492.87612833999</v>
      </c>
      <c r="L141" s="79">
        <f t="shared" si="56"/>
        <v>148775.72452078559</v>
      </c>
      <c r="M141" s="80">
        <f t="shared" si="41"/>
        <v>-9.5549132445660661</v>
      </c>
    </row>
    <row r="142" spans="2:13">
      <c r="B142" s="78" t="s">
        <v>45</v>
      </c>
      <c r="C142" s="79">
        <f t="shared" ref="C142:G142" si="57">SUM(C140:C141)</f>
        <v>264540.41500000004</v>
      </c>
      <c r="D142" s="79">
        <f t="shared" si="57"/>
        <v>273317.41171800002</v>
      </c>
      <c r="E142" s="79">
        <f t="shared" si="57"/>
        <v>264333.66354199999</v>
      </c>
      <c r="F142" s="79">
        <f t="shared" si="57"/>
        <v>268554.817415</v>
      </c>
      <c r="G142" s="79">
        <f t="shared" si="57"/>
        <v>259876.74262599999</v>
      </c>
      <c r="H142" s="79">
        <f>SUM(H140:H141)</f>
        <v>253264.60391100001</v>
      </c>
      <c r="I142" s="79">
        <f t="shared" ref="I142:L142" si="58">SUM(I140:I141)</f>
        <v>253951.234551</v>
      </c>
      <c r="J142" s="79">
        <f t="shared" si="58"/>
        <v>248100.01532599999</v>
      </c>
      <c r="K142" s="79">
        <f t="shared" si="58"/>
        <v>248124.29979600001</v>
      </c>
      <c r="L142" s="79">
        <f t="shared" si="58"/>
        <v>247885.19882517261</v>
      </c>
      <c r="M142" s="80">
        <f t="shared" si="41"/>
        <v>-9.6363383604092245E-2</v>
      </c>
    </row>
    <row r="144" spans="2:13">
      <c r="B144" s="45" t="s">
        <v>46</v>
      </c>
    </row>
    <row r="145" spans="2:12">
      <c r="B145" s="98"/>
      <c r="C145" s="99">
        <f>C126</f>
        <v>2009</v>
      </c>
      <c r="D145" s="99">
        <f t="shared" ref="D145:L145" si="59">D126</f>
        <v>2010</v>
      </c>
      <c r="E145" s="99">
        <f t="shared" si="59"/>
        <v>2011</v>
      </c>
      <c r="F145" s="99">
        <f t="shared" si="59"/>
        <v>2012</v>
      </c>
      <c r="G145" s="99">
        <f t="shared" si="59"/>
        <v>2013</v>
      </c>
      <c r="H145" s="99">
        <f t="shared" si="59"/>
        <v>2014</v>
      </c>
      <c r="I145" s="99">
        <f t="shared" si="59"/>
        <v>2015</v>
      </c>
      <c r="J145" s="99">
        <f t="shared" si="59"/>
        <v>2016</v>
      </c>
      <c r="K145" s="99">
        <f t="shared" si="59"/>
        <v>2017</v>
      </c>
      <c r="L145" s="99">
        <f t="shared" si="59"/>
        <v>2018</v>
      </c>
    </row>
    <row r="146" spans="2:12">
      <c r="B146" s="76" t="s">
        <v>2</v>
      </c>
      <c r="C146" s="26">
        <f t="shared" ref="C146:C155" si="60">ROUND((C127/$C$142*100),1)</f>
        <v>9.9</v>
      </c>
      <c r="D146" s="26">
        <f>ROUND((D127/$D$142*100),1)</f>
        <v>15.3</v>
      </c>
      <c r="E146" s="26">
        <f>ROUND((E127/$E$142*100),1)</f>
        <v>11.5</v>
      </c>
      <c r="F146" s="26">
        <f>ROUND((F127/$F$142*100),1)</f>
        <v>7.7</v>
      </c>
      <c r="G146" s="26">
        <f>ROUND((G127/$G$142*100),1)</f>
        <v>14.4</v>
      </c>
      <c r="H146" s="26">
        <f t="shared" ref="H146:H155" si="61">ROUND((H127/$H$142*100),1)</f>
        <v>15.5</v>
      </c>
      <c r="I146" s="26">
        <f t="shared" ref="I146:I155" si="62">ROUND((I127/$I$142*100),1)</f>
        <v>11.2</v>
      </c>
      <c r="J146" s="26">
        <f t="shared" ref="J146:J155" si="63">ROUND((J127/$J$142*100),1)</f>
        <v>14.6</v>
      </c>
      <c r="K146" s="26">
        <f t="shared" ref="K146:K155" si="64">ROUND((K127/$K$142*100),1)</f>
        <v>7.4</v>
      </c>
      <c r="L146" s="26">
        <f t="shared" ref="L146:L155" si="65">ROUND((L127/$L$142*100),1)</f>
        <v>13.7</v>
      </c>
    </row>
    <row r="147" spans="2:12">
      <c r="B147" s="76" t="s">
        <v>19</v>
      </c>
      <c r="C147" s="26">
        <f t="shared" si="60"/>
        <v>1</v>
      </c>
      <c r="D147" s="26">
        <f t="shared" ref="D147:D155" si="66">ROUND((D128/$D$142*100),1)</f>
        <v>1.1000000000000001</v>
      </c>
      <c r="E147" s="26">
        <f t="shared" ref="E147:E158" si="67">ROUND((E128/$E$142*100),1)</f>
        <v>0.8</v>
      </c>
      <c r="F147" s="26">
        <f t="shared" ref="F147:F158" si="68">ROUND((F128/$F$142*100),1)</f>
        <v>1.2</v>
      </c>
      <c r="G147" s="26">
        <f t="shared" ref="G147:G158" si="69">ROUND((G128/$G$142*100),1)</f>
        <v>1.3</v>
      </c>
      <c r="H147" s="26">
        <f t="shared" si="61"/>
        <v>1.3</v>
      </c>
      <c r="I147" s="26">
        <f t="shared" si="62"/>
        <v>1.1000000000000001</v>
      </c>
      <c r="J147" s="26">
        <f t="shared" si="63"/>
        <v>1.3</v>
      </c>
      <c r="K147" s="26">
        <f t="shared" si="64"/>
        <v>0.9</v>
      </c>
      <c r="L147" s="26">
        <f t="shared" si="65"/>
        <v>0.8</v>
      </c>
    </row>
    <row r="148" spans="2:12">
      <c r="B148" s="76" t="s">
        <v>3</v>
      </c>
      <c r="C148" s="26">
        <f t="shared" si="60"/>
        <v>19.100000000000001</v>
      </c>
      <c r="D148" s="26">
        <f t="shared" si="66"/>
        <v>21.7</v>
      </c>
      <c r="E148" s="26">
        <f t="shared" si="67"/>
        <v>20.8</v>
      </c>
      <c r="F148" s="26">
        <f t="shared" si="68"/>
        <v>21.8</v>
      </c>
      <c r="G148" s="26">
        <f t="shared" si="69"/>
        <v>20.9</v>
      </c>
      <c r="H148" s="26">
        <f t="shared" si="61"/>
        <v>21.6</v>
      </c>
      <c r="I148" s="26">
        <f t="shared" si="62"/>
        <v>21.5</v>
      </c>
      <c r="J148" s="26">
        <f t="shared" si="63"/>
        <v>22.6</v>
      </c>
      <c r="K148" s="26">
        <f t="shared" si="64"/>
        <v>22.4</v>
      </c>
      <c r="L148" s="26">
        <f t="shared" si="65"/>
        <v>21.4</v>
      </c>
    </row>
    <row r="149" spans="2:12">
      <c r="B149" s="76" t="s">
        <v>4</v>
      </c>
      <c r="C149" s="26">
        <f t="shared" si="60"/>
        <v>12</v>
      </c>
      <c r="D149" s="26">
        <f t="shared" si="66"/>
        <v>7.5</v>
      </c>
      <c r="E149" s="26">
        <f t="shared" si="67"/>
        <v>15.3</v>
      </c>
      <c r="F149" s="26">
        <f t="shared" si="68"/>
        <v>19</v>
      </c>
      <c r="G149" s="26">
        <f t="shared" si="69"/>
        <v>14.3</v>
      </c>
      <c r="H149" s="26">
        <f t="shared" si="61"/>
        <v>16.2</v>
      </c>
      <c r="I149" s="26">
        <f t="shared" si="62"/>
        <v>20</v>
      </c>
      <c r="J149" s="26">
        <f t="shared" si="63"/>
        <v>14.1</v>
      </c>
      <c r="K149" s="26">
        <f t="shared" si="64"/>
        <v>17.100000000000001</v>
      </c>
      <c r="L149" s="26">
        <f t="shared" si="65"/>
        <v>14.5</v>
      </c>
    </row>
    <row r="150" spans="2:12">
      <c r="B150" s="76" t="s">
        <v>21</v>
      </c>
      <c r="C150" s="26">
        <f t="shared" si="60"/>
        <v>0.7</v>
      </c>
      <c r="D150" s="26">
        <f t="shared" si="66"/>
        <v>0.6</v>
      </c>
      <c r="E150" s="26">
        <f t="shared" si="67"/>
        <v>0</v>
      </c>
      <c r="F150" s="26">
        <f t="shared" si="68"/>
        <v>0</v>
      </c>
      <c r="G150" s="26">
        <f t="shared" si="69"/>
        <v>0</v>
      </c>
      <c r="H150" s="26">
        <f t="shared" si="61"/>
        <v>0</v>
      </c>
      <c r="I150" s="26">
        <f t="shared" si="62"/>
        <v>0</v>
      </c>
      <c r="J150" s="26">
        <f t="shared" si="63"/>
        <v>0</v>
      </c>
      <c r="K150" s="26">
        <f t="shared" si="64"/>
        <v>0</v>
      </c>
      <c r="L150" s="26">
        <f t="shared" si="65"/>
        <v>0</v>
      </c>
    </row>
    <row r="151" spans="2:12">
      <c r="B151" s="76" t="s">
        <v>22</v>
      </c>
      <c r="C151" s="26">
        <f t="shared" si="60"/>
        <v>28.9</v>
      </c>
      <c r="D151" s="26">
        <f t="shared" si="66"/>
        <v>23</v>
      </c>
      <c r="E151" s="26">
        <f t="shared" si="67"/>
        <v>18.600000000000001</v>
      </c>
      <c r="F151" s="26">
        <f t="shared" si="68"/>
        <v>13.9</v>
      </c>
      <c r="G151" s="26">
        <f t="shared" si="69"/>
        <v>9.3000000000000007</v>
      </c>
      <c r="H151" s="26">
        <f t="shared" si="61"/>
        <v>8.3000000000000007</v>
      </c>
      <c r="I151" s="26">
        <f t="shared" si="62"/>
        <v>9.9</v>
      </c>
      <c r="J151" s="26">
        <f t="shared" si="63"/>
        <v>10.3</v>
      </c>
      <c r="K151" s="26">
        <f t="shared" si="64"/>
        <v>13.6</v>
      </c>
      <c r="L151" s="26">
        <f t="shared" si="65"/>
        <v>10.8</v>
      </c>
    </row>
    <row r="152" spans="2:12">
      <c r="B152" s="76" t="s">
        <v>6</v>
      </c>
      <c r="C152" s="26">
        <f t="shared" si="60"/>
        <v>14.3</v>
      </c>
      <c r="D152" s="26">
        <f t="shared" si="66"/>
        <v>15.8</v>
      </c>
      <c r="E152" s="26">
        <f t="shared" si="67"/>
        <v>15.9</v>
      </c>
      <c r="F152" s="26">
        <f t="shared" si="68"/>
        <v>17.899999999999999</v>
      </c>
      <c r="G152" s="26">
        <f t="shared" si="69"/>
        <v>20.9</v>
      </c>
      <c r="H152" s="26">
        <f t="shared" si="61"/>
        <v>20</v>
      </c>
      <c r="I152" s="26">
        <f t="shared" si="62"/>
        <v>18.8</v>
      </c>
      <c r="J152" s="26">
        <f t="shared" si="63"/>
        <v>19.100000000000001</v>
      </c>
      <c r="K152" s="26">
        <f t="shared" si="64"/>
        <v>19.100000000000001</v>
      </c>
      <c r="L152" s="26">
        <f t="shared" si="65"/>
        <v>19.8</v>
      </c>
    </row>
    <row r="153" spans="2:12">
      <c r="B153" s="76" t="s">
        <v>7</v>
      </c>
      <c r="C153" s="26">
        <f t="shared" si="60"/>
        <v>2.2000000000000002</v>
      </c>
      <c r="D153" s="26">
        <f t="shared" si="66"/>
        <v>2.2000000000000002</v>
      </c>
      <c r="E153" s="26">
        <f t="shared" si="67"/>
        <v>2.7</v>
      </c>
      <c r="F153" s="26">
        <f t="shared" si="68"/>
        <v>2.9</v>
      </c>
      <c r="G153" s="26">
        <f t="shared" si="69"/>
        <v>3</v>
      </c>
      <c r="H153" s="26">
        <f t="shared" si="61"/>
        <v>3.1</v>
      </c>
      <c r="I153" s="26">
        <f t="shared" si="62"/>
        <v>3.1</v>
      </c>
      <c r="J153" s="26">
        <f t="shared" si="63"/>
        <v>3.1</v>
      </c>
      <c r="K153" s="26">
        <f t="shared" si="64"/>
        <v>3.2</v>
      </c>
      <c r="L153" s="26">
        <f t="shared" si="65"/>
        <v>3</v>
      </c>
    </row>
    <row r="154" spans="2:12">
      <c r="B154" s="76" t="s">
        <v>8</v>
      </c>
      <c r="C154" s="26">
        <f t="shared" si="60"/>
        <v>0</v>
      </c>
      <c r="D154" s="26">
        <f t="shared" si="66"/>
        <v>0.3</v>
      </c>
      <c r="E154" s="26">
        <f t="shared" si="67"/>
        <v>0.7</v>
      </c>
      <c r="F154" s="26">
        <f t="shared" si="68"/>
        <v>1.3</v>
      </c>
      <c r="G154" s="26">
        <f t="shared" si="69"/>
        <v>1.7</v>
      </c>
      <c r="H154" s="26">
        <f t="shared" si="61"/>
        <v>2</v>
      </c>
      <c r="I154" s="26">
        <f t="shared" si="62"/>
        <v>2</v>
      </c>
      <c r="J154" s="26">
        <f t="shared" si="63"/>
        <v>2</v>
      </c>
      <c r="K154" s="26">
        <f t="shared" si="64"/>
        <v>2.2000000000000002</v>
      </c>
      <c r="L154" s="26">
        <f t="shared" si="65"/>
        <v>1.8</v>
      </c>
    </row>
    <row r="155" spans="2:12">
      <c r="B155" s="33" t="s">
        <v>23</v>
      </c>
      <c r="C155" s="26">
        <f t="shared" si="60"/>
        <v>1.2</v>
      </c>
      <c r="D155" s="26">
        <f t="shared" si="66"/>
        <v>1.2</v>
      </c>
      <c r="E155" s="26">
        <f t="shared" si="67"/>
        <v>1.4</v>
      </c>
      <c r="F155" s="26">
        <f t="shared" si="68"/>
        <v>1.4</v>
      </c>
      <c r="G155" s="26">
        <f t="shared" si="69"/>
        <v>1.7</v>
      </c>
      <c r="H155" s="26">
        <f t="shared" si="61"/>
        <v>1.5</v>
      </c>
      <c r="I155" s="26">
        <f t="shared" si="62"/>
        <v>1.3</v>
      </c>
      <c r="J155" s="26">
        <f t="shared" si="63"/>
        <v>1.4</v>
      </c>
      <c r="K155" s="26">
        <f t="shared" si="64"/>
        <v>1.5</v>
      </c>
      <c r="L155" s="26">
        <f t="shared" si="65"/>
        <v>1.4</v>
      </c>
    </row>
    <row r="156" spans="2:12">
      <c r="B156" s="33" t="s">
        <v>9</v>
      </c>
      <c r="C156" s="26">
        <f t="shared" ref="C156:G156" si="70">100-SUM(C146:C155,C157:C158)</f>
        <v>10.700000000000003</v>
      </c>
      <c r="D156" s="26">
        <f t="shared" si="70"/>
        <v>11.299999999999997</v>
      </c>
      <c r="E156" s="26">
        <f t="shared" si="70"/>
        <v>11.699999999999974</v>
      </c>
      <c r="F156" s="26">
        <f t="shared" si="70"/>
        <v>12.199999999999989</v>
      </c>
      <c r="G156" s="26">
        <f t="shared" si="70"/>
        <v>11.700000000000003</v>
      </c>
      <c r="H156" s="26">
        <f>100-SUM(H146:H155,H157:H158)</f>
        <v>9.5999999999999943</v>
      </c>
      <c r="I156" s="26">
        <f>100-SUM(I146:I155,I157:I158)</f>
        <v>9.9000000000000057</v>
      </c>
      <c r="J156" s="26">
        <f>100-SUM(J146:J155,J157:J158)</f>
        <v>10.200000000000003</v>
      </c>
      <c r="K156" s="26">
        <f>100-SUM(K146:K155,K157:K158)</f>
        <v>11.299999999999997</v>
      </c>
      <c r="L156" s="26">
        <f>100-SUM(L146:L155,L157:L158)</f>
        <v>11.599999999999994</v>
      </c>
    </row>
    <row r="157" spans="2:12">
      <c r="B157" s="76" t="s">
        <v>10</v>
      </c>
      <c r="C157" s="26" t="str">
        <f>IF(C138="-","-",ROUND((C138/$C$142*100),1))</f>
        <v>-</v>
      </c>
      <c r="D157" s="26" t="str">
        <f>IF(D138="-","-",ROUND((D138/$C$142*100),1))</f>
        <v>-</v>
      </c>
      <c r="E157" s="26">
        <f t="shared" si="67"/>
        <v>0.4</v>
      </c>
      <c r="F157" s="26">
        <f t="shared" si="68"/>
        <v>0.5</v>
      </c>
      <c r="G157" s="26">
        <f t="shared" si="69"/>
        <v>0.6</v>
      </c>
      <c r="H157" s="26">
        <f>ROUND((H138/$H$142*100),1)</f>
        <v>0.7</v>
      </c>
      <c r="I157" s="26">
        <f>ROUND((I138/$I$142*100),1)</f>
        <v>0.9</v>
      </c>
      <c r="J157" s="26">
        <f>ROUND((J138/$J$142*100),1)</f>
        <v>1</v>
      </c>
      <c r="K157" s="26">
        <f>ROUND((K138/$K$142*100),1)</f>
        <v>1</v>
      </c>
      <c r="L157" s="26">
        <f>ROUND((L138/$L$142*100),1)</f>
        <v>0.9</v>
      </c>
    </row>
    <row r="158" spans="2:12">
      <c r="B158" s="77" t="s">
        <v>11</v>
      </c>
      <c r="C158" s="26" t="str">
        <f>IF(C139="-","-",ROUND((C139/$C$142*100),1))</f>
        <v>-</v>
      </c>
      <c r="D158" s="26" t="str">
        <f>IF(D139="-","-",ROUND((D139/$C$142*100),1))</f>
        <v>-</v>
      </c>
      <c r="E158" s="26">
        <f t="shared" si="67"/>
        <v>0.2</v>
      </c>
      <c r="F158" s="26">
        <f t="shared" si="68"/>
        <v>0.2</v>
      </c>
      <c r="G158" s="26">
        <f t="shared" si="69"/>
        <v>0.2</v>
      </c>
      <c r="H158" s="26">
        <f>ROUND((H139/$H$142*100),1)</f>
        <v>0.2</v>
      </c>
      <c r="I158" s="26">
        <f>ROUND((I139/$I$142*100),1)</f>
        <v>0.3</v>
      </c>
      <c r="J158" s="26">
        <f>ROUND((J139/$J$142*100),1)</f>
        <v>0.3</v>
      </c>
      <c r="K158" s="26">
        <f>ROUND((K139/$K$142*100),1)</f>
        <v>0.3</v>
      </c>
      <c r="L158" s="26">
        <f>ROUND((L139/$L$142*100),1)</f>
        <v>0.3</v>
      </c>
    </row>
    <row r="159" spans="2:12">
      <c r="B159" s="78" t="s">
        <v>43</v>
      </c>
      <c r="C159" s="80">
        <f t="shared" ref="C159:G159" si="71">SUM(C146,C152:C155,C158)</f>
        <v>27.6</v>
      </c>
      <c r="D159" s="80">
        <f t="shared" si="71"/>
        <v>34.800000000000004</v>
      </c>
      <c r="E159" s="80">
        <f t="shared" si="71"/>
        <v>32.4</v>
      </c>
      <c r="F159" s="80">
        <f t="shared" si="71"/>
        <v>31.399999999999995</v>
      </c>
      <c r="G159" s="80">
        <f t="shared" si="71"/>
        <v>41.900000000000006</v>
      </c>
      <c r="H159" s="80">
        <f>SUM(H146,H152:H155,H158)</f>
        <v>42.300000000000004</v>
      </c>
      <c r="I159" s="80">
        <f t="shared" ref="I159:L159" si="72">SUM(I146,I152:I155,I158)</f>
        <v>36.699999999999996</v>
      </c>
      <c r="J159" s="80">
        <f t="shared" si="72"/>
        <v>40.5</v>
      </c>
      <c r="K159" s="80">
        <f t="shared" si="72"/>
        <v>33.699999999999996</v>
      </c>
      <c r="L159" s="80">
        <f t="shared" si="72"/>
        <v>39.999999999999993</v>
      </c>
    </row>
    <row r="160" spans="2:12">
      <c r="B160" s="78" t="s">
        <v>44</v>
      </c>
      <c r="C160" s="80">
        <f t="shared" ref="C160:G160" si="73">SUM(C147:C151,C156:C157)</f>
        <v>72.400000000000006</v>
      </c>
      <c r="D160" s="80">
        <f t="shared" si="73"/>
        <v>65.2</v>
      </c>
      <c r="E160" s="80">
        <f t="shared" si="73"/>
        <v>67.599999999999994</v>
      </c>
      <c r="F160" s="80">
        <f t="shared" si="73"/>
        <v>68.599999999999994</v>
      </c>
      <c r="G160" s="80">
        <f t="shared" si="73"/>
        <v>58.1</v>
      </c>
      <c r="H160" s="80">
        <f>SUM(H147:H151,H156:H157)</f>
        <v>57.7</v>
      </c>
      <c r="I160" s="80">
        <f t="shared" ref="I160:L160" si="74">SUM(I147:I151,I156:I157)</f>
        <v>63.300000000000004</v>
      </c>
      <c r="J160" s="80">
        <f t="shared" si="74"/>
        <v>59.5</v>
      </c>
      <c r="K160" s="80">
        <f t="shared" si="74"/>
        <v>66.3</v>
      </c>
      <c r="L160" s="80">
        <f t="shared" si="74"/>
        <v>59.999999999999993</v>
      </c>
    </row>
    <row r="161" spans="1:14">
      <c r="B161" s="78" t="s">
        <v>45</v>
      </c>
      <c r="C161" s="80">
        <f t="shared" ref="C161:G161" si="75">SUM(C159:C160)</f>
        <v>100</v>
      </c>
      <c r="D161" s="80">
        <f t="shared" si="75"/>
        <v>100</v>
      </c>
      <c r="E161" s="80">
        <f t="shared" si="75"/>
        <v>100</v>
      </c>
      <c r="F161" s="80">
        <f t="shared" si="75"/>
        <v>99.999999999999986</v>
      </c>
      <c r="G161" s="80">
        <f t="shared" si="75"/>
        <v>100</v>
      </c>
      <c r="H161" s="80">
        <f>SUM(H159:H160)</f>
        <v>100</v>
      </c>
      <c r="I161" s="80">
        <f t="shared" ref="I161:L161" si="76">SUM(I159:I160)</f>
        <v>100</v>
      </c>
      <c r="J161" s="80">
        <f t="shared" si="76"/>
        <v>100</v>
      </c>
      <c r="K161" s="80">
        <f t="shared" si="76"/>
        <v>100</v>
      </c>
      <c r="L161" s="80">
        <f t="shared" si="76"/>
        <v>99.999999999999986</v>
      </c>
    </row>
    <row r="162" spans="1:14">
      <c r="B162" s="81" t="s">
        <v>47</v>
      </c>
    </row>
    <row r="163" spans="1:14">
      <c r="B163" s="81" t="s">
        <v>48</v>
      </c>
    </row>
    <row r="164" spans="1:14">
      <c r="B164" s="81"/>
    </row>
    <row r="165" spans="1:14">
      <c r="B165" s="45" t="s">
        <v>46</v>
      </c>
    </row>
    <row r="166" spans="1:14">
      <c r="B166" s="98"/>
      <c r="C166" s="99">
        <f>C145</f>
        <v>2009</v>
      </c>
      <c r="D166" s="99">
        <f t="shared" ref="D166:L166" si="77">D145</f>
        <v>2010</v>
      </c>
      <c r="E166" s="99">
        <f t="shared" si="77"/>
        <v>2011</v>
      </c>
      <c r="F166" s="99">
        <f t="shared" si="77"/>
        <v>2012</v>
      </c>
      <c r="G166" s="99">
        <f t="shared" si="77"/>
        <v>2013</v>
      </c>
      <c r="H166" s="99">
        <f t="shared" si="77"/>
        <v>2014</v>
      </c>
      <c r="I166" s="99">
        <f t="shared" si="77"/>
        <v>2015</v>
      </c>
      <c r="J166" s="99">
        <f t="shared" si="77"/>
        <v>2016</v>
      </c>
      <c r="K166" s="99">
        <f t="shared" si="77"/>
        <v>2017</v>
      </c>
      <c r="L166" s="99">
        <f t="shared" si="77"/>
        <v>2018</v>
      </c>
    </row>
    <row r="167" spans="1:14">
      <c r="B167" s="48" t="s">
        <v>49</v>
      </c>
      <c r="C167" s="49">
        <f>SUM(C146:C148,C152:C155,C158)</f>
        <v>47.7</v>
      </c>
      <c r="D167" s="49">
        <f t="shared" ref="D167:G167" si="78">SUM(D146:D148,D152:D155,D158)</f>
        <v>57.600000000000009</v>
      </c>
      <c r="E167" s="49">
        <f t="shared" si="78"/>
        <v>54.000000000000007</v>
      </c>
      <c r="F167" s="49">
        <f t="shared" si="78"/>
        <v>54.4</v>
      </c>
      <c r="G167" s="49">
        <f t="shared" si="78"/>
        <v>64.100000000000009</v>
      </c>
      <c r="H167" s="49">
        <f>SUM(H146:H148,H152:H155,H158)</f>
        <v>65.2</v>
      </c>
      <c r="I167" s="49">
        <f>SUM(I146:I148,I152:I155,I158)</f>
        <v>59.29999999999999</v>
      </c>
      <c r="J167" s="49">
        <f>SUM(J146:J148,J152:J155,J158)</f>
        <v>64.400000000000006</v>
      </c>
      <c r="K167" s="49">
        <f>SUM(K146:K148,K152:K155,K158)</f>
        <v>57</v>
      </c>
      <c r="L167" s="49">
        <f>SUM(L146:L148,L152:L155,L158)</f>
        <v>62.199999999999996</v>
      </c>
    </row>
    <row r="168" spans="1:14">
      <c r="B168" s="83" t="s">
        <v>50</v>
      </c>
      <c r="C168" s="84">
        <f t="shared" ref="C168:G168" si="79">SUM(C149:C151,C156:C157)</f>
        <v>52.3</v>
      </c>
      <c r="D168" s="84">
        <f t="shared" si="79"/>
        <v>42.4</v>
      </c>
      <c r="E168" s="84">
        <f t="shared" si="79"/>
        <v>45.999999999999979</v>
      </c>
      <c r="F168" s="84">
        <f t="shared" si="79"/>
        <v>45.599999999999987</v>
      </c>
      <c r="G168" s="84">
        <f t="shared" si="79"/>
        <v>35.900000000000006</v>
      </c>
      <c r="H168" s="84">
        <f>SUM(H149:H151,H156:H157)</f>
        <v>34.799999999999997</v>
      </c>
      <c r="I168" s="84">
        <f>SUM(I149:I151,I156:I157)</f>
        <v>40.700000000000003</v>
      </c>
      <c r="J168" s="84">
        <f>SUM(J149:J151,J156:J157)</f>
        <v>35.6</v>
      </c>
      <c r="K168" s="84">
        <f>SUM(K149:K151,K156:K157)</f>
        <v>43</v>
      </c>
      <c r="L168" s="84">
        <f>SUM(L149:L151,L156:L157)</f>
        <v>37.79999999999999</v>
      </c>
    </row>
    <row r="169" spans="1:14">
      <c r="B169" s="81"/>
    </row>
    <row r="170" spans="1:14">
      <c r="A170" s="127"/>
      <c r="B170" s="45" t="s">
        <v>58</v>
      </c>
      <c r="C170" s="128"/>
      <c r="D170" s="129"/>
      <c r="E170" s="129"/>
      <c r="F170" s="129"/>
      <c r="G170" s="129"/>
      <c r="H170" s="129"/>
      <c r="I170" s="129"/>
      <c r="J170" s="129"/>
      <c r="K170" s="129"/>
      <c r="L170" s="129"/>
    </row>
    <row r="171" spans="1:14">
      <c r="A171" s="127"/>
      <c r="B171" s="98"/>
      <c r="C171" s="99">
        <v>2009</v>
      </c>
      <c r="D171" s="99">
        <v>2010</v>
      </c>
      <c r="E171" s="99">
        <v>2011</v>
      </c>
      <c r="F171" s="99">
        <v>2012</v>
      </c>
      <c r="G171" s="99">
        <v>2013</v>
      </c>
      <c r="H171" s="99">
        <v>2014</v>
      </c>
      <c r="I171" s="99">
        <v>2015</v>
      </c>
      <c r="J171" s="99">
        <v>2016</v>
      </c>
      <c r="K171" s="99">
        <v>2017</v>
      </c>
      <c r="L171" s="99">
        <v>2018</v>
      </c>
      <c r="M171" s="99" t="s">
        <v>52</v>
      </c>
    </row>
    <row r="172" spans="1:14">
      <c r="A172" s="127"/>
      <c r="B172" s="76" t="s">
        <v>2</v>
      </c>
      <c r="C172" s="27">
        <v>16655.816650000001</v>
      </c>
      <c r="D172" s="27">
        <v>16686.268980000001</v>
      </c>
      <c r="E172" s="27">
        <v>16703.63078</v>
      </c>
      <c r="F172" s="27">
        <v>16926.57878</v>
      </c>
      <c r="G172" s="27">
        <v>16984.611779999999</v>
      </c>
      <c r="H172" s="27">
        <v>16990.841779999999</v>
      </c>
      <c r="I172" s="27">
        <v>17028.886629999997</v>
      </c>
      <c r="J172" s="27">
        <v>17032.561629999997</v>
      </c>
      <c r="K172" s="27">
        <v>17029.799630000001</v>
      </c>
      <c r="L172" s="27">
        <v>17048.483629999999</v>
      </c>
      <c r="M172" s="26">
        <f>((L172/K172)-1)*100</f>
        <v>0.10971356331805904</v>
      </c>
      <c r="N172" s="150"/>
    </row>
    <row r="173" spans="1:14">
      <c r="A173" s="127"/>
      <c r="B173" s="33" t="s">
        <v>59</v>
      </c>
      <c r="C173" s="27">
        <v>2450.9399999999996</v>
      </c>
      <c r="D173" s="27">
        <v>2450.9399999999996</v>
      </c>
      <c r="E173" s="27">
        <v>2450.9399999999996</v>
      </c>
      <c r="F173" s="27">
        <v>2450.9399999999996</v>
      </c>
      <c r="G173" s="27">
        <v>2450.9399999999996</v>
      </c>
      <c r="H173" s="27">
        <v>2450.9399999999996</v>
      </c>
      <c r="I173" s="27">
        <v>3328.89</v>
      </c>
      <c r="J173" s="27">
        <v>3328.89</v>
      </c>
      <c r="K173" s="27">
        <v>3328.89</v>
      </c>
      <c r="L173" s="27">
        <v>3328.89</v>
      </c>
      <c r="M173" s="26">
        <f t="shared" ref="M173:M185" si="80">((L173/K173)-1)*100</f>
        <v>0</v>
      </c>
      <c r="N173" s="150"/>
    </row>
    <row r="174" spans="1:14">
      <c r="A174" s="127"/>
      <c r="B174" s="76" t="s">
        <v>3</v>
      </c>
      <c r="C174" s="27">
        <v>7455.58</v>
      </c>
      <c r="D174" s="27">
        <v>7515.3700000000008</v>
      </c>
      <c r="E174" s="27">
        <v>7572.58</v>
      </c>
      <c r="F174" s="27">
        <v>7572.58</v>
      </c>
      <c r="G174" s="27">
        <v>7572.58</v>
      </c>
      <c r="H174" s="27">
        <v>7572.58</v>
      </c>
      <c r="I174" s="27">
        <v>7572.58</v>
      </c>
      <c r="J174" s="27">
        <v>7572.58</v>
      </c>
      <c r="K174" s="27">
        <v>7117.29</v>
      </c>
      <c r="L174" s="27">
        <v>7117.29</v>
      </c>
      <c r="M174" s="26">
        <f t="shared" si="80"/>
        <v>0</v>
      </c>
      <c r="N174" s="150"/>
    </row>
    <row r="175" spans="1:14">
      <c r="A175" s="127"/>
      <c r="B175" s="76" t="s">
        <v>4</v>
      </c>
      <c r="C175" s="27">
        <v>10856.400000000001</v>
      </c>
      <c r="D175" s="27">
        <v>10873.95</v>
      </c>
      <c r="E175" s="27">
        <v>11103.390000000001</v>
      </c>
      <c r="F175" s="27">
        <v>10595.47</v>
      </c>
      <c r="G175" s="27">
        <v>10610.37</v>
      </c>
      <c r="H175" s="27">
        <v>10468.02</v>
      </c>
      <c r="I175" s="27">
        <v>10468.02</v>
      </c>
      <c r="J175" s="27">
        <v>9535.8700000000008</v>
      </c>
      <c r="K175" s="27">
        <v>9535.869999999999</v>
      </c>
      <c r="L175" s="27">
        <v>9561.8850000000002</v>
      </c>
      <c r="M175" s="26">
        <f t="shared" si="80"/>
        <v>0.27281202449278563</v>
      </c>
      <c r="N175" s="150"/>
    </row>
    <row r="176" spans="1:14">
      <c r="A176" s="127"/>
      <c r="B176" s="76" t="s">
        <v>21</v>
      </c>
      <c r="C176" s="27">
        <v>2826.07</v>
      </c>
      <c r="D176" s="27">
        <v>2144.79</v>
      </c>
      <c r="E176" s="27">
        <v>806.52</v>
      </c>
      <c r="F176" s="27">
        <v>505.52</v>
      </c>
      <c r="G176" s="27">
        <v>505.52</v>
      </c>
      <c r="H176" s="27">
        <v>505.52</v>
      </c>
      <c r="I176" s="27">
        <v>0</v>
      </c>
      <c r="J176" s="27">
        <v>0</v>
      </c>
      <c r="K176" s="27">
        <v>0</v>
      </c>
      <c r="L176" s="27">
        <v>0</v>
      </c>
      <c r="M176" s="26" t="s">
        <v>20</v>
      </c>
      <c r="N176" s="150"/>
    </row>
    <row r="177" spans="1:14">
      <c r="A177" s="127"/>
      <c r="B177" s="76" t="s">
        <v>22</v>
      </c>
      <c r="C177" s="27">
        <v>22750.110000000008</v>
      </c>
      <c r="D177" s="27">
        <v>24844.380000000005</v>
      </c>
      <c r="E177" s="27">
        <v>24911.730000000003</v>
      </c>
      <c r="F177" s="27">
        <v>24947.71</v>
      </c>
      <c r="G177" s="27">
        <v>24947.71</v>
      </c>
      <c r="H177" s="27">
        <v>24947.71</v>
      </c>
      <c r="I177" s="27">
        <v>24947.71</v>
      </c>
      <c r="J177" s="27">
        <v>24947.71</v>
      </c>
      <c r="K177" s="27">
        <v>24947.71</v>
      </c>
      <c r="L177" s="27">
        <v>24561.86</v>
      </c>
      <c r="M177" s="26">
        <f t="shared" si="80"/>
        <v>-1.5466349416439318</v>
      </c>
      <c r="N177" s="150"/>
    </row>
    <row r="178" spans="1:14">
      <c r="A178" s="127"/>
      <c r="B178" s="76" t="s">
        <v>6</v>
      </c>
      <c r="C178" s="27">
        <v>18714.441700000003</v>
      </c>
      <c r="D178" s="27">
        <v>19561.053450000003</v>
      </c>
      <c r="E178" s="27">
        <v>21018.087449999999</v>
      </c>
      <c r="F178" s="27">
        <v>22608.70205</v>
      </c>
      <c r="G178" s="27">
        <v>22852.974049999993</v>
      </c>
      <c r="H178" s="27">
        <v>22871.444549999997</v>
      </c>
      <c r="I178" s="27">
        <v>22850.205149999998</v>
      </c>
      <c r="J178" s="27">
        <v>22896.240150000001</v>
      </c>
      <c r="K178" s="27">
        <v>22919.882750000001</v>
      </c>
      <c r="L178" s="27">
        <v>23023.102749999998</v>
      </c>
      <c r="M178" s="26">
        <f t="shared" si="80"/>
        <v>0.45035134396573806</v>
      </c>
      <c r="N178" s="150"/>
    </row>
    <row r="179" spans="1:14">
      <c r="A179" s="127"/>
      <c r="B179" s="76" t="s">
        <v>7</v>
      </c>
      <c r="C179" s="27">
        <v>3243.2076300001027</v>
      </c>
      <c r="D179" s="27">
        <v>3645.2139100000977</v>
      </c>
      <c r="E179" s="27">
        <v>4032.0594600000986</v>
      </c>
      <c r="F179" s="27">
        <v>4293.5912300000982</v>
      </c>
      <c r="G179" s="27">
        <v>4396.5001700001485</v>
      </c>
      <c r="H179" s="27">
        <v>4402.664610000149</v>
      </c>
      <c r="I179" s="27">
        <v>4435.0021140001354</v>
      </c>
      <c r="J179" s="27">
        <v>4438.8531340001355</v>
      </c>
      <c r="K179" s="27">
        <v>4440.6252230001273</v>
      </c>
      <c r="L179" s="27">
        <v>4458.8273830001281</v>
      </c>
      <c r="M179" s="26">
        <f t="shared" si="80"/>
        <v>0.40990083796585974</v>
      </c>
      <c r="N179" s="150"/>
    </row>
    <row r="180" spans="1:14">
      <c r="A180" s="127"/>
      <c r="B180" s="76" t="s">
        <v>8</v>
      </c>
      <c r="C180" s="27">
        <v>232.22</v>
      </c>
      <c r="D180" s="27">
        <v>531.91999999999996</v>
      </c>
      <c r="E180" s="27">
        <v>998.52</v>
      </c>
      <c r="F180" s="27">
        <v>1949.92</v>
      </c>
      <c r="G180" s="27">
        <v>2299.4275000000002</v>
      </c>
      <c r="H180" s="27">
        <v>2299.4275000000002</v>
      </c>
      <c r="I180" s="27">
        <v>2304.1129999999998</v>
      </c>
      <c r="J180" s="27">
        <v>2304.1129999999998</v>
      </c>
      <c r="K180" s="27">
        <v>2304.1129999999998</v>
      </c>
      <c r="L180" s="27">
        <v>2304.1129999999998</v>
      </c>
      <c r="M180" s="26">
        <f t="shared" si="80"/>
        <v>0</v>
      </c>
      <c r="N180" s="150"/>
    </row>
    <row r="181" spans="1:14">
      <c r="A181" s="127"/>
      <c r="B181" s="33" t="s">
        <v>23</v>
      </c>
      <c r="C181" s="27">
        <v>740.10491000000002</v>
      </c>
      <c r="D181" s="27">
        <v>778.78391000000011</v>
      </c>
      <c r="E181" s="27">
        <v>882.91990999999996</v>
      </c>
      <c r="F181" s="27">
        <v>968.43241</v>
      </c>
      <c r="G181" s="27">
        <v>944.44241000000011</v>
      </c>
      <c r="H181" s="27">
        <v>981.96541000000002</v>
      </c>
      <c r="I181" s="27">
        <v>865.85599999999988</v>
      </c>
      <c r="J181" s="27">
        <v>851.66299999999978</v>
      </c>
      <c r="K181" s="27">
        <v>853.38900000000001</v>
      </c>
      <c r="L181" s="27">
        <v>858.48899999999992</v>
      </c>
      <c r="M181" s="26">
        <f t="shared" si="80"/>
        <v>0.59761726481122324</v>
      </c>
      <c r="N181" s="150"/>
    </row>
    <row r="182" spans="1:14">
      <c r="A182" s="127"/>
      <c r="B182" s="33" t="s">
        <v>9</v>
      </c>
      <c r="C182" s="27">
        <v>6968.1220000000003</v>
      </c>
      <c r="D182" s="27">
        <v>7098.0841999999993</v>
      </c>
      <c r="E182" s="27">
        <v>7179.0716999999986</v>
      </c>
      <c r="F182" s="27">
        <v>7117.1501999999982</v>
      </c>
      <c r="G182" s="27">
        <v>7057.8806999999997</v>
      </c>
      <c r="H182" s="27">
        <v>7047.8021999999992</v>
      </c>
      <c r="I182" s="27">
        <v>6171.7850099999996</v>
      </c>
      <c r="J182" s="27">
        <v>5983.2770099999989</v>
      </c>
      <c r="K182" s="27">
        <v>5810.3980100000008</v>
      </c>
      <c r="L182" s="27">
        <v>5805.8790100000006</v>
      </c>
      <c r="M182" s="26">
        <f t="shared" si="80"/>
        <v>-7.7774362310856215E-2</v>
      </c>
      <c r="N182" s="150"/>
    </row>
    <row r="183" spans="1:14">
      <c r="A183" s="127"/>
      <c r="B183" s="33" t="s">
        <v>60</v>
      </c>
      <c r="C183" s="27" t="s">
        <v>20</v>
      </c>
      <c r="D183" s="27" t="s">
        <v>20</v>
      </c>
      <c r="E183" s="27" t="s">
        <v>20</v>
      </c>
      <c r="F183" s="27" t="s">
        <v>20</v>
      </c>
      <c r="G183" s="27" t="s">
        <v>20</v>
      </c>
      <c r="H183" s="27" t="s">
        <v>20</v>
      </c>
      <c r="I183" s="27">
        <v>469.58749999999998</v>
      </c>
      <c r="J183" s="27">
        <v>458.90549999999996</v>
      </c>
      <c r="K183" s="27">
        <v>458.90549999999996</v>
      </c>
      <c r="L183" s="27">
        <v>458.90549999999996</v>
      </c>
      <c r="M183" s="26">
        <f t="shared" si="80"/>
        <v>0</v>
      </c>
      <c r="N183" s="150"/>
    </row>
    <row r="184" spans="1:14">
      <c r="A184" s="127"/>
      <c r="B184" s="76" t="s">
        <v>61</v>
      </c>
      <c r="C184" s="27" t="s">
        <v>20</v>
      </c>
      <c r="D184" s="27" t="s">
        <v>20</v>
      </c>
      <c r="E184" s="27" t="s">
        <v>20</v>
      </c>
      <c r="F184" s="27" t="s">
        <v>20</v>
      </c>
      <c r="G184" s="27" t="s">
        <v>20</v>
      </c>
      <c r="H184" s="27" t="s">
        <v>20</v>
      </c>
      <c r="I184" s="27">
        <v>121.7915</v>
      </c>
      <c r="J184" s="27">
        <v>123.0415</v>
      </c>
      <c r="K184" s="27">
        <v>123.0415</v>
      </c>
      <c r="L184" s="27">
        <v>123.0415</v>
      </c>
      <c r="M184" s="26">
        <f t="shared" si="80"/>
        <v>0</v>
      </c>
      <c r="N184" s="150"/>
    </row>
    <row r="185" spans="1:14">
      <c r="A185" s="127"/>
      <c r="B185" s="67" t="s">
        <v>26</v>
      </c>
      <c r="C185" s="68">
        <f>SUM(C172:C184)</f>
        <v>92893.012890000115</v>
      </c>
      <c r="D185" s="68">
        <f t="shared" ref="D185:L185" si="81">SUM(D172:D184)</f>
        <v>96130.754450000095</v>
      </c>
      <c r="E185" s="68">
        <f t="shared" si="81"/>
        <v>97659.449300000109</v>
      </c>
      <c r="F185" s="68">
        <f t="shared" si="81"/>
        <v>99936.594670000093</v>
      </c>
      <c r="G185" s="68">
        <f t="shared" si="81"/>
        <v>100622.95661000014</v>
      </c>
      <c r="H185" s="68">
        <f t="shared" si="81"/>
        <v>100538.91605000016</v>
      </c>
      <c r="I185" s="68">
        <f t="shared" si="81"/>
        <v>100564.42690400012</v>
      </c>
      <c r="J185" s="68">
        <f t="shared" si="81"/>
        <v>99473.704924000136</v>
      </c>
      <c r="K185" s="68">
        <f t="shared" si="81"/>
        <v>98869.914613000117</v>
      </c>
      <c r="L185" s="68">
        <f t="shared" si="81"/>
        <v>98650.766773000127</v>
      </c>
      <c r="M185" s="80">
        <f t="shared" si="80"/>
        <v>-0.2216527048271355</v>
      </c>
      <c r="N185" s="150"/>
    </row>
    <row r="187" spans="1:14">
      <c r="B187" s="45" t="s">
        <v>74</v>
      </c>
    </row>
    <row r="188" spans="1:14">
      <c r="B188" s="98"/>
      <c r="C188" s="99">
        <v>2009</v>
      </c>
      <c r="D188" s="99">
        <v>2010</v>
      </c>
      <c r="E188" s="99">
        <v>2011</v>
      </c>
      <c r="F188" s="99">
        <v>2012</v>
      </c>
      <c r="G188" s="99">
        <v>2013</v>
      </c>
      <c r="H188" s="99">
        <v>2014</v>
      </c>
      <c r="I188" s="99">
        <v>2015</v>
      </c>
      <c r="J188" s="99">
        <v>2016</v>
      </c>
      <c r="K188" s="99">
        <v>2017</v>
      </c>
      <c r="L188" s="99">
        <v>2018</v>
      </c>
      <c r="M188" s="99" t="s">
        <v>52</v>
      </c>
    </row>
    <row r="189" spans="1:14">
      <c r="B189" s="130" t="s">
        <v>62</v>
      </c>
      <c r="C189" s="27">
        <v>9.0000000000000011E-3</v>
      </c>
      <c r="D189" s="27">
        <v>3.6999999999999999E-4</v>
      </c>
      <c r="E189" s="27">
        <v>5.6000000000000006E-4</v>
      </c>
      <c r="F189" s="27">
        <v>1.58E-3</v>
      </c>
      <c r="G189" s="27">
        <v>1.1000000000000001E-3</v>
      </c>
      <c r="H189" s="27">
        <v>5.6000000000000008E-3</v>
      </c>
      <c r="I189" s="27">
        <v>6.2299999999999994E-3</v>
      </c>
      <c r="J189" s="27">
        <v>3.9699999999999996E-3</v>
      </c>
      <c r="K189" s="27">
        <v>1.711E-2</v>
      </c>
      <c r="L189" s="27">
        <v>7.640000000000001E-3</v>
      </c>
      <c r="M189" s="26">
        <f>((L189/K189)-1)*100</f>
        <v>-55.347749853886619</v>
      </c>
    </row>
    <row r="190" spans="1:14">
      <c r="B190" s="130" t="s">
        <v>63</v>
      </c>
      <c r="C190" s="27">
        <v>3942.3499999999995</v>
      </c>
      <c r="D190" s="27">
        <v>1983.2732699999999</v>
      </c>
      <c r="E190" s="27">
        <v>3986.9997699999994</v>
      </c>
      <c r="F190" s="27">
        <v>4910.520954999999</v>
      </c>
      <c r="G190" s="27">
        <v>4879.0747929999998</v>
      </c>
      <c r="H190" s="27">
        <v>5962.7619609999983</v>
      </c>
      <c r="I190" s="27">
        <v>9130.8855049999984</v>
      </c>
      <c r="J190" s="27">
        <v>12135.331733000001</v>
      </c>
      <c r="K190" s="27">
        <v>15564.216642000001</v>
      </c>
      <c r="L190" s="27">
        <v>15243.178730888892</v>
      </c>
      <c r="M190" s="26">
        <f t="shared" ref="M190:M203" si="82">((L190/K190)-1)*100</f>
        <v>-2.0626666827856188</v>
      </c>
    </row>
    <row r="191" spans="1:14">
      <c r="B191" s="130" t="s">
        <v>64</v>
      </c>
      <c r="C191" s="27">
        <v>2820.3469999999998</v>
      </c>
      <c r="D191" s="27">
        <v>3189.0590740000002</v>
      </c>
      <c r="E191" s="27">
        <v>3929.8308789999992</v>
      </c>
      <c r="F191" s="27">
        <v>2870.6081570000001</v>
      </c>
      <c r="G191" s="27">
        <v>5323.4664100000009</v>
      </c>
      <c r="H191" s="27">
        <v>6344.7284030000001</v>
      </c>
      <c r="I191" s="27">
        <v>5810.6983619999992</v>
      </c>
      <c r="J191" s="27">
        <v>9701.608037</v>
      </c>
      <c r="K191" s="27">
        <v>8190.1813359999987</v>
      </c>
      <c r="L191" s="27">
        <v>8015.8497816666641</v>
      </c>
      <c r="M191" s="26">
        <f t="shared" si="82"/>
        <v>-2.1285432786092184</v>
      </c>
    </row>
    <row r="192" spans="1:14">
      <c r="B192" s="130" t="s">
        <v>65</v>
      </c>
      <c r="C192" s="27">
        <v>7.9750000000000005</v>
      </c>
      <c r="D192" s="27">
        <v>33.919319999999999</v>
      </c>
      <c r="E192" s="27">
        <v>15.614409999999999</v>
      </c>
      <c r="F192" s="27">
        <v>4.6427499999999995</v>
      </c>
      <c r="G192" s="27">
        <v>1.1239300000000001</v>
      </c>
      <c r="H192" s="27">
        <v>2.5326</v>
      </c>
      <c r="I192" s="27">
        <v>14.139290000000001</v>
      </c>
      <c r="J192" s="27">
        <v>7.9168099999999999</v>
      </c>
      <c r="K192" s="27">
        <v>8.1806099999999997</v>
      </c>
      <c r="L192" s="27">
        <v>129.28319259259257</v>
      </c>
      <c r="M192" s="26">
        <f>((L192/K192)-1)*100</f>
        <v>1480.361276146798</v>
      </c>
    </row>
    <row r="193" spans="2:14">
      <c r="B193" s="25" t="s">
        <v>66</v>
      </c>
      <c r="C193" s="85">
        <f>SUM(C189:C192)</f>
        <v>6770.6809999999996</v>
      </c>
      <c r="D193" s="85">
        <f>SUM(D189:D192)</f>
        <v>5206.2520340000001</v>
      </c>
      <c r="E193" s="85">
        <f t="shared" ref="E193:L193" si="83">SUM(E189:E192)</f>
        <v>7932.4456189999983</v>
      </c>
      <c r="F193" s="85">
        <f t="shared" si="83"/>
        <v>7785.7734419999988</v>
      </c>
      <c r="G193" s="85">
        <f t="shared" si="83"/>
        <v>10203.666233000002</v>
      </c>
      <c r="H193" s="85">
        <f t="shared" si="83"/>
        <v>12310.028563999998</v>
      </c>
      <c r="I193" s="85">
        <f t="shared" si="83"/>
        <v>14955.729386999998</v>
      </c>
      <c r="J193" s="85">
        <f t="shared" si="83"/>
        <v>21844.860550000001</v>
      </c>
      <c r="K193" s="85">
        <f t="shared" si="83"/>
        <v>23762.595698000001</v>
      </c>
      <c r="L193" s="85">
        <f t="shared" si="83"/>
        <v>23388.319345148149</v>
      </c>
      <c r="M193" s="140">
        <f t="shared" si="82"/>
        <v>-1.5750651048755282</v>
      </c>
    </row>
    <row r="194" spans="2:14">
      <c r="B194" s="130" t="s">
        <v>62</v>
      </c>
      <c r="C194" s="27">
        <v>299.39400000000006</v>
      </c>
      <c r="D194" s="27">
        <v>264.49448000000001</v>
      </c>
      <c r="E194" s="27">
        <v>305.7133</v>
      </c>
      <c r="F194" s="27">
        <v>286.21885999999995</v>
      </c>
      <c r="G194" s="27">
        <v>287.39902000000001</v>
      </c>
      <c r="H194" s="27">
        <v>234.51143999999999</v>
      </c>
      <c r="I194" s="27">
        <v>264.05766</v>
      </c>
      <c r="J194" s="27">
        <v>278.28510999999997</v>
      </c>
      <c r="K194" s="27">
        <v>233.13106999999999</v>
      </c>
      <c r="L194" s="27">
        <v>215.97879629629634</v>
      </c>
      <c r="M194" s="26">
        <f t="shared" si="82"/>
        <v>-7.357352112570692</v>
      </c>
    </row>
    <row r="195" spans="2:14">
      <c r="B195" s="130" t="s">
        <v>63</v>
      </c>
      <c r="C195" s="27">
        <v>2352.0750000000003</v>
      </c>
      <c r="D195" s="27">
        <v>3514.1936829999995</v>
      </c>
      <c r="E195" s="27">
        <v>2462.5921659999999</v>
      </c>
      <c r="F195" s="27">
        <v>3027.7288430000003</v>
      </c>
      <c r="G195" s="27">
        <v>3171.2084360000003</v>
      </c>
      <c r="H195" s="27">
        <v>2395.2653880000007</v>
      </c>
      <c r="I195" s="27">
        <v>1806.6752649999996</v>
      </c>
      <c r="J195" s="27">
        <v>4333.8223339999995</v>
      </c>
      <c r="K195" s="27">
        <v>3099.0964600000007</v>
      </c>
      <c r="L195" s="27">
        <v>3587.5339836666667</v>
      </c>
      <c r="M195" s="26">
        <f t="shared" si="82"/>
        <v>15.760642818670645</v>
      </c>
    </row>
    <row r="196" spans="2:14">
      <c r="B196" s="130" t="s">
        <v>64</v>
      </c>
      <c r="C196" s="27">
        <v>7609.17</v>
      </c>
      <c r="D196" s="27">
        <v>5823.346539000001</v>
      </c>
      <c r="E196" s="27">
        <v>6743.8694469999991</v>
      </c>
      <c r="F196" s="27">
        <v>10767.619209999999</v>
      </c>
      <c r="G196" s="27">
        <v>8100.1192170000013</v>
      </c>
      <c r="H196" s="27">
        <v>7247.4240899999995</v>
      </c>
      <c r="I196" s="27">
        <v>8077.1108450000002</v>
      </c>
      <c r="J196" s="27">
        <v>4615.5146349999995</v>
      </c>
      <c r="K196" s="27">
        <v>5505.1060749999997</v>
      </c>
      <c r="L196" s="27">
        <v>5387.2074878518533</v>
      </c>
      <c r="M196" s="26">
        <f t="shared" si="82"/>
        <v>-2.141622441819091</v>
      </c>
    </row>
    <row r="197" spans="2:14">
      <c r="B197" s="130" t="s">
        <v>65</v>
      </c>
      <c r="C197" s="27">
        <v>4596.4480000000003</v>
      </c>
      <c r="D197" s="27">
        <v>3936.8963900000003</v>
      </c>
      <c r="E197" s="27">
        <v>4510.3970399999998</v>
      </c>
      <c r="F197" s="27">
        <v>4904.1601200000005</v>
      </c>
      <c r="G197" s="27">
        <v>5377.072009999999</v>
      </c>
      <c r="H197" s="27">
        <v>5838.9516699999995</v>
      </c>
      <c r="I197" s="27">
        <v>4941.0487800000001</v>
      </c>
      <c r="J197" s="27">
        <v>4959.1947799999998</v>
      </c>
      <c r="K197" s="27">
        <v>5756.2685699999993</v>
      </c>
      <c r="L197" s="27">
        <v>3573.9774055555536</v>
      </c>
      <c r="M197" s="26">
        <f t="shared" si="82"/>
        <v>-37.911559162091798</v>
      </c>
    </row>
    <row r="198" spans="2:14">
      <c r="B198" s="25" t="s">
        <v>67</v>
      </c>
      <c r="C198" s="85">
        <f>SUM(C194:C197)</f>
        <v>14857.087000000001</v>
      </c>
      <c r="D198" s="85">
        <f>SUM(D194:D197)</f>
        <v>13538.931092000001</v>
      </c>
      <c r="E198" s="85">
        <f t="shared" ref="E198:L198" si="84">SUM(E194:E197)</f>
        <v>14022.571952999999</v>
      </c>
      <c r="F198" s="85">
        <f t="shared" si="84"/>
        <v>18985.727032999999</v>
      </c>
      <c r="G198" s="85">
        <f t="shared" si="84"/>
        <v>16935.798683000001</v>
      </c>
      <c r="H198" s="85">
        <f t="shared" si="84"/>
        <v>15716.152588000001</v>
      </c>
      <c r="I198" s="85">
        <f t="shared" si="84"/>
        <v>15088.89255</v>
      </c>
      <c r="J198" s="85">
        <f t="shared" si="84"/>
        <v>14186.816858999999</v>
      </c>
      <c r="K198" s="85">
        <f t="shared" si="84"/>
        <v>14593.602175</v>
      </c>
      <c r="L198" s="85">
        <f t="shared" si="84"/>
        <v>12764.69767337037</v>
      </c>
      <c r="M198" s="140">
        <f t="shared" si="82"/>
        <v>-12.532234877299098</v>
      </c>
    </row>
    <row r="199" spans="2:14">
      <c r="B199" s="130" t="s">
        <v>62</v>
      </c>
      <c r="C199" s="27">
        <f>C189-C194</f>
        <v>-299.38500000000005</v>
      </c>
      <c r="D199" s="27">
        <f>D189-D194</f>
        <v>-264.49411000000003</v>
      </c>
      <c r="E199" s="27">
        <f t="shared" ref="E199:L199" si="85">E189-E194</f>
        <v>-305.71274</v>
      </c>
      <c r="F199" s="27">
        <f t="shared" si="85"/>
        <v>-286.21727999999996</v>
      </c>
      <c r="G199" s="27">
        <f t="shared" si="85"/>
        <v>-287.39792</v>
      </c>
      <c r="H199" s="27">
        <f t="shared" si="85"/>
        <v>-234.50584000000001</v>
      </c>
      <c r="I199" s="27">
        <f t="shared" si="85"/>
        <v>-264.05142999999998</v>
      </c>
      <c r="J199" s="27">
        <f t="shared" si="85"/>
        <v>-278.28113999999999</v>
      </c>
      <c r="K199" s="27">
        <f t="shared" si="85"/>
        <v>-233.11395999999999</v>
      </c>
      <c r="L199" s="27">
        <f t="shared" si="85"/>
        <v>-215.97115629629633</v>
      </c>
      <c r="M199" s="26">
        <f t="shared" si="82"/>
        <v>-7.3538297336219856</v>
      </c>
      <c r="N199" s="148"/>
    </row>
    <row r="200" spans="2:14">
      <c r="B200" s="130" t="s">
        <v>63</v>
      </c>
      <c r="C200" s="27">
        <f t="shared" ref="C200" si="86">C190-C195</f>
        <v>1590.2749999999992</v>
      </c>
      <c r="D200" s="27">
        <f t="shared" ref="D200:L202" si="87">D190-D195</f>
        <v>-1530.9204129999996</v>
      </c>
      <c r="E200" s="27">
        <f t="shared" si="87"/>
        <v>1524.4076039999995</v>
      </c>
      <c r="F200" s="27">
        <f t="shared" si="87"/>
        <v>1882.7921119999987</v>
      </c>
      <c r="G200" s="27">
        <f t="shared" si="87"/>
        <v>1707.8663569999994</v>
      </c>
      <c r="H200" s="27">
        <f t="shared" si="87"/>
        <v>3567.4965729999976</v>
      </c>
      <c r="I200" s="27">
        <f t="shared" si="87"/>
        <v>7324.2102399999985</v>
      </c>
      <c r="J200" s="27">
        <f t="shared" si="87"/>
        <v>7801.5093990000014</v>
      </c>
      <c r="K200" s="27">
        <f t="shared" si="87"/>
        <v>12465.120182000001</v>
      </c>
      <c r="L200" s="27">
        <f t="shared" si="87"/>
        <v>11655.644747222226</v>
      </c>
      <c r="M200" s="26">
        <f t="shared" si="82"/>
        <v>-6.4939240292819722</v>
      </c>
      <c r="N200" s="148"/>
    </row>
    <row r="201" spans="2:14">
      <c r="B201" s="130" t="s">
        <v>64</v>
      </c>
      <c r="C201" s="27">
        <f t="shared" ref="C201" si="88">C191-C196</f>
        <v>-4788.8230000000003</v>
      </c>
      <c r="D201" s="27">
        <f t="shared" si="87"/>
        <v>-2634.2874650000008</v>
      </c>
      <c r="E201" s="27">
        <f t="shared" si="87"/>
        <v>-2814.0385679999999</v>
      </c>
      <c r="F201" s="27">
        <f t="shared" si="87"/>
        <v>-7897.0110529999984</v>
      </c>
      <c r="G201" s="27">
        <f t="shared" si="87"/>
        <v>-2776.6528070000004</v>
      </c>
      <c r="H201" s="27">
        <f t="shared" si="87"/>
        <v>-902.69568699999945</v>
      </c>
      <c r="I201" s="27">
        <f t="shared" si="87"/>
        <v>-2266.412483000001</v>
      </c>
      <c r="J201" s="27">
        <f t="shared" si="87"/>
        <v>5086.0934020000004</v>
      </c>
      <c r="K201" s="27">
        <f t="shared" si="87"/>
        <v>2685.075260999999</v>
      </c>
      <c r="L201" s="27">
        <f t="shared" si="87"/>
        <v>2628.6422938148107</v>
      </c>
      <c r="M201" s="26">
        <f t="shared" si="82"/>
        <v>-2.1017275755678799</v>
      </c>
      <c r="N201" s="148"/>
    </row>
    <row r="202" spans="2:14">
      <c r="B202" s="130" t="s">
        <v>65</v>
      </c>
      <c r="C202" s="27">
        <f t="shared" ref="C202" si="89">C192-C197</f>
        <v>-4588.473</v>
      </c>
      <c r="D202" s="27">
        <f t="shared" si="87"/>
        <v>-3902.9770700000004</v>
      </c>
      <c r="E202" s="27">
        <f t="shared" si="87"/>
        <v>-4494.7826299999997</v>
      </c>
      <c r="F202" s="27">
        <f t="shared" si="87"/>
        <v>-4899.5173700000005</v>
      </c>
      <c r="G202" s="27">
        <f t="shared" si="87"/>
        <v>-5375.9480799999992</v>
      </c>
      <c r="H202" s="27">
        <f t="shared" si="87"/>
        <v>-5836.4190699999999</v>
      </c>
      <c r="I202" s="27">
        <f t="shared" si="87"/>
        <v>-4926.90949</v>
      </c>
      <c r="J202" s="27">
        <f t="shared" si="87"/>
        <v>-4951.2779700000001</v>
      </c>
      <c r="K202" s="27">
        <f t="shared" si="87"/>
        <v>-5748.0879599999989</v>
      </c>
      <c r="L202" s="27">
        <f t="shared" si="87"/>
        <v>-3444.694212962961</v>
      </c>
      <c r="M202" s="26">
        <f t="shared" si="82"/>
        <v>-40.072346892844671</v>
      </c>
      <c r="N202" s="148"/>
    </row>
    <row r="203" spans="2:14">
      <c r="B203" s="63" t="s">
        <v>57</v>
      </c>
      <c r="C203" s="35">
        <f>SUM(C199:C202)</f>
        <v>-8086.4060000000009</v>
      </c>
      <c r="D203" s="35">
        <f>SUM(D199:D202)</f>
        <v>-8332.6790580000015</v>
      </c>
      <c r="E203" s="35">
        <f t="shared" ref="E203:L203" si="90">SUM(E199:E202)</f>
        <v>-6090.1263340000005</v>
      </c>
      <c r="F203" s="35">
        <f t="shared" si="90"/>
        <v>-11199.953591000001</v>
      </c>
      <c r="G203" s="35">
        <f t="shared" si="90"/>
        <v>-6732.1324500000001</v>
      </c>
      <c r="H203" s="35">
        <f t="shared" si="90"/>
        <v>-3406.1240240000016</v>
      </c>
      <c r="I203" s="35">
        <f t="shared" si="90"/>
        <v>-133.16316300000199</v>
      </c>
      <c r="J203" s="35">
        <f t="shared" si="90"/>
        <v>7658.0436910000017</v>
      </c>
      <c r="K203" s="35">
        <f t="shared" si="90"/>
        <v>9168.9935229999992</v>
      </c>
      <c r="L203" s="35">
        <f t="shared" si="90"/>
        <v>10623.621671777779</v>
      </c>
      <c r="M203" s="36">
        <f t="shared" si="82"/>
        <v>15.8646436506789</v>
      </c>
      <c r="N203" s="148"/>
    </row>
    <row r="204" spans="2:14">
      <c r="C204" s="146"/>
      <c r="D204" s="146"/>
      <c r="E204" s="146"/>
      <c r="F204" s="146"/>
      <c r="G204" s="146"/>
      <c r="H204" s="146"/>
      <c r="I204" s="146"/>
      <c r="J204" s="146"/>
      <c r="K204" s="146"/>
      <c r="L204" s="146"/>
    </row>
    <row r="205" spans="2:14">
      <c r="B205" s="45" t="s">
        <v>68</v>
      </c>
    </row>
    <row r="206" spans="2:14">
      <c r="B206" s="98"/>
      <c r="C206" s="99"/>
      <c r="D206" s="99">
        <v>2009</v>
      </c>
      <c r="E206" s="99">
        <v>2010</v>
      </c>
      <c r="F206" s="99">
        <v>2011</v>
      </c>
      <c r="G206" s="99">
        <v>2012</v>
      </c>
      <c r="H206" s="99">
        <v>2013</v>
      </c>
      <c r="I206" s="99">
        <v>2014</v>
      </c>
      <c r="J206" s="99">
        <v>2015</v>
      </c>
      <c r="K206" s="99">
        <v>2016</v>
      </c>
      <c r="L206" s="99">
        <v>2017</v>
      </c>
      <c r="M206" s="99">
        <v>2018</v>
      </c>
      <c r="N206" s="138" t="s">
        <v>73</v>
      </c>
    </row>
    <row r="207" spans="2:14">
      <c r="B207" s="76" t="s">
        <v>69</v>
      </c>
      <c r="C207" s="76" t="s">
        <v>70</v>
      </c>
      <c r="D207" s="27">
        <v>18056.470000000008</v>
      </c>
      <c r="E207" s="27">
        <v>18792.418999999998</v>
      </c>
      <c r="F207" s="27">
        <v>19671.349999999999</v>
      </c>
      <c r="G207" s="27">
        <v>20108.846000000001</v>
      </c>
      <c r="H207" s="27">
        <v>20639.478000000003</v>
      </c>
      <c r="I207" s="27">
        <v>21093.512000000002</v>
      </c>
      <c r="J207" s="27">
        <v>21183.826000000001</v>
      </c>
      <c r="K207" s="27">
        <v>21618.968000000001</v>
      </c>
      <c r="L207" s="27">
        <v>21727.929</v>
      </c>
      <c r="M207" s="27">
        <v>21729.688999999998</v>
      </c>
      <c r="N207" s="27">
        <f>M207-L207</f>
        <v>1.7599999999983993</v>
      </c>
    </row>
    <row r="208" spans="2:14">
      <c r="B208" s="76"/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</row>
    <row r="209" spans="2:14">
      <c r="B209" s="76" t="s">
        <v>71</v>
      </c>
      <c r="C209" s="76" t="s">
        <v>70</v>
      </c>
      <c r="D209" s="27">
        <v>17310.092059999995</v>
      </c>
      <c r="E209" s="27">
        <v>17403.404000000002</v>
      </c>
      <c r="F209" s="27">
        <v>18003.668000000005</v>
      </c>
      <c r="G209" s="27">
        <v>18372.541060000003</v>
      </c>
      <c r="H209" s="27">
        <v>18645.841060000002</v>
      </c>
      <c r="I209" s="27">
        <v>18784.958560000006</v>
      </c>
      <c r="J209" s="27">
        <v>18925.261560000006</v>
      </c>
      <c r="K209" s="27">
        <v>19013.238560000009</v>
      </c>
      <c r="L209" s="27">
        <v>19038.601270000006</v>
      </c>
      <c r="M209" s="27">
        <v>19164.587270000007</v>
      </c>
      <c r="N209" s="27">
        <f t="shared" ref="N209:N211" si="91">M209-L209</f>
        <v>125.98600000000079</v>
      </c>
    </row>
    <row r="210" spans="2:14">
      <c r="B210" s="76"/>
      <c r="C210" s="76" t="s">
        <v>54</v>
      </c>
      <c r="D210" s="27">
        <v>1268.8710000000001</v>
      </c>
      <c r="E210" s="27">
        <v>1280.182</v>
      </c>
      <c r="F210" s="27">
        <v>1540.5160000000001</v>
      </c>
      <c r="G210" s="27">
        <v>1543.5210000000002</v>
      </c>
      <c r="H210" s="27">
        <v>1543.5210000000002</v>
      </c>
      <c r="I210" s="27">
        <v>1544.972</v>
      </c>
      <c r="J210" s="27">
        <v>1673.682</v>
      </c>
      <c r="K210" s="27">
        <v>1800.0359999999998</v>
      </c>
      <c r="L210" s="27">
        <v>1808.319</v>
      </c>
      <c r="M210" s="27">
        <v>1853.5820000000001</v>
      </c>
      <c r="N210" s="27">
        <f t="shared" si="91"/>
        <v>45.263000000000147</v>
      </c>
    </row>
    <row r="211" spans="2:14">
      <c r="B211" s="76"/>
      <c r="C211" s="76" t="s">
        <v>55</v>
      </c>
      <c r="D211" s="27">
        <v>1235.1100000000001</v>
      </c>
      <c r="E211" s="27">
        <v>1289.05</v>
      </c>
      <c r="F211" s="27">
        <v>1289.05</v>
      </c>
      <c r="G211" s="27">
        <v>1289.05</v>
      </c>
      <c r="H211" s="27">
        <v>1289.05</v>
      </c>
      <c r="I211" s="27">
        <v>1289.135</v>
      </c>
      <c r="J211" s="27">
        <v>1346.9589999999998</v>
      </c>
      <c r="K211" s="27">
        <v>1354.1649999999997</v>
      </c>
      <c r="L211" s="27">
        <v>1355.0969999999998</v>
      </c>
      <c r="M211" s="27">
        <v>1495.0249999999999</v>
      </c>
      <c r="N211" s="27">
        <f t="shared" si="91"/>
        <v>139.92800000000011</v>
      </c>
    </row>
    <row r="212" spans="2:14">
      <c r="B212" s="76"/>
      <c r="C212" s="76" t="s">
        <v>26</v>
      </c>
      <c r="D212" s="27">
        <f t="shared" ref="D212:H212" si="92">SUM(D209:D211)</f>
        <v>19814.073059999995</v>
      </c>
      <c r="E212" s="27">
        <f t="shared" si="92"/>
        <v>19972.636000000002</v>
      </c>
      <c r="F212" s="27">
        <f t="shared" si="92"/>
        <v>20833.234000000004</v>
      </c>
      <c r="G212" s="27">
        <f t="shared" si="92"/>
        <v>21205.112060000003</v>
      </c>
      <c r="H212" s="27">
        <f t="shared" si="92"/>
        <v>21478.412060000002</v>
      </c>
      <c r="I212" s="27">
        <f>SUM(I209:I211)</f>
        <v>21619.065560000006</v>
      </c>
      <c r="J212" s="27">
        <f t="shared" ref="J212:N212" si="93">SUM(J209:J211)</f>
        <v>21945.902560000006</v>
      </c>
      <c r="K212" s="27">
        <f t="shared" si="93"/>
        <v>22167.43956000001</v>
      </c>
      <c r="L212" s="27">
        <f t="shared" si="93"/>
        <v>22202.017270000004</v>
      </c>
      <c r="M212" s="27">
        <f t="shared" si="93"/>
        <v>22513.194270000007</v>
      </c>
      <c r="N212" s="27">
        <f t="shared" si="93"/>
        <v>311.17700000000104</v>
      </c>
    </row>
    <row r="213" spans="2:14" ht="12.75" customHeight="1">
      <c r="B213" s="136" t="s">
        <v>72</v>
      </c>
      <c r="C213" s="136"/>
      <c r="D213" s="137">
        <f t="shared" ref="D213:H213" si="94">SUM(D207,D212)</f>
        <v>37870.543060000004</v>
      </c>
      <c r="E213" s="137">
        <f t="shared" si="94"/>
        <v>38765.055</v>
      </c>
      <c r="F213" s="137">
        <f t="shared" si="94"/>
        <v>40504.584000000003</v>
      </c>
      <c r="G213" s="137">
        <f t="shared" si="94"/>
        <v>41313.958060000004</v>
      </c>
      <c r="H213" s="137">
        <f t="shared" si="94"/>
        <v>42117.890060000005</v>
      </c>
      <c r="I213" s="137">
        <f>SUM(I207,I212)</f>
        <v>42712.577560000005</v>
      </c>
      <c r="J213" s="137">
        <f t="shared" ref="J213:N213" si="95">SUM(J207,J212)</f>
        <v>43129.728560000003</v>
      </c>
      <c r="K213" s="137">
        <f t="shared" si="95"/>
        <v>43786.407560000007</v>
      </c>
      <c r="L213" s="137">
        <f t="shared" si="95"/>
        <v>43929.94627</v>
      </c>
      <c r="M213" s="137">
        <f t="shared" si="95"/>
        <v>44242.883270000006</v>
      </c>
      <c r="N213" s="137">
        <f t="shared" si="95"/>
        <v>312.93699999999944</v>
      </c>
    </row>
    <row r="214" spans="2:14">
      <c r="B214" s="81" t="s">
        <v>83</v>
      </c>
    </row>
  </sheetData>
  <pageMargins left="0.7" right="0.7" top="0.75" bottom="0.75" header="0.3" footer="0.3"/>
  <pageSetup paperSize="9" orientation="portrait" r:id="rId1"/>
  <ignoredErrors>
    <ignoredError sqref="E156:L156" formula="1"/>
    <ignoredError sqref="I185:L185 C193:L193 C21:J21 C32:J32 C51:J51 C66:J66 C74:J74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showGridLines="0" showRowColHeaders="0" workbookViewId="0">
      <selection activeCell="B1" sqref="B1"/>
    </sheetView>
  </sheetViews>
  <sheetFormatPr baseColWidth="10" defaultRowHeight="12.75"/>
  <cols>
    <col min="1" max="1" width="0.140625" style="14" customWidth="1"/>
    <col min="2" max="2" width="2.7109375" style="14" customWidth="1"/>
    <col min="3" max="3" width="18.5703125" style="14" customWidth="1"/>
    <col min="4" max="4" width="1.28515625" style="14" customWidth="1"/>
    <col min="5" max="5" width="58.85546875" style="14" customWidth="1"/>
    <col min="6" max="7" width="11.42578125" style="21"/>
    <col min="8" max="8" width="15" style="21" customWidth="1"/>
    <col min="9" max="16384" width="11.42578125" style="21"/>
  </cols>
  <sheetData>
    <row r="1" spans="2:5" s="14" customFormat="1" ht="21" customHeight="1">
      <c r="E1" s="15" t="s">
        <v>0</v>
      </c>
    </row>
    <row r="2" spans="2:5" s="14" customFormat="1" ht="15" customHeight="1">
      <c r="E2" s="23" t="s">
        <v>18</v>
      </c>
    </row>
    <row r="3" spans="2:5" s="14" customFormat="1" ht="21" customHeight="1"/>
    <row r="4" spans="2:5" s="17" customFormat="1">
      <c r="B4" s="16"/>
      <c r="C4" s="13"/>
    </row>
    <row r="5" spans="2:5" s="17" customFormat="1">
      <c r="B5" s="16"/>
      <c r="C5" s="18"/>
      <c r="D5" s="19"/>
      <c r="E5" s="19"/>
    </row>
    <row r="6" spans="2:5" s="17" customFormat="1" ht="12.75" customHeight="1">
      <c r="B6" s="16"/>
      <c r="C6" s="162" t="s">
        <v>51</v>
      </c>
      <c r="D6" s="19"/>
      <c r="E6" s="82"/>
    </row>
    <row r="7" spans="2:5" s="17" customFormat="1" ht="12.75" customHeight="1">
      <c r="B7" s="16"/>
      <c r="C7" s="162"/>
      <c r="D7" s="19"/>
      <c r="E7" s="82"/>
    </row>
    <row r="8" spans="2:5" s="17" customFormat="1" ht="12.75" customHeight="1">
      <c r="B8" s="16"/>
      <c r="C8" s="162"/>
      <c r="D8" s="19"/>
      <c r="E8" s="82"/>
    </row>
    <row r="9" spans="2:5" s="17" customFormat="1" ht="12.75" customHeight="1">
      <c r="B9" s="16"/>
      <c r="C9" s="162"/>
      <c r="D9" s="19"/>
      <c r="E9" s="82"/>
    </row>
    <row r="10" spans="2:5" s="17" customFormat="1" ht="12.75" customHeight="1">
      <c r="B10" s="16"/>
      <c r="C10" s="162"/>
      <c r="D10" s="19"/>
      <c r="E10" s="19"/>
    </row>
    <row r="11" spans="2:5" s="17" customFormat="1" ht="12.75" customHeight="1">
      <c r="B11" s="16"/>
      <c r="C11" s="162"/>
      <c r="D11" s="19"/>
      <c r="E11" s="19"/>
    </row>
    <row r="12" spans="2:5" s="17" customFormat="1" ht="12.75" customHeight="1">
      <c r="B12" s="16"/>
      <c r="C12" s="162"/>
      <c r="D12" s="19"/>
      <c r="E12" s="19"/>
    </row>
    <row r="13" spans="2:5" s="17" customFormat="1" ht="12.75" customHeight="1">
      <c r="B13" s="16"/>
      <c r="C13" s="20" t="s">
        <v>41</v>
      </c>
      <c r="D13" s="19"/>
      <c r="E13" s="19"/>
    </row>
    <row r="14" spans="2:5" s="17" customFormat="1" ht="12.75" customHeight="1">
      <c r="B14" s="16"/>
      <c r="C14" s="18"/>
      <c r="D14" s="19"/>
      <c r="E14" s="19"/>
    </row>
    <row r="15" spans="2:5" s="17" customFormat="1" ht="12.75" customHeight="1">
      <c r="B15" s="16"/>
      <c r="C15" s="18"/>
      <c r="D15" s="19"/>
      <c r="E15" s="19"/>
    </row>
    <row r="16" spans="2:5" s="17" customFormat="1" ht="12.75" customHeight="1">
      <c r="B16" s="16"/>
      <c r="C16" s="18"/>
      <c r="D16" s="19"/>
      <c r="E16" s="19"/>
    </row>
    <row r="17" spans="2:12" s="17" customFormat="1" ht="12.75" customHeight="1">
      <c r="B17" s="16"/>
      <c r="C17" s="18"/>
      <c r="D17" s="19"/>
      <c r="E17" s="19"/>
    </row>
    <row r="18" spans="2:12" s="17" customFormat="1" ht="12.75" customHeight="1">
      <c r="B18" s="16"/>
      <c r="C18" s="18"/>
      <c r="D18" s="19"/>
      <c r="E18" s="19"/>
    </row>
    <row r="19" spans="2:12" s="17" customFormat="1" ht="12.75" customHeight="1">
      <c r="B19" s="16"/>
      <c r="C19" s="18"/>
      <c r="D19" s="19"/>
      <c r="E19" s="19"/>
    </row>
    <row r="20" spans="2:12" s="17" customFormat="1" ht="12.75" customHeight="1">
      <c r="B20" s="16"/>
      <c r="C20" s="18"/>
      <c r="D20" s="19"/>
      <c r="E20" s="19"/>
    </row>
    <row r="21" spans="2:12">
      <c r="I21" s="22"/>
      <c r="J21" s="22"/>
      <c r="K21" s="22"/>
      <c r="L21" s="22"/>
    </row>
    <row r="22" spans="2:12">
      <c r="I22" s="22"/>
      <c r="J22" s="22"/>
      <c r="K22" s="22"/>
      <c r="L22" s="22"/>
    </row>
    <row r="23" spans="2:12">
      <c r="I23" s="22"/>
      <c r="J23" s="22"/>
      <c r="K23" s="22"/>
      <c r="L23" s="22"/>
    </row>
    <row r="24" spans="2:12">
      <c r="I24" s="22"/>
      <c r="J24" s="22"/>
      <c r="K24" s="22"/>
      <c r="L24" s="22"/>
    </row>
    <row r="25" spans="2:12">
      <c r="I25" s="22"/>
      <c r="J25" s="22"/>
      <c r="K25" s="22"/>
      <c r="L25" s="22"/>
    </row>
    <row r="26" spans="2:12">
      <c r="I26" s="22"/>
      <c r="J26" s="22"/>
      <c r="K26" s="22"/>
      <c r="L26" s="22"/>
    </row>
  </sheetData>
  <mergeCells count="1">
    <mergeCell ref="C6:C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BALANCE</vt:lpstr>
      <vt:lpstr>DEMANDA</vt:lpstr>
      <vt:lpstr>PRODUCCION Y TRANSPORTE</vt:lpstr>
      <vt:lpstr>Data </vt:lpstr>
      <vt:lpstr>C6 (OPCION C)</vt:lpstr>
      <vt:lpstr>BALANCE!Área_de_impresión</vt:lpstr>
      <vt:lpstr>DEMANDA!Área_de_impresión</vt:lpstr>
      <vt:lpstr>'PRODUCCION Y TRANSPORTE'!Área_de_impresión</vt:lpstr>
    </vt:vector>
  </TitlesOfParts>
  <Company>Red Electrica de España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Sevilla Penas, Marta</dc:creator>
  <cp:lastModifiedBy>Cañas Carrillo, Antonia</cp:lastModifiedBy>
  <cp:lastPrinted>2018-12-13T11:21:15Z</cp:lastPrinted>
  <dcterms:created xsi:type="dcterms:W3CDTF">2018-10-29T09:21:57Z</dcterms:created>
  <dcterms:modified xsi:type="dcterms:W3CDTF">2018-12-21T11:19:59Z</dcterms:modified>
</cp:coreProperties>
</file>