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6\FEB\INF_ELABORADA\"/>
    </mc:Choice>
  </mc:AlternateContent>
  <xr:revisionPtr revIDLastSave="0" documentId="13_ncr:1_{75DBDD08-0327-4EF9-A4D8-FE2DB0AD2011}"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96" l="1"/>
  <c r="O64" i="96"/>
  <c r="N69" i="96" l="1"/>
  <c r="G100" i="96" l="1"/>
  <c r="C100" i="96"/>
  <c r="C185" i="96"/>
  <c r="D185" i="96"/>
  <c r="E185" i="96"/>
  <c r="F185" i="96"/>
  <c r="G185" i="96"/>
  <c r="H185" i="96"/>
  <c r="I185" i="96"/>
  <c r="J185" i="96"/>
  <c r="K185" i="96"/>
  <c r="L185" i="96"/>
  <c r="M185" i="96"/>
  <c r="N185" i="96"/>
  <c r="B185" i="96"/>
  <c r="M317" i="96" l="1"/>
  <c r="L317" i="96"/>
  <c r="K317" i="96"/>
  <c r="J317" i="96"/>
  <c r="I317" i="96"/>
  <c r="H317" i="96"/>
  <c r="G317" i="96"/>
  <c r="F317" i="96"/>
  <c r="E317" i="96"/>
  <c r="D317" i="96"/>
  <c r="C317" i="96"/>
  <c r="B317" i="96"/>
  <c r="C101" i="96" l="1"/>
  <c r="C106" i="96"/>
  <c r="G106" i="96"/>
  <c r="A114" i="96"/>
  <c r="G101" i="96"/>
  <c r="C84" i="96"/>
  <c r="D84" i="96"/>
  <c r="E84" i="96"/>
  <c r="F84" i="96"/>
  <c r="G84" i="96"/>
  <c r="H84" i="96"/>
  <c r="I84" i="96"/>
  <c r="J84" i="96"/>
  <c r="K84" i="96"/>
  <c r="L84" i="96"/>
  <c r="M84" i="96"/>
  <c r="N84" i="96"/>
  <c r="N89" i="96"/>
  <c r="M89" i="96"/>
  <c r="L89" i="96"/>
  <c r="K89" i="96"/>
  <c r="J89" i="96"/>
  <c r="I89" i="96"/>
  <c r="H89" i="96"/>
  <c r="G89" i="96"/>
  <c r="F89" i="96"/>
  <c r="E89" i="96"/>
  <c r="D89" i="96"/>
  <c r="C89" i="96"/>
  <c r="B89" i="96"/>
  <c r="B84" i="96"/>
  <c r="P354" i="96" l="1"/>
  <c r="P371" i="96"/>
  <c r="J81" i="96" l="1"/>
  <c r="K130" i="96"/>
  <c r="P216" i="96"/>
  <c r="N317" i="96"/>
  <c r="C394" i="96"/>
  <c r="D394" i="96"/>
  <c r="E394" i="96"/>
  <c r="F394" i="96"/>
  <c r="G394" i="96"/>
  <c r="H394" i="96"/>
  <c r="I394" i="96"/>
  <c r="J394" i="96"/>
  <c r="K394" i="96"/>
  <c r="L394" i="96"/>
  <c r="M394" i="96"/>
  <c r="N394" i="96"/>
  <c r="B394" i="96"/>
  <c r="AN8" i="96" l="1"/>
  <c r="M87" i="96" l="1"/>
  <c r="M86" i="96"/>
  <c r="M82"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Q371" i="96" l="1"/>
  <c r="P169" i="96" l="1"/>
  <c r="P151" i="96"/>
  <c r="C107" i="96" l="1"/>
  <c r="I465" i="96"/>
  <c r="F465" i="96"/>
  <c r="C465" i="96"/>
  <c r="B465" i="96"/>
  <c r="C105" i="96"/>
  <c r="C104" i="96"/>
  <c r="C103" i="96"/>
  <c r="C102" i="96"/>
  <c r="C99" i="96"/>
  <c r="C98" i="96"/>
  <c r="H94" i="96"/>
  <c r="F94" i="96"/>
  <c r="E94" i="96"/>
  <c r="C94" i="96"/>
  <c r="B94" i="96"/>
  <c r="N90" i="96"/>
  <c r="N88" i="96"/>
  <c r="N87" i="96"/>
  <c r="N86" i="96"/>
  <c r="N85" i="96"/>
  <c r="N83" i="96"/>
  <c r="N82" i="96"/>
  <c r="A115" i="96"/>
  <c r="I464" i="96" l="1"/>
  <c r="F464" i="96"/>
  <c r="C464" i="96"/>
  <c r="B464" i="96"/>
  <c r="B463" i="96"/>
  <c r="B453" i="96"/>
  <c r="M90" i="96" l="1"/>
  <c r="M88" i="96"/>
  <c r="M85" i="96"/>
  <c r="M83" i="96"/>
  <c r="N91" i="96" l="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E453" i="96" l="1"/>
  <c r="O90" i="96"/>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tc={FEC302BB-24B9-4347-BDED-0D7BEC4F129A}</author>
  </authors>
  <commentList>
    <comment ref="L43" authorId="0" shapeId="0" xr:uid="{FEC302BB-24B9-4347-BDED-0D7BEC4F129A}">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diciembre</t>
      </text>
    </comment>
  </commentList>
</comments>
</file>

<file path=xl/sharedStrings.xml><?xml version="1.0" encoding="utf-8"?>
<sst xmlns="http://schemas.openxmlformats.org/spreadsheetml/2006/main" count="809" uniqueCount="290">
  <si>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</si>
  <si>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</si>
  <si>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</si>
  <si>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</si>
  <si>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</si>
  <si>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</si>
  <si>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</si>
  <si>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</si>
  <si>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</si>
  <si>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</si>
  <si>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</si>
  <si>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</si>
  <si>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</si>
  <si>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</si>
  <si>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</si>
  <si>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</si>
  <si>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</si>
  <si>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</si>
  <si>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</si>
  <si>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</si>
  <si>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</si>
  <si>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</si>
  <si>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</si>
  <si>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</si>
  <si>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</si>
  <si>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</si>
  <si>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</si>
  <si>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</si>
  <si>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</si>
  <si>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</si>
  <si>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</si>
  <si>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</si>
  <si>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</si>
  <si>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</si>
  <si>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</si>
  <si>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</si>
  <si>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</si>
  <si>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</si>
  <si>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</si>
  <si>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</si>
  <si>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</si>
  <si>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</si>
  <si>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</si>
  <si>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</si>
  <si>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</si>
  <si>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</si>
  <si>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</si>
  <si>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</si>
  <si>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</si>
  <si>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</si>
  <si>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</si>
  <si>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</si>
  <si>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</si>
  <si>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</si>
  <si>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</si>
  <si>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</si>
  <si>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</si>
  <si>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</si>
  <si>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</si>
  <si>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</si>
  <si>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</si>
  <si>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</si>
  <si>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</si>
  <si>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</si>
  <si>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</si>
  <si>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</si>
  <si>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</si>
  <si>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</si>
  <si>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</si>
  <si>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</si>
  <si>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</si>
  <si>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</si>
  <si>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</si>
  <si>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</si>
  <si>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</si>
  <si>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</si>
  <si>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</si>
  <si>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</si>
  <si>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</si>
  <si>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</si>
  <si>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</si>
  <si>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</si>
  <si>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</si>
  <si>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</si>
  <si>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</si>
  <si>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</si>
  <si>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</si>
  <si>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</si>
  <si>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</si>
  <si>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</si>
  <si>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</si>
  <si>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</si>
  <si>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</si>
  <si>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</si>
  <si>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</si>
  <si>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</si>
  <si>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</si>
  <si>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</si>
  <si>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</si>
  <si>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</si>
  <si>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</si>
  <si>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</si>
  <si>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</si>
  <si>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</si>
  <si>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</si>
  <si>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</si>
  <si>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</si>
  <si>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</si>
  <si>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</si>
  <si>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</si>
  <si>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</si>
  <si>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</si>
  <si>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</si>
  <si>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</si>
  <si>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</si>
  <si>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</si>
  <si>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</si>
  <si>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</si>
  <si>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</si>
  <si>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</si>
  <si>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</si>
  <si>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</si>
  <si>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</si>
  <si>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</si>
  <si>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</si>
  <si>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</si>
  <si>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</si>
  <si>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</si>
  <si>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</si>
  <si>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</si>
  <si>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</si>
  <si>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</si>
  <si>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</si>
  <si>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</si>
  <si>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</si>
  <si>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</si>
  <si>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</si>
  <si>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</si>
  <si>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</si>
  <si>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</si>
  <si>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</si>
  <si>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</si>
  <si>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</si>
  <si>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</si>
  <si>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</si>
  <si>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</si>
  <si>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</si>
  <si>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</si>
  <si>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</si>
  <si>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</si>
  <si>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</si>
  <si>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</si>
  <si>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</si>
  <si>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</si>
  <si>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</si>
  <si>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</si>
  <si>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</si>
  <si>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</si>
  <si>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</si>
  <si>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</si>
  <si>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</si>
  <si>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</si>
  <si>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</si>
  <si>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</si>
  <si>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</si>
  <si>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</si>
  <si>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</si>
  <si>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</si>
  <si>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</si>
  <si>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</si>
  <si>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</si>
  <si>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</si>
  <si>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</si>
  <si>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</si>
  <si>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</si>
  <si>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</si>
  <si>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</si>
  <si>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</si>
  <si>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</si>
  <si>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</si>
  <si>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</si>
  <si>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</si>
  <si>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</si>
  <si>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</si>
  <si>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</si>
  <si>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</si>
  <si>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</si>
  <si>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</si>
  <si>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</si>
  <si>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</si>
  <si>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</si>
  <si>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</si>
  <si>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</si>
  <si>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</si>
  <si>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</si>
  <si>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</si>
  <si>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</si>
  <si>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</si>
  <si>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</si>
  <si>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</si>
  <si>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</si>
  <si>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</si>
  <si>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</si>
  <si>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</si>
  <si>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</si>
  <si>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Reserva de regulación secundaria</t>
  </si>
  <si>
    <t>Reserva de regulación</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</si>
  <si>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</si>
  <si>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</si>
  <si>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</si>
  <si>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</si>
  <si>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</si>
  <si>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</si>
  <si>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</si>
  <si>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</si>
  <si>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</si>
  <si>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</si>
  <si>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</si>
  <si>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</si>
  <si>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</si>
  <si>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</si>
  <si>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</si>
  <si>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</si>
  <si>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</si>
  <si>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</si>
  <si>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</si>
  <si>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</si>
  <si>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</si>
  <si>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</si>
  <si>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</si>
  <si>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</si>
  <si>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</si>
  <si>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</si>
  <si>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</si>
  <si>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</si>
  <si>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</si>
  <si>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</si>
  <si>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</si>
  <si>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</si>
  <si>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</si>
  <si>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</si>
  <si>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</si>
  <si>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2025 Noviembre</t>
  </si>
  <si>
    <t>OCT-25</t>
  </si>
  <si>
    <t>NOV-25</t>
  </si>
  <si>
    <t>2025 Diciembre</t>
  </si>
  <si>
    <t>DIC-25</t>
  </si>
  <si>
    <t>2026 Enero</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</si>
  <si>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ut="02/11/2026 12:44:39"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msgID="2F8FF6963B40DCFF849DD686A510AF91"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nrr="118" nrc="754"&gt;&lt;pg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</si>
  <si>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ut="02/11/2026 12:45:51"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msgID="C9C72103E84C2B0627716296F50F78EF"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nrr="584" nrc="933"&gt;&lt;pg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</si>
  <si>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ENE-26</t>
  </si>
  <si>
    <t>01/02/2026</t>
  </si>
  <si>
    <t>02/02/2026</t>
  </si>
  <si>
    <t>03/02/2026</t>
  </si>
  <si>
    <t>04/02/2026</t>
  </si>
  <si>
    <t>05/02/2026</t>
  </si>
  <si>
    <t>06/02/2026</t>
  </si>
  <si>
    <t>07/02/2026</t>
  </si>
  <si>
    <t>08/02/2026</t>
  </si>
  <si>
    <t>09/02/2026</t>
  </si>
  <si>
    <t>10/02/2026</t>
  </si>
  <si>
    <t>11/02/2026</t>
  </si>
  <si>
    <t>12/02/2026</t>
  </si>
  <si>
    <t>13/02/2026</t>
  </si>
  <si>
    <t>14/02/2026</t>
  </si>
  <si>
    <t>15/02/2026</t>
  </si>
  <si>
    <t>16/02/2026</t>
  </si>
  <si>
    <t>17/02/2026</t>
  </si>
  <si>
    <t>18/02/2026</t>
  </si>
  <si>
    <t>19/02/2026</t>
  </si>
  <si>
    <t>20/02/2026</t>
  </si>
  <si>
    <t>21/02/2026</t>
  </si>
  <si>
    <t>22/02/2026</t>
  </si>
  <si>
    <t>23/02/2026</t>
  </si>
  <si>
    <t>24/02/2026</t>
  </si>
  <si>
    <t>25/02/2026</t>
  </si>
  <si>
    <t>26/02/2026</t>
  </si>
  <si>
    <t>27/02/2026</t>
  </si>
  <si>
    <t>28/02/2026</t>
  </si>
  <si>
    <t>2026 Febrero</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</si>
  <si>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ut="03/09/2026 07:11:27"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msgID="DDA2A6CAB1431062C9D8ABBE7ABF373A"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rows="32" cols="28" /&gt;&lt;esdo ews="" ece="" ptn="" /&gt;&lt;/excel&gt;&lt;pgs&gt;&lt;pg rows="28" cols="27" nrr="3563" nrc="3519"&gt;&lt;pg /&gt;&lt;bls&gt;&lt;bl sr="1" sc="1" rfetch="28" cfetch="27" posid="1" darows="0" dacols="1"&gt;&lt;excel&gt;&lt;epo ews="Dat_01" ece="$A$4" enr="MSTR.Precio_Mercado_Diario" ptn="" qtn="" rows="32" cols="28" /&gt;&lt;esdo ews="" ece="" ptn="" /&gt;&lt;/excel&gt;&lt;gridRng&gt;&lt;sect id="TITLE_AREA" rngprop="1:1:4:1" /&gt;&lt;sect id="ROWHEADERS_AREA" rngprop="5:1:28:1" /&gt;&lt;sect id="COLUMNHEADERS_AREA" rngprop="1:2:4:27" /&gt;&lt;sect id="DATA_AREA" rngprop="5:2:28:27"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</si>
  <si>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ut="03/09/2026 07:55:11"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msgID="89807B5A0B47F0EAE635F3992AB64917"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nrr="543" nrc="238"&gt;&lt;pg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</si>
  <si>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ut="03/09/2026 08:52:08"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msgID="CBEBE5A6B64BBFDC70E1DC9A268B34D1"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nrr="110" nrc="715"&gt;&lt;pg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</si>
  <si>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ut="03/09/2026 08:59:19"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msgID="651358EE634D0C3F989D899933B7A991"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nrr="124" nrc="793"&gt;&lt;pg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</si>
  <si>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ut="03/09/2026 09:15:09"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msgID="9F1305920A46B16D3DB910B3354F8BF2"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nrr="118" nrc="767"&gt;&lt;pg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</si>
  <si>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ut="03/09/2026 09:52:01"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msgID="DF4B78CCE94FE279DAFCA5AA91B6F27B"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nrr="456" nrc="741"&gt;&lt;pg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</si>
  <si>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47545093e03f435082af2fdbb244737f</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</si>
  <si>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ut="03/09/2026 09:57:15" si="2.0000000183578561b3f0ff356090e5b947dc2a13b503a42837455f393c10ce13fd10084b4d5b547f3a113e1dc697fb5a95ae72f8bfa24195096174e450ad2a44fde7b1fdafa37822e89a1c99bcebe86f5128ee1c81686a92836e4b8a4ba52f753d68007ecef2860c29d3dc92ce157906f131e3792c29324aae6279fab90a7afad08c4cb0a66287a443fdf303da9ac191f3b87f682440c1c932701759c6dba653135c9f52dfe771731d1978dcf00b0e303459c5fb06ec07661202f1678dbff46bed94554d65274b1cce5acc74ce80f2e3565c75e1cb18ea4b7159a4388765e26b00718a305d0247714978db4745d59280178367d9fd31cf8f57526d8c6497456d7fc6df534d6fbc6281596d1929b3ed728a8f5c0bd37a3965a90aa0cc6c77ad32658c.p-3082.0.1_-3082.0.1_0.1.Europe/Madrid.upriv*_1*_pidn2*_19*_session*-lat*_1.0000000132a0875fe59a64c0f7ba5d096219ad79ea1bd88bf6f95a65de31aa665b1db36e48469f39bbe530d8e1640f41e20e560ac1ad2e7e.0000000129486b1c882a0019869bcebe621445c331cdd82ef718a9fa308709bd4acfa478bb37c64c26c8fd41fef0d07f0394641b4c15c9ff.0.1.1.SIOSbi.80652F57504C7F8E3D7CF2B0B09EA47F.0-3082.1.1_-0.1.0_-3082.1.1_5.5.0.*0.00000001d3f16601be8753ffb4b22ce54edbb454c911585ad064e99d9a243c494b0ed158f2dc08c7.0.23.11*.4*.1200*.00787J.e.00000001ca82c3b93da931f05acea60195b87a89c911585adc6ee3476a727e75f045206820cd7742.0.10*.131*.138*.19.*0.0.0.0" msgID="5D8369802B47E97EE1AB16AC49638160"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nrr="216" nrc="702"&gt;&lt;pg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</si>
  <si>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FEB-26</t>
  </si>
  <si>
    <t>Reserva de regulación secundaria y SRAD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</si>
</sst>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s>
  <fonts count="83">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10"/>
      <color rgb="FF000000"/>
      <name val="Arial"/>
      <family val="2"/>
    </font>
    <font>
      <sz val="8"/>
      <color rgb="FF000000"/>
      <name val="Arial"/>
      <family val="2"/>
    </font>
    <font>
      <b/>
      <sz val="10"/>
      <color rgb="FFFF0000"/>
      <name val="Geneva"/>
    </font>
    <font>
      <sz val="8"/>
      <color theme="0"/>
      <name val="Arial"/>
      <family val="2"/>
    </font>
  </fonts>
  <fills count="21">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34839D"/>
      </patternFill>
    </fill>
    <fill>
      <patternFill patternType="solid">
        <fgColor rgb="FFFFFF00"/>
        <bgColor rgb="FFFFFFFF"/>
      </patternFill>
    </fill>
    <fill>
      <patternFill patternType="solid">
        <fgColor rgb="FFFFC0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2">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0" fontId="38" fillId="0" borderId="0"/>
    <xf numFmtId="0" fontId="79" fillId="0" borderId="0"/>
  </cellStyleXfs>
  <cellXfs count="254">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2"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3"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2" borderId="0" xfId="83" applyBorder="1">
      <alignment horizontal="right" vertical="center"/>
    </xf>
    <xf numFmtId="0" fontId="29" fillId="18" borderId="15" xfId="0" applyFont="1" applyFill="1" applyBorder="1" applyAlignment="1">
      <alignment horizontal="center" wrapText="1"/>
    </xf>
    <xf numFmtId="0" fontId="29" fillId="18" borderId="2" xfId="0" applyFont="1" applyFill="1" applyBorder="1" applyAlignment="1">
      <alignment horizontal="center" wrapText="1"/>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3">
      <alignment horizontal="right" vertical="center"/>
    </xf>
    <xf numFmtId="0" fontId="0" fillId="15" borderId="0" xfId="0" applyFill="1"/>
    <xf numFmtId="164" fontId="28" fillId="19"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164" fontId="28" fillId="7" borderId="2" xfId="77">
      <alignment horizontal="right" vertical="center"/>
    </xf>
    <xf numFmtId="4" fontId="28" fillId="2" borderId="2" xfId="78">
      <alignment horizontal="right" vertical="center"/>
    </xf>
    <xf numFmtId="4" fontId="28" fillId="17" borderId="2" xfId="0" applyNumberFormat="1" applyFont="1" applyFill="1" applyBorder="1" applyAlignment="1">
      <alignment horizontal="right" vertical="center" wrapText="1"/>
    </xf>
    <xf numFmtId="4" fontId="28" fillId="2" borderId="16" xfId="83" applyBorder="1">
      <alignment horizontal="right" vertical="center"/>
    </xf>
    <xf numFmtId="4" fontId="80" fillId="17" borderId="2" xfId="91" applyNumberFormat="1" applyFont="1" applyFill="1" applyBorder="1" applyAlignment="1">
      <alignment horizontal="right" vertical="center"/>
    </xf>
    <xf numFmtId="4" fontId="28" fillId="17" borderId="2" xfId="81" applyNumberFormat="1" applyFont="1" applyFill="1" applyBorder="1" applyAlignment="1">
      <alignment horizontal="right" vertical="center" wrapText="1"/>
    </xf>
    <xf numFmtId="0" fontId="81" fillId="0" borderId="0" xfId="0" applyFont="1"/>
    <xf numFmtId="0" fontId="29" fillId="3" borderId="2" xfId="36" quotePrefix="1">
      <alignment horizontal="center"/>
    </xf>
    <xf numFmtId="0" fontId="29" fillId="3" borderId="2" xfId="36">
      <alignment horizontal="center"/>
    </xf>
    <xf numFmtId="4" fontId="28" fillId="14" borderId="2" xfId="73">
      <alignment horizontal="right" vertical="center"/>
    </xf>
    <xf numFmtId="4" fontId="28" fillId="11" borderId="2" xfId="38">
      <alignment horizontal="right" vertical="center"/>
    </xf>
    <xf numFmtId="4" fontId="50" fillId="7" borderId="2" xfId="76">
      <alignment horizontal="right" vertical="center"/>
    </xf>
    <xf numFmtId="4" fontId="50" fillId="12" borderId="2" xfId="40">
      <alignment horizontal="right" vertical="center"/>
    </xf>
    <xf numFmtId="4" fontId="28" fillId="20" borderId="2" xfId="83" applyFill="1">
      <alignment horizontal="right" vertical="center"/>
    </xf>
    <xf numFmtId="3" fontId="82" fillId="2" borderId="2" xfId="55" applyFont="1">
      <alignment horizontal="right" vertical="center"/>
    </xf>
    <xf numFmtId="4" fontId="28" fillId="2" borderId="2" xfId="78" quotePrefix="1">
      <alignment horizontal="right" vertical="center"/>
    </xf>
    <xf numFmtId="4" fontId="28" fillId="7" borderId="2" xfId="80">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59" quotePrefix="1" applyAlignment="1">
      <alignment horizontal="center"/>
    </xf>
    <xf numFmtId="0" fontId="0" fillId="0" borderId="7" xfId="0" applyBorder="1" applyAlignment="1">
      <alignment horizontal="center"/>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0" fillId="0" borderId="10" xfId="0"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7" xfId="59" quotePrefix="1" applyBorder="1" applyAlignment="1">
      <alignment horizontal="center"/>
    </xf>
    <xf numFmtId="0" fontId="0" fillId="0" borderId="28"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xf numFmtId="0" fontId="28" fillId="2" borderId="14" xfId="62"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9" fillId="3" borderId="11" xfId="59" quotePrefix="1" applyBorder="1" applyAlignment="1">
      <alignment horizontal="center"/>
    </xf>
    <xf numFmtId="0" fontId="28" fillId="2" borderId="13" xfId="62" quotePrefix="1" applyBorder="1" applyAlignment="1">
      <alignment horizontal="left" vertic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cellXfs>
  <cellStyles count="92">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xfId="90" xr:uid="{43E3660D-E118-4D08-9C85-407EEDF14FE1}"/>
    <cellStyle name="Normal 2 2 2" xfId="4" xr:uid="{00000000-0005-0000-0000-00002D000000}"/>
    <cellStyle name="Normal 20" xfId="86" xr:uid="{A79DDE69-9CF1-4FD9-8E32-07187CCE5DC8}"/>
    <cellStyle name="Normal 21" xfId="87" xr:uid="{ACD0ED57-34DF-4740-9CF0-3282C113B335}"/>
    <cellStyle name="Normal 22" xfId="91" xr:uid="{355B5799-480D-4FC9-B278-543BB6129D1B}"/>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FFFF"/>
      <color rgb="FFFFC000"/>
      <color rgb="FFFFCC99"/>
      <color rgb="FFFF9900"/>
      <color rgb="FFF2F2F2"/>
      <color rgb="FF28A064"/>
      <color rgb="FF95B3D7"/>
      <color rgb="FF464394"/>
      <color rgb="FF9999FF"/>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Dat_01!$AA$8:$AA$38</c15:sqref>
                  </c15:fullRef>
                </c:ext>
              </c:extLst>
              <c:f>Dat_01!$AA$8:$AA$35</c:f>
              <c:numCache>
                <c:formatCode>#,##0.00</c:formatCode>
                <c:ptCount val="28"/>
                <c:pt idx="0">
                  <c:v>9.7500727699999998E-2</c:v>
                </c:pt>
                <c:pt idx="1">
                  <c:v>4.9912198999999997E-3</c:v>
                </c:pt>
                <c:pt idx="2">
                  <c:v>0</c:v>
                </c:pt>
                <c:pt idx="3">
                  <c:v>0.70698885749999996</c:v>
                </c:pt>
                <c:pt idx="4">
                  <c:v>-0.1</c:v>
                </c:pt>
                <c:pt idx="5">
                  <c:v>-0.15</c:v>
                </c:pt>
                <c:pt idx="6">
                  <c:v>-0.17</c:v>
                </c:pt>
                <c:pt idx="7">
                  <c:v>-2.202364277</c:v>
                </c:pt>
                <c:pt idx="8">
                  <c:v>-2.25012276E-2</c:v>
                </c:pt>
                <c:pt idx="9">
                  <c:v>0</c:v>
                </c:pt>
                <c:pt idx="10">
                  <c:v>-0.42</c:v>
                </c:pt>
                <c:pt idx="11">
                  <c:v>-1</c:v>
                </c:pt>
                <c:pt idx="12">
                  <c:v>-1.9993551200000001E-2</c:v>
                </c:pt>
                <c:pt idx="13">
                  <c:v>-4</c:v>
                </c:pt>
                <c:pt idx="14">
                  <c:v>-2.4076819796</c:v>
                </c:pt>
                <c:pt idx="15">
                  <c:v>-3.2468588299999997E-2</c:v>
                </c:pt>
                <c:pt idx="16">
                  <c:v>-7.4948185E-3</c:v>
                </c:pt>
                <c:pt idx="17">
                  <c:v>0</c:v>
                </c:pt>
                <c:pt idx="18">
                  <c:v>-0.81</c:v>
                </c:pt>
                <c:pt idx="19">
                  <c:v>-0.99499684830000001</c:v>
                </c:pt>
                <c:pt idx="20">
                  <c:v>-0.01</c:v>
                </c:pt>
                <c:pt idx="21">
                  <c:v>-0.96500480700000002</c:v>
                </c:pt>
                <c:pt idx="22">
                  <c:v>-1.1457539971999999</c:v>
                </c:pt>
                <c:pt idx="23">
                  <c:v>-0.92240649139999997</c:v>
                </c:pt>
                <c:pt idx="24">
                  <c:v>-0.81</c:v>
                </c:pt>
                <c:pt idx="25">
                  <c:v>-2.1</c:v>
                </c:pt>
                <c:pt idx="26">
                  <c:v>-7.4821799999999997E-3</c:v>
                </c:pt>
                <c:pt idx="27">
                  <c:v>-1.9844669499999999E-2</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cat>
            <c:strLit>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Dat_01!$AN$8:$AN$38</c15:sqref>
                  </c15:fullRef>
                </c:ext>
              </c:extLst>
              <c:f>Dat_01!$AN$8:$AN$35</c:f>
              <c:numCache>
                <c:formatCode>#,##0.00</c:formatCode>
                <c:ptCount val="28"/>
                <c:pt idx="0">
                  <c:v>127.0597283111</c:v>
                </c:pt>
                <c:pt idx="1">
                  <c:v>51.320085946200003</c:v>
                </c:pt>
                <c:pt idx="2">
                  <c:v>125.92844132410001</c:v>
                </c:pt>
                <c:pt idx="3">
                  <c:v>61.347602603600002</c:v>
                </c:pt>
                <c:pt idx="4">
                  <c:v>35.120000000000005</c:v>
                </c:pt>
                <c:pt idx="5">
                  <c:v>51.484913941199999</c:v>
                </c:pt>
                <c:pt idx="6">
                  <c:v>35.830654704400004</c:v>
                </c:pt>
                <c:pt idx="7">
                  <c:v>45.018825223900002</c:v>
                </c:pt>
                <c:pt idx="8">
                  <c:v>94.640658616400003</c:v>
                </c:pt>
                <c:pt idx="9">
                  <c:v>35</c:v>
                </c:pt>
                <c:pt idx="10">
                  <c:v>33.131623221000005</c:v>
                </c:pt>
                <c:pt idx="11">
                  <c:v>36.002503896999997</c:v>
                </c:pt>
                <c:pt idx="12">
                  <c:v>27.6847614725</c:v>
                </c:pt>
                <c:pt idx="13">
                  <c:v>26</c:v>
                </c:pt>
                <c:pt idx="14">
                  <c:v>14.913092128899999</c:v>
                </c:pt>
                <c:pt idx="15">
                  <c:v>25.380586897699999</c:v>
                </c:pt>
                <c:pt idx="16">
                  <c:v>129.76621212499998</c:v>
                </c:pt>
                <c:pt idx="17">
                  <c:v>71.601033192200006</c:v>
                </c:pt>
                <c:pt idx="18">
                  <c:v>82.146796339600002</c:v>
                </c:pt>
                <c:pt idx="19">
                  <c:v>101.53750961530001</c:v>
                </c:pt>
                <c:pt idx="20">
                  <c:v>101.41675220890001</c:v>
                </c:pt>
                <c:pt idx="21">
                  <c:v>100.298704677</c:v>
                </c:pt>
                <c:pt idx="22">
                  <c:v>176.28782264089998</c:v>
                </c:pt>
                <c:pt idx="23">
                  <c:v>99.012077443400003</c:v>
                </c:pt>
                <c:pt idx="24">
                  <c:v>105.2330186688</c:v>
                </c:pt>
                <c:pt idx="25">
                  <c:v>104.37853422879999</c:v>
                </c:pt>
                <c:pt idx="26">
                  <c:v>73.590011206699998</c:v>
                </c:pt>
                <c:pt idx="27">
                  <c:v>72.971397101299999</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extLst>
                <c:ext xmlns:c15="http://schemas.microsoft.com/office/drawing/2012/chart" uri="{02D57815-91ED-43cb-92C2-25804820EDAC}">
                  <c15:fullRef>
                    <c15:sqref>Dat_01!$AQ$8:$AQ$38</c15:sqref>
                  </c15:fullRef>
                </c:ext>
              </c:extLst>
              <c:f>Dat_01!$AQ$8:$AQ$35</c:f>
              <c:numCache>
                <c:formatCode>General</c:formatCode>
                <c:ptCount val="2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numCache>
            </c:numRef>
          </c:cat>
          <c:val>
            <c:numRef>
              <c:extLst>
                <c:ext xmlns:c15="http://schemas.microsoft.com/office/drawing/2012/chart" uri="{02D57815-91ED-43cb-92C2-25804820EDAC}">
                  <c15:fullRef>
                    <c15:sqref>Dat_01!$AC$8:$AC$38</c15:sqref>
                  </c15:fullRef>
                </c:ext>
              </c:extLst>
              <c:f>Dat_01!$AC$8:$AC$35</c:f>
              <c:numCache>
                <c:formatCode>#,##0.00</c:formatCode>
                <c:ptCount val="28"/>
                <c:pt idx="0">
                  <c:v>25.8274108528</c:v>
                </c:pt>
                <c:pt idx="1">
                  <c:v>14.6093573572</c:v>
                </c:pt>
                <c:pt idx="2">
                  <c:v>31.065105887000001</c:v>
                </c:pt>
                <c:pt idx="3">
                  <c:v>17.848343978100001</c:v>
                </c:pt>
                <c:pt idx="4">
                  <c:v>6.9134347574000001</c:v>
                </c:pt>
                <c:pt idx="5">
                  <c:v>10.495598476</c:v>
                </c:pt>
                <c:pt idx="6">
                  <c:v>7.4988634342999996</c:v>
                </c:pt>
                <c:pt idx="7">
                  <c:v>6.8776287478000002</c:v>
                </c:pt>
                <c:pt idx="8">
                  <c:v>22.4234332244</c:v>
                </c:pt>
                <c:pt idx="9">
                  <c:v>5.2423671226000002</c:v>
                </c:pt>
                <c:pt idx="10">
                  <c:v>4.8508658021000004</c:v>
                </c:pt>
                <c:pt idx="11">
                  <c:v>6.3290083281999996</c:v>
                </c:pt>
                <c:pt idx="12">
                  <c:v>4.7106220031000001</c:v>
                </c:pt>
                <c:pt idx="13">
                  <c:v>2.5737857400999999</c:v>
                </c:pt>
                <c:pt idx="14">
                  <c:v>1.7815821378000001</c:v>
                </c:pt>
                <c:pt idx="15">
                  <c:v>4.6227797567</c:v>
                </c:pt>
                <c:pt idx="16">
                  <c:v>25.392697116800001</c:v>
                </c:pt>
                <c:pt idx="17">
                  <c:v>17.337770339799999</c:v>
                </c:pt>
                <c:pt idx="18">
                  <c:v>13.9670921377</c:v>
                </c:pt>
                <c:pt idx="19">
                  <c:v>25.226853470199998</c:v>
                </c:pt>
                <c:pt idx="20">
                  <c:v>25.445602426800001</c:v>
                </c:pt>
                <c:pt idx="21">
                  <c:v>20.509402532199999</c:v>
                </c:pt>
                <c:pt idx="22">
                  <c:v>31.193557491300002</c:v>
                </c:pt>
                <c:pt idx="23">
                  <c:v>26.316024078200002</c:v>
                </c:pt>
                <c:pt idx="24">
                  <c:v>27.402467301000001</c:v>
                </c:pt>
                <c:pt idx="25">
                  <c:v>24.819815827799999</c:v>
                </c:pt>
                <c:pt idx="26">
                  <c:v>19.045008212799999</c:v>
                </c:pt>
                <c:pt idx="27">
                  <c:v>14.102579632199999</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max val="180"/>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Dat_01!$B$184:$N$184</c:f>
              <c:numCache>
                <c:formatCode>#,##0</c:formatCode>
                <c:ptCount val="13"/>
                <c:pt idx="0">
                  <c:v>1128.565476190475</c:v>
                </c:pt>
                <c:pt idx="1">
                  <c:v>1181.15376850605</c:v>
                </c:pt>
                <c:pt idx="2">
                  <c:v>1185.1831761006249</c:v>
                </c:pt>
                <c:pt idx="3">
                  <c:v>1194.9334677419249</c:v>
                </c:pt>
                <c:pt idx="4">
                  <c:v>1196.13055555555</c:v>
                </c:pt>
                <c:pt idx="5">
                  <c:v>1196.6243279570001</c:v>
                </c:pt>
                <c:pt idx="6">
                  <c:v>1193.9107638889</c:v>
                </c:pt>
                <c:pt idx="7">
                  <c:v>1186.19756944445</c:v>
                </c:pt>
                <c:pt idx="8">
                  <c:v>1174.1842281879251</c:v>
                </c:pt>
                <c:pt idx="9">
                  <c:v>1169.1361111111</c:v>
                </c:pt>
                <c:pt idx="10">
                  <c:v>1170.0030241935499</c:v>
                </c:pt>
                <c:pt idx="11">
                  <c:v>1185.5510752688249</c:v>
                </c:pt>
                <c:pt idx="12">
                  <c:v>1168.0904017857249</c:v>
                </c:pt>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26.586120180000002</c:v>
                </c:pt>
                <c:pt idx="1">
                  <c:v>29.008521289200001</c:v>
                </c:pt>
                <c:pt idx="2">
                  <c:v>18.106053319000001</c:v>
                </c:pt>
                <c:pt idx="3">
                  <c:v>17.670425277900002</c:v>
                </c:pt>
                <c:pt idx="4">
                  <c:v>12.5788518301</c:v>
                </c:pt>
                <c:pt idx="5">
                  <c:v>13.7043949349</c:v>
                </c:pt>
                <c:pt idx="6">
                  <c:v>18.185907200199999</c:v>
                </c:pt>
                <c:pt idx="7">
                  <c:v>24.3133326757</c:v>
                </c:pt>
                <c:pt idx="8">
                  <c:v>16.621921591100001</c:v>
                </c:pt>
                <c:pt idx="9">
                  <c:v>18.8662189675</c:v>
                </c:pt>
                <c:pt idx="10">
                  <c:v>13.108400383799999</c:v>
                </c:pt>
                <c:pt idx="11">
                  <c:v>10.8123653194</c:v>
                </c:pt>
                <c:pt idx="12">
                  <c:v>15.1023403009</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2"/>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Dat_01!$B$192:$N$192</c:f>
              <c:numCache>
                <c:formatCode>#,##0;\(#,##0\)</c:formatCode>
                <c:ptCount val="13"/>
                <c:pt idx="0">
                  <c:v>59.611581999999999</c:v>
                </c:pt>
                <c:pt idx="1">
                  <c:v>81.554850999999999</c:v>
                </c:pt>
                <c:pt idx="2">
                  <c:v>85.516738000000004</c:v>
                </c:pt>
                <c:pt idx="3">
                  <c:v>100.845438</c:v>
                </c:pt>
                <c:pt idx="4">
                  <c:v>88.146169</c:v>
                </c:pt>
                <c:pt idx="5">
                  <c:v>58.699295999999997</c:v>
                </c:pt>
                <c:pt idx="6">
                  <c:v>71.704355000000007</c:v>
                </c:pt>
                <c:pt idx="7">
                  <c:v>68.034813999999997</c:v>
                </c:pt>
                <c:pt idx="8">
                  <c:v>90.106879000000006</c:v>
                </c:pt>
                <c:pt idx="9">
                  <c:v>88.275216</c:v>
                </c:pt>
                <c:pt idx="10">
                  <c:v>92.510457000000002</c:v>
                </c:pt>
                <c:pt idx="11">
                  <c:v>92.520251000000002</c:v>
                </c:pt>
                <c:pt idx="12">
                  <c:v>69.668030000000002</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2025 Febrero</c:v>
                </c:pt>
                <c:pt idx="1">
                  <c:v>2025 Marzo</c:v>
                </c:pt>
                <c:pt idx="2">
                  <c:v>2025 Abril</c:v>
                </c:pt>
                <c:pt idx="3">
                  <c:v>2025 Mayo</c:v>
                </c:pt>
                <c:pt idx="4">
                  <c:v>2025 Junio</c:v>
                </c:pt>
                <c:pt idx="5">
                  <c:v>2025 Julio</c:v>
                </c:pt>
                <c:pt idx="6">
                  <c:v>2025 Agosto</c:v>
                </c:pt>
                <c:pt idx="7">
                  <c:v>2025 Septiembre</c:v>
                </c:pt>
                <c:pt idx="8">
                  <c:v>2025 Octubre</c:v>
                </c:pt>
                <c:pt idx="9">
                  <c:v>2025 Noviembre</c:v>
                </c:pt>
                <c:pt idx="10">
                  <c:v>2025 Diciembre</c:v>
                </c:pt>
                <c:pt idx="11">
                  <c:v>2026 Enero</c:v>
                </c:pt>
                <c:pt idx="12">
                  <c:v>2026 Febrero</c:v>
                </c:pt>
              </c:strCache>
            </c:strRef>
          </c:cat>
          <c:val>
            <c:numRef>
              <c:f>Dat_01!$C$413:$O$413</c:f>
              <c:numCache>
                <c:formatCode>#,##0.00</c:formatCode>
                <c:ptCount val="13"/>
                <c:pt idx="0">
                  <c:v>140.03264444760001</c:v>
                </c:pt>
                <c:pt idx="1">
                  <c:v>120.096505014</c:v>
                </c:pt>
                <c:pt idx="2">
                  <c:v>77.523932633800001</c:v>
                </c:pt>
                <c:pt idx="3">
                  <c:v>63.343057325899998</c:v>
                </c:pt>
                <c:pt idx="4">
                  <c:v>112.625288936</c:v>
                </c:pt>
                <c:pt idx="5">
                  <c:v>110.444987815</c:v>
                </c:pt>
                <c:pt idx="6">
                  <c:v>98.521136264800006</c:v>
                </c:pt>
                <c:pt idx="7">
                  <c:v>101.9472367099</c:v>
                </c:pt>
                <c:pt idx="8">
                  <c:v>97.886706690099999</c:v>
                </c:pt>
                <c:pt idx="9">
                  <c:v>88.113274485000005</c:v>
                </c:pt>
                <c:pt idx="10">
                  <c:v>96.135054601199997</c:v>
                </c:pt>
                <c:pt idx="11">
                  <c:v>104.8609944799</c:v>
                </c:pt>
                <c:pt idx="12">
                  <c:v>56.752351668899998</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Dat_01!$B$191:$N$191</c:f>
              <c:numCache>
                <c:formatCode>#,##0;\(#,##0\)</c:formatCode>
                <c:ptCount val="13"/>
                <c:pt idx="0">
                  <c:v>84.822263000000007</c:v>
                </c:pt>
                <c:pt idx="1">
                  <c:v>105.459892</c:v>
                </c:pt>
                <c:pt idx="2">
                  <c:v>92.657791000000003</c:v>
                </c:pt>
                <c:pt idx="3">
                  <c:v>95.844481999999999</c:v>
                </c:pt>
                <c:pt idx="4">
                  <c:v>72.700210999999996</c:v>
                </c:pt>
                <c:pt idx="5">
                  <c:v>80.985911000000002</c:v>
                </c:pt>
                <c:pt idx="6">
                  <c:v>71.164877000000004</c:v>
                </c:pt>
                <c:pt idx="7">
                  <c:v>86.558627999999999</c:v>
                </c:pt>
                <c:pt idx="8">
                  <c:v>64.755118999999993</c:v>
                </c:pt>
                <c:pt idx="9">
                  <c:v>78.213511999999994</c:v>
                </c:pt>
                <c:pt idx="10">
                  <c:v>49.694707000000001</c:v>
                </c:pt>
                <c:pt idx="11">
                  <c:v>88.198836999999997</c:v>
                </c:pt>
                <c:pt idx="12">
                  <c:v>96.958464000000006</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22.808634897200001</c:v>
                </c:pt>
                <c:pt idx="1">
                  <c:v>-19.560346367299999</c:v>
                </c:pt>
                <c:pt idx="2">
                  <c:v>-25.501952932799998</c:v>
                </c:pt>
                <c:pt idx="3">
                  <c:v>-21.3875057447</c:v>
                </c:pt>
                <c:pt idx="4">
                  <c:v>12.0135543721</c:v>
                </c:pt>
                <c:pt idx="5">
                  <c:v>12.2452130523</c:v>
                </c:pt>
                <c:pt idx="6">
                  <c:v>15.0051950839</c:v>
                </c:pt>
                <c:pt idx="7">
                  <c:v>-5.3674323135000002</c:v>
                </c:pt>
                <c:pt idx="8">
                  <c:v>3.3776366820999999</c:v>
                </c:pt>
                <c:pt idx="9">
                  <c:v>-5.9475195433000003</c:v>
                </c:pt>
                <c:pt idx="10">
                  <c:v>20.511905126199999</c:v>
                </c:pt>
                <c:pt idx="11">
                  <c:v>-14.7022421982</c:v>
                </c:pt>
                <c:pt idx="12">
                  <c:v>-27.801700988499999</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67754158002566311"/>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Dat_01!$C$218:$O$218</c:f>
              <c:numCache>
                <c:formatCode>#,##0.0</c:formatCode>
                <c:ptCount val="13"/>
                <c:pt idx="0">
                  <c:v>339</c:v>
                </c:pt>
                <c:pt idx="1">
                  <c:v>85</c:v>
                </c:pt>
                <c:pt idx="2">
                  <c:v>105</c:v>
                </c:pt>
                <c:pt idx="3">
                  <c:v>0</c:v>
                </c:pt>
                <c:pt idx="4">
                  <c:v>83.75</c:v>
                </c:pt>
                <c:pt idx="5">
                  <c:v>10</c:v>
                </c:pt>
                <c:pt idx="6">
                  <c:v>0</c:v>
                </c:pt>
                <c:pt idx="7">
                  <c:v>0</c:v>
                </c:pt>
                <c:pt idx="8">
                  <c:v>0</c:v>
                </c:pt>
                <c:pt idx="9">
                  <c:v>0</c:v>
                </c:pt>
                <c:pt idx="10">
                  <c:v>2.5</c:v>
                </c:pt>
                <c:pt idx="11">
                  <c:v>0</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Dat_01!$C$219:$O$219</c:f>
              <c:numCache>
                <c:formatCode>#,##0.0</c:formatCode>
                <c:ptCount val="13"/>
                <c:pt idx="0">
                  <c:v>87805.447</c:v>
                </c:pt>
                <c:pt idx="1">
                  <c:v>30848.534</c:v>
                </c:pt>
                <c:pt idx="2">
                  <c:v>16612.3</c:v>
                </c:pt>
                <c:pt idx="3">
                  <c:v>9449.5499999999993</c:v>
                </c:pt>
                <c:pt idx="4">
                  <c:v>34376.15</c:v>
                </c:pt>
                <c:pt idx="5">
                  <c:v>27134.55</c:v>
                </c:pt>
                <c:pt idx="6">
                  <c:v>23693.05</c:v>
                </c:pt>
                <c:pt idx="7">
                  <c:v>36576.124000000003</c:v>
                </c:pt>
                <c:pt idx="8">
                  <c:v>43036.358999999997</c:v>
                </c:pt>
                <c:pt idx="9">
                  <c:v>15669.689</c:v>
                </c:pt>
                <c:pt idx="10">
                  <c:v>18577.234</c:v>
                </c:pt>
                <c:pt idx="11">
                  <c:v>26667.285</c:v>
                </c:pt>
                <c:pt idx="12">
                  <c:v>6967.4669999999996</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Dat_01!$C$220:$O$220</c:f>
              <c:numCache>
                <c:formatCode>#,##0.0</c:formatCode>
                <c:ptCount val="13"/>
                <c:pt idx="0">
                  <c:v>993.53399999999999</c:v>
                </c:pt>
                <c:pt idx="1">
                  <c:v>1360.5</c:v>
                </c:pt>
                <c:pt idx="2">
                  <c:v>1568.95</c:v>
                </c:pt>
                <c:pt idx="3">
                  <c:v>863.15</c:v>
                </c:pt>
                <c:pt idx="4">
                  <c:v>366.5</c:v>
                </c:pt>
                <c:pt idx="5">
                  <c:v>941.3</c:v>
                </c:pt>
                <c:pt idx="6">
                  <c:v>409.5</c:v>
                </c:pt>
                <c:pt idx="7">
                  <c:v>383.58300000000003</c:v>
                </c:pt>
                <c:pt idx="8">
                  <c:v>665</c:v>
                </c:pt>
                <c:pt idx="9">
                  <c:v>436.983</c:v>
                </c:pt>
                <c:pt idx="10">
                  <c:v>509.983</c:v>
                </c:pt>
                <c:pt idx="11">
                  <c:v>1312.75</c:v>
                </c:pt>
                <c:pt idx="12">
                  <c:v>1237.567</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Dat_01!$C$221:$O$221</c:f>
              <c:numCache>
                <c:formatCode>#,##0.0</c:formatCode>
                <c:ptCount val="13"/>
                <c:pt idx="0">
                  <c:v>76705.798999999999</c:v>
                </c:pt>
                <c:pt idx="1">
                  <c:v>53970.15</c:v>
                </c:pt>
                <c:pt idx="2">
                  <c:v>44515.75</c:v>
                </c:pt>
                <c:pt idx="3">
                  <c:v>21756.775000000001</c:v>
                </c:pt>
                <c:pt idx="4">
                  <c:v>9671.85</c:v>
                </c:pt>
                <c:pt idx="5">
                  <c:v>22367.341</c:v>
                </c:pt>
                <c:pt idx="6">
                  <c:v>22439.35</c:v>
                </c:pt>
                <c:pt idx="7">
                  <c:v>24097.200000000001</c:v>
                </c:pt>
                <c:pt idx="8">
                  <c:v>24716.331999999999</c:v>
                </c:pt>
                <c:pt idx="9">
                  <c:v>15651.814</c:v>
                </c:pt>
                <c:pt idx="10">
                  <c:v>21209.651000000002</c:v>
                </c:pt>
                <c:pt idx="11">
                  <c:v>65291.366000000002</c:v>
                </c:pt>
                <c:pt idx="12">
                  <c:v>38186.917999999998</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Dat_01!$C$223:$O$223</c:f>
              <c:numCache>
                <c:formatCode>#,##0.0</c:formatCode>
                <c:ptCount val="13"/>
                <c:pt idx="0">
                  <c:v>82469.11</c:v>
                </c:pt>
                <c:pt idx="1">
                  <c:v>172995.63699999999</c:v>
                </c:pt>
                <c:pt idx="2">
                  <c:v>130290.417</c:v>
                </c:pt>
                <c:pt idx="3">
                  <c:v>60074.966999999997</c:v>
                </c:pt>
                <c:pt idx="4">
                  <c:v>26082.375</c:v>
                </c:pt>
                <c:pt idx="5">
                  <c:v>69061.966</c:v>
                </c:pt>
                <c:pt idx="6">
                  <c:v>52735.925999999999</c:v>
                </c:pt>
                <c:pt idx="7">
                  <c:v>63325.637000000002</c:v>
                </c:pt>
                <c:pt idx="8">
                  <c:v>56825.010999999999</c:v>
                </c:pt>
                <c:pt idx="9">
                  <c:v>74208.519</c:v>
                </c:pt>
                <c:pt idx="10">
                  <c:v>31529.169000000002</c:v>
                </c:pt>
                <c:pt idx="11">
                  <c:v>172075.13800000001</c:v>
                </c:pt>
                <c:pt idx="12">
                  <c:v>226398.48300000001</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Dat_01!$C$226:$O$226</c:f>
              <c:numCache>
                <c:formatCode>#,##0.0</c:formatCode>
                <c:ptCount val="13"/>
                <c:pt idx="0">
                  <c:v>84995.438999999998</c:v>
                </c:pt>
                <c:pt idx="1">
                  <c:v>62327.576000000001</c:v>
                </c:pt>
                <c:pt idx="2">
                  <c:v>66805.399999999994</c:v>
                </c:pt>
                <c:pt idx="3">
                  <c:v>38696.474999999999</c:v>
                </c:pt>
                <c:pt idx="4">
                  <c:v>56107.25</c:v>
                </c:pt>
                <c:pt idx="5">
                  <c:v>28608.517</c:v>
                </c:pt>
                <c:pt idx="6">
                  <c:v>11833.25</c:v>
                </c:pt>
                <c:pt idx="7">
                  <c:v>35547.775999999998</c:v>
                </c:pt>
                <c:pt idx="8">
                  <c:v>20297.741000000002</c:v>
                </c:pt>
                <c:pt idx="9">
                  <c:v>14523.97</c:v>
                </c:pt>
                <c:pt idx="10">
                  <c:v>20973.499</c:v>
                </c:pt>
                <c:pt idx="11">
                  <c:v>50957.332999999999</c:v>
                </c:pt>
                <c:pt idx="12">
                  <c:v>33449.748</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extLst xmlns:c15="http://schemas.microsoft.com/office/drawing/2012/chart"/>
            </c:strRef>
          </c:cat>
          <c:val>
            <c:numRef>
              <c:f>Dat_01!$C$228:$O$228</c:f>
              <c:numCache>
                <c:formatCode>#,##0.0</c:formatCode>
                <c:ptCount val="13"/>
                <c:pt idx="0">
                  <c:v>33505.375</c:v>
                </c:pt>
                <c:pt idx="1">
                  <c:v>36555.050000000003</c:v>
                </c:pt>
                <c:pt idx="2">
                  <c:v>42367.775000000001</c:v>
                </c:pt>
                <c:pt idx="3">
                  <c:v>23024.25</c:v>
                </c:pt>
                <c:pt idx="4">
                  <c:v>44160.5</c:v>
                </c:pt>
                <c:pt idx="5">
                  <c:v>32261.5</c:v>
                </c:pt>
                <c:pt idx="6">
                  <c:v>35004.25</c:v>
                </c:pt>
                <c:pt idx="7">
                  <c:v>45108.25</c:v>
                </c:pt>
                <c:pt idx="8">
                  <c:v>21705.724999999999</c:v>
                </c:pt>
                <c:pt idx="9">
                  <c:v>6274.25</c:v>
                </c:pt>
                <c:pt idx="10">
                  <c:v>33295.5</c:v>
                </c:pt>
                <c:pt idx="11">
                  <c:v>33967.75</c:v>
                </c:pt>
                <c:pt idx="12">
                  <c:v>12881.5</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Dat_01!$C$229:$O$229</c:f>
              <c:numCache>
                <c:formatCode>#,##0.0</c:formatCode>
                <c:ptCount val="13"/>
                <c:pt idx="0">
                  <c:v>703.5</c:v>
                </c:pt>
                <c:pt idx="1">
                  <c:v>479.5</c:v>
                </c:pt>
                <c:pt idx="2">
                  <c:v>203.75</c:v>
                </c:pt>
                <c:pt idx="3">
                  <c:v>2702</c:v>
                </c:pt>
                <c:pt idx="4">
                  <c:v>200.75</c:v>
                </c:pt>
                <c:pt idx="5">
                  <c:v>0.5</c:v>
                </c:pt>
                <c:pt idx="6">
                  <c:v>8</c:v>
                </c:pt>
                <c:pt idx="7">
                  <c:v>350.21699999999998</c:v>
                </c:pt>
                <c:pt idx="8">
                  <c:v>1195</c:v>
                </c:pt>
                <c:pt idx="9">
                  <c:v>416.85</c:v>
                </c:pt>
                <c:pt idx="10">
                  <c:v>643.25</c:v>
                </c:pt>
                <c:pt idx="11">
                  <c:v>60.75</c:v>
                </c:pt>
                <c:pt idx="12">
                  <c:v>441.5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Dat_01!$C$230:$O$230</c:f>
              <c:numCache>
                <c:formatCode>#,##0.0</c:formatCode>
                <c:ptCount val="13"/>
                <c:pt idx="0">
                  <c:v>980.66600000000005</c:v>
                </c:pt>
                <c:pt idx="1">
                  <c:v>1739.683</c:v>
                </c:pt>
                <c:pt idx="2">
                  <c:v>3896.5160000000001</c:v>
                </c:pt>
                <c:pt idx="3">
                  <c:v>4437.6490000000003</c:v>
                </c:pt>
                <c:pt idx="4">
                  <c:v>3327.3</c:v>
                </c:pt>
                <c:pt idx="5">
                  <c:v>2881.4830000000002</c:v>
                </c:pt>
                <c:pt idx="6">
                  <c:v>2162.366</c:v>
                </c:pt>
                <c:pt idx="7">
                  <c:v>1952.1</c:v>
                </c:pt>
                <c:pt idx="8">
                  <c:v>2226.7640000000001</c:v>
                </c:pt>
                <c:pt idx="9">
                  <c:v>1742.778</c:v>
                </c:pt>
                <c:pt idx="10">
                  <c:v>2462.2339999999999</c:v>
                </c:pt>
                <c:pt idx="11">
                  <c:v>4065.0329999999999</c:v>
                </c:pt>
                <c:pt idx="12">
                  <c:v>3720.0479999999998</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24</c:v>
                </c:pt>
                <c:pt idx="9">
                  <c:v>11.75</c:v>
                </c:pt>
                <c:pt idx="10">
                  <c:v>5</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Dat_01!$C$232:$O$232</c:f>
              <c:numCache>
                <c:formatCode>#,##0.0</c:formatCode>
                <c:ptCount val="13"/>
                <c:pt idx="0">
                  <c:v>63591.995999999999</c:v>
                </c:pt>
                <c:pt idx="1">
                  <c:v>87722.982999999993</c:v>
                </c:pt>
                <c:pt idx="2">
                  <c:v>104779.283</c:v>
                </c:pt>
                <c:pt idx="3">
                  <c:v>99194.45</c:v>
                </c:pt>
                <c:pt idx="4">
                  <c:v>21212.375</c:v>
                </c:pt>
                <c:pt idx="5">
                  <c:v>83232.362999999998</c:v>
                </c:pt>
                <c:pt idx="6">
                  <c:v>66270.042000000001</c:v>
                </c:pt>
                <c:pt idx="7">
                  <c:v>79062.11</c:v>
                </c:pt>
                <c:pt idx="8">
                  <c:v>48759.669000000002</c:v>
                </c:pt>
                <c:pt idx="9">
                  <c:v>25768.780999999999</c:v>
                </c:pt>
                <c:pt idx="10">
                  <c:v>6381.4690000000001</c:v>
                </c:pt>
                <c:pt idx="11">
                  <c:v>37857.144999999997</c:v>
                </c:pt>
                <c:pt idx="12">
                  <c:v>244589.13800000001</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Dat_01!$C$233:$O$233</c:f>
              <c:numCache>
                <c:formatCode>#,##0.0</c:formatCode>
                <c:ptCount val="13"/>
                <c:pt idx="0">
                  <c:v>2296.4499999999998</c:v>
                </c:pt>
                <c:pt idx="1">
                  <c:v>2136.5</c:v>
                </c:pt>
                <c:pt idx="2">
                  <c:v>679</c:v>
                </c:pt>
                <c:pt idx="3">
                  <c:v>1243.3</c:v>
                </c:pt>
                <c:pt idx="4">
                  <c:v>979.75</c:v>
                </c:pt>
                <c:pt idx="5">
                  <c:v>771.75</c:v>
                </c:pt>
                <c:pt idx="6">
                  <c:v>1365</c:v>
                </c:pt>
                <c:pt idx="7">
                  <c:v>807.75</c:v>
                </c:pt>
                <c:pt idx="8">
                  <c:v>907.75</c:v>
                </c:pt>
                <c:pt idx="9">
                  <c:v>86.75</c:v>
                </c:pt>
                <c:pt idx="10">
                  <c:v>606.25</c:v>
                </c:pt>
                <c:pt idx="11">
                  <c:v>1893.25</c:v>
                </c:pt>
                <c:pt idx="12">
                  <c:v>2902.5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Dat_01!$C$234:$O$234</c:f>
              <c:numCache>
                <c:formatCode>#,##0.0</c:formatCode>
                <c:ptCount val="13"/>
                <c:pt idx="0">
                  <c:v>30971.184000000001</c:v>
                </c:pt>
                <c:pt idx="1">
                  <c:v>23083.05</c:v>
                </c:pt>
                <c:pt idx="2">
                  <c:v>24323</c:v>
                </c:pt>
                <c:pt idx="3">
                  <c:v>15956.517</c:v>
                </c:pt>
                <c:pt idx="4">
                  <c:v>10532.25</c:v>
                </c:pt>
                <c:pt idx="5">
                  <c:v>10383.450000000001</c:v>
                </c:pt>
                <c:pt idx="6">
                  <c:v>10664.65</c:v>
                </c:pt>
                <c:pt idx="7">
                  <c:v>13546.782999999999</c:v>
                </c:pt>
                <c:pt idx="8">
                  <c:v>17059.75</c:v>
                </c:pt>
                <c:pt idx="9">
                  <c:v>8942.5499999999993</c:v>
                </c:pt>
                <c:pt idx="10">
                  <c:v>10255.6</c:v>
                </c:pt>
                <c:pt idx="11">
                  <c:v>30050.967000000001</c:v>
                </c:pt>
                <c:pt idx="12">
                  <c:v>29190.814999999999</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22.75</c:v>
                </c:pt>
                <c:pt idx="3">
                  <c:v>22</c:v>
                </c:pt>
                <c:pt idx="4">
                  <c:v>0</c:v>
                </c:pt>
                <c:pt idx="5">
                  <c:v>0</c:v>
                </c:pt>
                <c:pt idx="6">
                  <c:v>0</c:v>
                </c:pt>
                <c:pt idx="7">
                  <c:v>211.4</c:v>
                </c:pt>
                <c:pt idx="8">
                  <c:v>15.25</c:v>
                </c:pt>
                <c:pt idx="9">
                  <c:v>0</c:v>
                </c:pt>
                <c:pt idx="10">
                  <c:v>0.5</c:v>
                </c:pt>
                <c:pt idx="11">
                  <c:v>25.3</c:v>
                </c:pt>
                <c:pt idx="12">
                  <c:v>20.417000000000002</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37.849235561100002</c:v>
                </c:pt>
                <c:pt idx="1">
                  <c:v>1.7364664057999999</c:v>
                </c:pt>
                <c:pt idx="2">
                  <c:v>-3.2239345521999998</c:v>
                </c:pt>
                <c:pt idx="3">
                  <c:v>-4.1235086641000001</c:v>
                </c:pt>
                <c:pt idx="4">
                  <c:v>59.358578694199998</c:v>
                </c:pt>
                <c:pt idx="5">
                  <c:v>18.384595549299998</c:v>
                </c:pt>
                <c:pt idx="6">
                  <c:v>15.012926886100001</c:v>
                </c:pt>
                <c:pt idx="7">
                  <c:v>0.25983211550000002</c:v>
                </c:pt>
                <c:pt idx="8">
                  <c:v>32.758575262699999</c:v>
                </c:pt>
                <c:pt idx="9">
                  <c:v>15.736337971199999</c:v>
                </c:pt>
                <c:pt idx="10">
                  <c:v>44.960934410900002</c:v>
                </c:pt>
                <c:pt idx="11">
                  <c:v>25.704341869</c:v>
                </c:pt>
                <c:pt idx="12">
                  <c:v>-4.6515428505000003</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100000"/>
        <c:dispUnits>
          <c:builtInUnit val="thousands"/>
        </c:dispUnits>
      </c:valAx>
      <c:valAx>
        <c:axId val="531370320"/>
        <c:scaling>
          <c:orientation val="maxMin"/>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5"/>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0785334982957624"/>
          <c:w val="0.94062324098319727"/>
          <c:h val="0.1921466501704237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Dat_01!$C$199:$O$199</c:f>
              <c:numCache>
                <c:formatCode>#,##0.0</c:formatCode>
                <c:ptCount val="13"/>
                <c:pt idx="0">
                  <c:v>155.25</c:v>
                </c:pt>
                <c:pt idx="1">
                  <c:v>34.450000000000003</c:v>
                </c:pt>
                <c:pt idx="2">
                  <c:v>30.05</c:v>
                </c:pt>
                <c:pt idx="3">
                  <c:v>0</c:v>
                </c:pt>
                <c:pt idx="4">
                  <c:v>83.15</c:v>
                </c:pt>
                <c:pt idx="5">
                  <c:v>422.25</c:v>
                </c:pt>
                <c:pt idx="6">
                  <c:v>0</c:v>
                </c:pt>
                <c:pt idx="7">
                  <c:v>90</c:v>
                </c:pt>
                <c:pt idx="8">
                  <c:v>457.41699999999997</c:v>
                </c:pt>
                <c:pt idx="9">
                  <c:v>20</c:v>
                </c:pt>
                <c:pt idx="10">
                  <c:v>252.51499999999999</c:v>
                </c:pt>
                <c:pt idx="11">
                  <c:v>859</c:v>
                </c:pt>
                <c:pt idx="12">
                  <c:v>0</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Dat_01!$C$200:$O$200</c:f>
              <c:numCache>
                <c:formatCode>#,##0.0</c:formatCode>
                <c:ptCount val="13"/>
                <c:pt idx="0">
                  <c:v>41086.735000000001</c:v>
                </c:pt>
                <c:pt idx="1">
                  <c:v>42628.800000000003</c:v>
                </c:pt>
                <c:pt idx="2">
                  <c:v>21334.2</c:v>
                </c:pt>
                <c:pt idx="3">
                  <c:v>43474.65</c:v>
                </c:pt>
                <c:pt idx="4">
                  <c:v>226890.22500000001</c:v>
                </c:pt>
                <c:pt idx="5">
                  <c:v>209561.22500000001</c:v>
                </c:pt>
                <c:pt idx="6">
                  <c:v>179282</c:v>
                </c:pt>
                <c:pt idx="7">
                  <c:v>112488.129</c:v>
                </c:pt>
                <c:pt idx="8">
                  <c:v>207007.23800000001</c:v>
                </c:pt>
                <c:pt idx="9">
                  <c:v>207366.633</c:v>
                </c:pt>
                <c:pt idx="10">
                  <c:v>266092.64399999997</c:v>
                </c:pt>
                <c:pt idx="11">
                  <c:v>302103.14199999999</c:v>
                </c:pt>
                <c:pt idx="12">
                  <c:v>51089.714</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Dat_01!$C$201:$O$201</c:f>
              <c:numCache>
                <c:formatCode>#,##0.0</c:formatCode>
                <c:ptCount val="13"/>
                <c:pt idx="0">
                  <c:v>0</c:v>
                </c:pt>
                <c:pt idx="1">
                  <c:v>140</c:v>
                </c:pt>
                <c:pt idx="2">
                  <c:v>52.5</c:v>
                </c:pt>
                <c:pt idx="3">
                  <c:v>92.75</c:v>
                </c:pt>
                <c:pt idx="4">
                  <c:v>209.25</c:v>
                </c:pt>
                <c:pt idx="5">
                  <c:v>318.75</c:v>
                </c:pt>
                <c:pt idx="6">
                  <c:v>173.25</c:v>
                </c:pt>
                <c:pt idx="7">
                  <c:v>239.75</c:v>
                </c:pt>
                <c:pt idx="8">
                  <c:v>542.86699999999996</c:v>
                </c:pt>
                <c:pt idx="9">
                  <c:v>165.75</c:v>
                </c:pt>
                <c:pt idx="10">
                  <c:v>189.25</c:v>
                </c:pt>
                <c:pt idx="11">
                  <c:v>228</c:v>
                </c:pt>
                <c:pt idx="12">
                  <c:v>295.75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Dat_01!$C$202:$O$202</c:f>
              <c:numCache>
                <c:formatCode>#,##0.0</c:formatCode>
                <c:ptCount val="13"/>
                <c:pt idx="0">
                  <c:v>10732.416999999999</c:v>
                </c:pt>
                <c:pt idx="1">
                  <c:v>30167.8</c:v>
                </c:pt>
                <c:pt idx="2">
                  <c:v>25127.55</c:v>
                </c:pt>
                <c:pt idx="3">
                  <c:v>28512.400000000001</c:v>
                </c:pt>
                <c:pt idx="4">
                  <c:v>19186.8</c:v>
                </c:pt>
                <c:pt idx="5">
                  <c:v>17123.95</c:v>
                </c:pt>
                <c:pt idx="6">
                  <c:v>17965.3</c:v>
                </c:pt>
                <c:pt idx="7">
                  <c:v>19717.983</c:v>
                </c:pt>
                <c:pt idx="8">
                  <c:v>19655.100999999999</c:v>
                </c:pt>
                <c:pt idx="9">
                  <c:v>31749.741000000002</c:v>
                </c:pt>
                <c:pt idx="10">
                  <c:v>19420.499</c:v>
                </c:pt>
                <c:pt idx="11">
                  <c:v>21825</c:v>
                </c:pt>
                <c:pt idx="12">
                  <c:v>12831.683999999999</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Dat_01!$C$204:$O$204</c:f>
              <c:numCache>
                <c:formatCode>#,##0.0</c:formatCode>
                <c:ptCount val="13"/>
                <c:pt idx="0">
                  <c:v>9668.9809999999998</c:v>
                </c:pt>
                <c:pt idx="1">
                  <c:v>31429.5</c:v>
                </c:pt>
                <c:pt idx="2">
                  <c:v>27130.85</c:v>
                </c:pt>
                <c:pt idx="3">
                  <c:v>43167.925000000003</c:v>
                </c:pt>
                <c:pt idx="4">
                  <c:v>27497.7</c:v>
                </c:pt>
                <c:pt idx="5">
                  <c:v>13989.3</c:v>
                </c:pt>
                <c:pt idx="6">
                  <c:v>16005.75</c:v>
                </c:pt>
                <c:pt idx="7">
                  <c:v>16576.755000000001</c:v>
                </c:pt>
                <c:pt idx="8">
                  <c:v>26102.233</c:v>
                </c:pt>
                <c:pt idx="9">
                  <c:v>21238.094000000001</c:v>
                </c:pt>
                <c:pt idx="10">
                  <c:v>18071.8</c:v>
                </c:pt>
                <c:pt idx="11">
                  <c:v>31834.75</c:v>
                </c:pt>
                <c:pt idx="12">
                  <c:v>56996.767999999996</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extLst xmlns:c15="http://schemas.microsoft.com/office/drawing/2012/chart"/>
            </c:strRef>
          </c:cat>
          <c:val>
            <c:numRef>
              <c:f>Dat_01!$C$209:$O$209</c:f>
              <c:numCache>
                <c:formatCode>#,##0.0</c:formatCode>
                <c:ptCount val="13"/>
                <c:pt idx="0">
                  <c:v>28098.799999999999</c:v>
                </c:pt>
                <c:pt idx="1">
                  <c:v>34080.6</c:v>
                </c:pt>
                <c:pt idx="2">
                  <c:v>26275.474999999999</c:v>
                </c:pt>
                <c:pt idx="3">
                  <c:v>35039.25</c:v>
                </c:pt>
                <c:pt idx="4">
                  <c:v>33961.75</c:v>
                </c:pt>
                <c:pt idx="5">
                  <c:v>27631.25</c:v>
                </c:pt>
                <c:pt idx="6">
                  <c:v>39299.75</c:v>
                </c:pt>
                <c:pt idx="7">
                  <c:v>29569.5</c:v>
                </c:pt>
                <c:pt idx="8">
                  <c:v>15003</c:v>
                </c:pt>
                <c:pt idx="9">
                  <c:v>4295.125</c:v>
                </c:pt>
                <c:pt idx="10">
                  <c:v>46489.75</c:v>
                </c:pt>
                <c:pt idx="11">
                  <c:v>46037.25</c:v>
                </c:pt>
                <c:pt idx="12">
                  <c:v>28493.75</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Dat_01!$C$207:$O$207</c:f>
              <c:numCache>
                <c:formatCode>#,##0.0</c:formatCode>
                <c:ptCount val="13"/>
                <c:pt idx="0">
                  <c:v>17178.798999999999</c:v>
                </c:pt>
                <c:pt idx="1">
                  <c:v>34297.5</c:v>
                </c:pt>
                <c:pt idx="2">
                  <c:v>36079.15</c:v>
                </c:pt>
                <c:pt idx="3">
                  <c:v>30711.75</c:v>
                </c:pt>
                <c:pt idx="4">
                  <c:v>31774.95</c:v>
                </c:pt>
                <c:pt idx="5">
                  <c:v>85316.175000000003</c:v>
                </c:pt>
                <c:pt idx="6">
                  <c:v>54636.866999999998</c:v>
                </c:pt>
                <c:pt idx="7">
                  <c:v>20999.040000000001</c:v>
                </c:pt>
                <c:pt idx="8">
                  <c:v>52921.534</c:v>
                </c:pt>
                <c:pt idx="9">
                  <c:v>43671.635000000002</c:v>
                </c:pt>
                <c:pt idx="10">
                  <c:v>78431.933999999994</c:v>
                </c:pt>
                <c:pt idx="11">
                  <c:v>67707.217999999993</c:v>
                </c:pt>
                <c:pt idx="12">
                  <c:v>34524.767999999996</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Dat_01!$C$210:$O$210</c:f>
              <c:numCache>
                <c:formatCode>#,##0.0</c:formatCode>
                <c:ptCount val="13"/>
                <c:pt idx="0">
                  <c:v>0</c:v>
                </c:pt>
                <c:pt idx="1">
                  <c:v>359.05</c:v>
                </c:pt>
                <c:pt idx="2">
                  <c:v>364</c:v>
                </c:pt>
                <c:pt idx="3">
                  <c:v>1965.25</c:v>
                </c:pt>
                <c:pt idx="4">
                  <c:v>659</c:v>
                </c:pt>
                <c:pt idx="5">
                  <c:v>742</c:v>
                </c:pt>
                <c:pt idx="6">
                  <c:v>632.15</c:v>
                </c:pt>
                <c:pt idx="7">
                  <c:v>153.69999999999999</c:v>
                </c:pt>
                <c:pt idx="8">
                  <c:v>197.75</c:v>
                </c:pt>
                <c:pt idx="9">
                  <c:v>817.75</c:v>
                </c:pt>
                <c:pt idx="10">
                  <c:v>393.5</c:v>
                </c:pt>
                <c:pt idx="11">
                  <c:v>266.25</c:v>
                </c:pt>
                <c:pt idx="12">
                  <c:v>83.75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Dat_01!$C$211:$O$211</c:f>
              <c:numCache>
                <c:formatCode>#,##0.0</c:formatCode>
                <c:ptCount val="13"/>
                <c:pt idx="0">
                  <c:v>17.25</c:v>
                </c:pt>
                <c:pt idx="1">
                  <c:v>304.89999999999998</c:v>
                </c:pt>
                <c:pt idx="2">
                  <c:v>299.3</c:v>
                </c:pt>
                <c:pt idx="3">
                  <c:v>1099.6500000000001</c:v>
                </c:pt>
                <c:pt idx="4">
                  <c:v>445.65</c:v>
                </c:pt>
                <c:pt idx="5">
                  <c:v>454.7</c:v>
                </c:pt>
                <c:pt idx="6">
                  <c:v>547.04999999999995</c:v>
                </c:pt>
                <c:pt idx="7">
                  <c:v>388.13299999999998</c:v>
                </c:pt>
                <c:pt idx="8">
                  <c:v>801.88199999999995</c:v>
                </c:pt>
                <c:pt idx="9">
                  <c:v>592.50099999999998</c:v>
                </c:pt>
                <c:pt idx="10">
                  <c:v>703.6</c:v>
                </c:pt>
                <c:pt idx="11">
                  <c:v>1370.1489999999999</c:v>
                </c:pt>
                <c:pt idx="12">
                  <c:v>1479.4169999999999</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133.5</c:v>
                </c:pt>
                <c:pt idx="9">
                  <c:v>901.5</c:v>
                </c:pt>
                <c:pt idx="10">
                  <c:v>405.25</c:v>
                </c:pt>
                <c:pt idx="11">
                  <c:v>414</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Dat_01!$C$213:$O$213</c:f>
              <c:numCache>
                <c:formatCode>#,##0.0</c:formatCode>
                <c:ptCount val="13"/>
                <c:pt idx="0">
                  <c:v>2360.9009999999998</c:v>
                </c:pt>
                <c:pt idx="1">
                  <c:v>6670.45</c:v>
                </c:pt>
                <c:pt idx="2">
                  <c:v>9781.15</c:v>
                </c:pt>
                <c:pt idx="3">
                  <c:v>14137.575000000001</c:v>
                </c:pt>
                <c:pt idx="4">
                  <c:v>20985.474999999999</c:v>
                </c:pt>
                <c:pt idx="5">
                  <c:v>14673.875</c:v>
                </c:pt>
                <c:pt idx="6">
                  <c:v>22896.5</c:v>
                </c:pt>
                <c:pt idx="7">
                  <c:v>14205.386</c:v>
                </c:pt>
                <c:pt idx="8">
                  <c:v>9379.7669999999998</c:v>
                </c:pt>
                <c:pt idx="9">
                  <c:v>4838.0010000000002</c:v>
                </c:pt>
                <c:pt idx="10">
                  <c:v>4763.4480000000003</c:v>
                </c:pt>
                <c:pt idx="11">
                  <c:v>6277.7669999999998</c:v>
                </c:pt>
                <c:pt idx="12">
                  <c:v>8331.3809999999994</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Dat_01!$C$214:$O$214</c:f>
              <c:numCache>
                <c:formatCode>#,##0.0</c:formatCode>
                <c:ptCount val="13"/>
                <c:pt idx="0">
                  <c:v>4.75</c:v>
                </c:pt>
                <c:pt idx="1">
                  <c:v>62.75</c:v>
                </c:pt>
                <c:pt idx="2">
                  <c:v>157.75</c:v>
                </c:pt>
                <c:pt idx="3">
                  <c:v>300.5</c:v>
                </c:pt>
                <c:pt idx="4">
                  <c:v>170.25</c:v>
                </c:pt>
                <c:pt idx="5">
                  <c:v>455.92500000000001</c:v>
                </c:pt>
                <c:pt idx="6">
                  <c:v>301.75</c:v>
                </c:pt>
                <c:pt idx="7">
                  <c:v>325.25</c:v>
                </c:pt>
                <c:pt idx="8">
                  <c:v>563.25</c:v>
                </c:pt>
                <c:pt idx="9">
                  <c:v>122.25</c:v>
                </c:pt>
                <c:pt idx="10">
                  <c:v>165.25</c:v>
                </c:pt>
                <c:pt idx="11">
                  <c:v>126.25</c:v>
                </c:pt>
                <c:pt idx="12">
                  <c:v>351</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Dat_01!$C$215:$O$215</c:f>
              <c:numCache>
                <c:formatCode>#,##0.0</c:formatCode>
                <c:ptCount val="13"/>
                <c:pt idx="0">
                  <c:v>5627</c:v>
                </c:pt>
                <c:pt idx="1">
                  <c:v>14804.75</c:v>
                </c:pt>
                <c:pt idx="2">
                  <c:v>16764.75</c:v>
                </c:pt>
                <c:pt idx="3">
                  <c:v>23021.55</c:v>
                </c:pt>
                <c:pt idx="4">
                  <c:v>17574.599999999999</c:v>
                </c:pt>
                <c:pt idx="5">
                  <c:v>21808.125</c:v>
                </c:pt>
                <c:pt idx="6">
                  <c:v>20287.816999999999</c:v>
                </c:pt>
                <c:pt idx="7">
                  <c:v>18414.18</c:v>
                </c:pt>
                <c:pt idx="8">
                  <c:v>16770.466</c:v>
                </c:pt>
                <c:pt idx="9">
                  <c:v>17768.901999999998</c:v>
                </c:pt>
                <c:pt idx="10">
                  <c:v>29822.548999999999</c:v>
                </c:pt>
                <c:pt idx="11">
                  <c:v>42487.55</c:v>
                </c:pt>
                <c:pt idx="12">
                  <c:v>18170.684000000001</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29.75</c:v>
                </c:pt>
                <c:pt idx="8">
                  <c:v>0</c:v>
                </c:pt>
                <c:pt idx="9">
                  <c:v>0</c:v>
                </c:pt>
                <c:pt idx="10">
                  <c:v>0</c:v>
                </c:pt>
                <c:pt idx="11">
                  <c:v>0</c:v>
                </c:pt>
                <c:pt idx="12">
                  <c:v>0</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Dat_01!$C$415:$O$415</c:f>
              <c:numCache>
                <c:formatCode>#,##0.00</c:formatCode>
                <c:ptCount val="13"/>
                <c:pt idx="0">
                  <c:v>120.5025753649</c:v>
                </c:pt>
                <c:pt idx="1">
                  <c:v>90.112878959900002</c:v>
                </c:pt>
                <c:pt idx="2">
                  <c:v>58.371273219899997</c:v>
                </c:pt>
                <c:pt idx="3">
                  <c:v>55.693702808300003</c:v>
                </c:pt>
                <c:pt idx="4">
                  <c:v>104.9215167187</c:v>
                </c:pt>
                <c:pt idx="5">
                  <c:v>121.5609694004</c:v>
                </c:pt>
                <c:pt idx="6">
                  <c:v>109.9492029741</c:v>
                </c:pt>
                <c:pt idx="7">
                  <c:v>94.673383029199996</c:v>
                </c:pt>
                <c:pt idx="8">
                  <c:v>107.2113005402</c:v>
                </c:pt>
                <c:pt idx="9">
                  <c:v>96.675296389500005</c:v>
                </c:pt>
                <c:pt idx="10">
                  <c:v>100.82860255590001</c:v>
                </c:pt>
                <c:pt idx="11">
                  <c:v>116.26221271990001</c:v>
                </c:pt>
                <c:pt idx="12">
                  <c:v>53.062662903499998</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100000"/>
        <c:dispUnits>
          <c:builtInUnit val="thousands"/>
        </c:dispUnits>
      </c:valAx>
      <c:valAx>
        <c:axId val="531372280"/>
        <c:scaling>
          <c:orientation val="minMax"/>
          <c:max val="150"/>
          <c:min val="-2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5"/>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132</c:v>
                </c:pt>
                <c:pt idx="1">
                  <c:v>28.75</c:v>
                </c:pt>
                <c:pt idx="2">
                  <c:v>155.75</c:v>
                </c:pt>
                <c:pt idx="3">
                  <c:v>0</c:v>
                </c:pt>
                <c:pt idx="4">
                  <c:v>11.5</c:v>
                </c:pt>
                <c:pt idx="5">
                  <c:v>0</c:v>
                </c:pt>
                <c:pt idx="6">
                  <c:v>0</c:v>
                </c:pt>
                <c:pt idx="7">
                  <c:v>0</c:v>
                </c:pt>
                <c:pt idx="8">
                  <c:v>0</c:v>
                </c:pt>
                <c:pt idx="9">
                  <c:v>0</c:v>
                </c:pt>
                <c:pt idx="10">
                  <c:v>8</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55261.525000000001</c:v>
                </c:pt>
                <c:pt idx="1">
                  <c:v>35693.599999999999</c:v>
                </c:pt>
                <c:pt idx="2">
                  <c:v>15588.025</c:v>
                </c:pt>
                <c:pt idx="3">
                  <c:v>9638.65</c:v>
                </c:pt>
                <c:pt idx="4">
                  <c:v>14278.375</c:v>
                </c:pt>
                <c:pt idx="5">
                  <c:v>13517.6</c:v>
                </c:pt>
                <c:pt idx="6">
                  <c:v>17210.974999999999</c:v>
                </c:pt>
                <c:pt idx="7">
                  <c:v>26083.525000000001</c:v>
                </c:pt>
                <c:pt idx="8">
                  <c:v>27133.95</c:v>
                </c:pt>
                <c:pt idx="9">
                  <c:v>4904.3500000000004</c:v>
                </c:pt>
                <c:pt idx="10">
                  <c:v>14093.6</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17</c:v>
                </c:pt>
                <c:pt idx="1">
                  <c:v>461.27499999999998</c:v>
                </c:pt>
                <c:pt idx="2">
                  <c:v>424</c:v>
                </c:pt>
                <c:pt idx="3">
                  <c:v>44.6</c:v>
                </c:pt>
                <c:pt idx="4">
                  <c:v>142.15</c:v>
                </c:pt>
                <c:pt idx="5">
                  <c:v>382.25</c:v>
                </c:pt>
                <c:pt idx="6">
                  <c:v>334.7</c:v>
                </c:pt>
                <c:pt idx="7">
                  <c:v>675.3</c:v>
                </c:pt>
                <c:pt idx="8">
                  <c:v>329.2</c:v>
                </c:pt>
                <c:pt idx="9">
                  <c:v>159.92500000000001</c:v>
                </c:pt>
                <c:pt idx="10">
                  <c:v>146.75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53214.7</c:v>
                </c:pt>
                <c:pt idx="1">
                  <c:v>66433.399999999994</c:v>
                </c:pt>
                <c:pt idx="2">
                  <c:v>60650.9</c:v>
                </c:pt>
                <c:pt idx="3">
                  <c:v>30223.3</c:v>
                </c:pt>
                <c:pt idx="4">
                  <c:v>10803.025</c:v>
                </c:pt>
                <c:pt idx="5">
                  <c:v>29063.4</c:v>
                </c:pt>
                <c:pt idx="6">
                  <c:v>33584.800000000003</c:v>
                </c:pt>
                <c:pt idx="7">
                  <c:v>50212.175000000003</c:v>
                </c:pt>
                <c:pt idx="8">
                  <c:v>31660.924999999999</c:v>
                </c:pt>
                <c:pt idx="9">
                  <c:v>18738</c:v>
                </c:pt>
                <c:pt idx="10">
                  <c:v>17762.55</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121282.75</c:v>
                </c:pt>
                <c:pt idx="1">
                  <c:v>183823.9</c:v>
                </c:pt>
                <c:pt idx="2">
                  <c:v>142915.9</c:v>
                </c:pt>
                <c:pt idx="3">
                  <c:v>40362.474999999999</c:v>
                </c:pt>
                <c:pt idx="4">
                  <c:v>27645.625</c:v>
                </c:pt>
                <c:pt idx="5">
                  <c:v>78708.975000000006</c:v>
                </c:pt>
                <c:pt idx="6">
                  <c:v>84855.975000000006</c:v>
                </c:pt>
                <c:pt idx="7">
                  <c:v>132430.125</c:v>
                </c:pt>
                <c:pt idx="8">
                  <c:v>76987.074999999997</c:v>
                </c:pt>
                <c:pt idx="9">
                  <c:v>68351.8</c:v>
                </c:pt>
                <c:pt idx="10">
                  <c:v>26891.474999999999</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69284.95</c:v>
                </c:pt>
                <c:pt idx="1">
                  <c:v>84328.975000000006</c:v>
                </c:pt>
                <c:pt idx="2">
                  <c:v>66921.95</c:v>
                </c:pt>
                <c:pt idx="3">
                  <c:v>28568.724999999999</c:v>
                </c:pt>
                <c:pt idx="4">
                  <c:v>34246.75</c:v>
                </c:pt>
                <c:pt idx="5">
                  <c:v>23127.05</c:v>
                </c:pt>
                <c:pt idx="6">
                  <c:v>12644.575000000001</c:v>
                </c:pt>
                <c:pt idx="7">
                  <c:v>32428.275000000001</c:v>
                </c:pt>
                <c:pt idx="8">
                  <c:v>15988.174999999999</c:v>
                </c:pt>
                <c:pt idx="9">
                  <c:v>15686.325000000001</c:v>
                </c:pt>
                <c:pt idx="10">
                  <c:v>17452.025000000001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2488.5</c:v>
                </c:pt>
                <c:pt idx="1">
                  <c:v>368.6</c:v>
                </c:pt>
                <c:pt idx="2">
                  <c:v>1670.625</c:v>
                </c:pt>
                <c:pt idx="3">
                  <c:v>4390.55</c:v>
                </c:pt>
                <c:pt idx="4">
                  <c:v>1115.9000000000001</c:v>
                </c:pt>
                <c:pt idx="5">
                  <c:v>0</c:v>
                </c:pt>
                <c:pt idx="6">
                  <c:v>33</c:v>
                </c:pt>
                <c:pt idx="7">
                  <c:v>321.97500000000002</c:v>
                </c:pt>
                <c:pt idx="8">
                  <c:v>2131.5</c:v>
                </c:pt>
                <c:pt idx="9">
                  <c:v>572.57500000000005</c:v>
                </c:pt>
                <c:pt idx="10">
                  <c:v>80.525000000000006</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147</c:v>
                </c:pt>
                <c:pt idx="1">
                  <c:v>6</c:v>
                </c:pt>
                <c:pt idx="2">
                  <c:v>406.75</c:v>
                </c:pt>
                <c:pt idx="3">
                  <c:v>112</c:v>
                </c:pt>
                <c:pt idx="4">
                  <c:v>60</c:v>
                </c:pt>
                <c:pt idx="5">
                  <c:v>17.5</c:v>
                </c:pt>
                <c:pt idx="6">
                  <c:v>210</c:v>
                </c:pt>
                <c:pt idx="7">
                  <c:v>36</c:v>
                </c:pt>
                <c:pt idx="8">
                  <c:v>72</c:v>
                </c:pt>
                <c:pt idx="9">
                  <c:v>70</c:v>
                </c:pt>
                <c:pt idx="10">
                  <c:v>194.5</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42195.45</c:v>
                </c:pt>
                <c:pt idx="1">
                  <c:v>96803.75</c:v>
                </c:pt>
                <c:pt idx="2">
                  <c:v>144982.54999999999</c:v>
                </c:pt>
                <c:pt idx="3">
                  <c:v>92281.725000000006</c:v>
                </c:pt>
                <c:pt idx="4">
                  <c:v>30492.3</c:v>
                </c:pt>
                <c:pt idx="5">
                  <c:v>78426.2</c:v>
                </c:pt>
                <c:pt idx="6">
                  <c:v>114413.125</c:v>
                </c:pt>
                <c:pt idx="7">
                  <c:v>117703.4</c:v>
                </c:pt>
                <c:pt idx="8">
                  <c:v>50232.224999999999</c:v>
                </c:pt>
                <c:pt idx="9">
                  <c:v>24104.95</c:v>
                </c:pt>
                <c:pt idx="10">
                  <c:v>8104.4250000000002</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17562.8</c:v>
                </c:pt>
                <c:pt idx="1">
                  <c:v>11071.275</c:v>
                </c:pt>
                <c:pt idx="2">
                  <c:v>9716.75</c:v>
                </c:pt>
                <c:pt idx="3">
                  <c:v>3151.25</c:v>
                </c:pt>
                <c:pt idx="4">
                  <c:v>3067.5</c:v>
                </c:pt>
                <c:pt idx="5">
                  <c:v>1371</c:v>
                </c:pt>
                <c:pt idx="6">
                  <c:v>1764.75</c:v>
                </c:pt>
                <c:pt idx="7">
                  <c:v>2619</c:v>
                </c:pt>
                <c:pt idx="8">
                  <c:v>1674.45</c:v>
                </c:pt>
                <c:pt idx="9">
                  <c:v>1156.5</c:v>
                </c:pt>
                <c:pt idx="10">
                  <c:v>591.35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51895.625</c:v>
                </c:pt>
                <c:pt idx="1">
                  <c:v>37795.15</c:v>
                </c:pt>
                <c:pt idx="2">
                  <c:v>27303.9</c:v>
                </c:pt>
                <c:pt idx="3">
                  <c:v>14841.9</c:v>
                </c:pt>
                <c:pt idx="4">
                  <c:v>10692.35</c:v>
                </c:pt>
                <c:pt idx="5">
                  <c:v>13728.975</c:v>
                </c:pt>
                <c:pt idx="6">
                  <c:v>13260.225</c:v>
                </c:pt>
                <c:pt idx="7">
                  <c:v>20307.424999999999</c:v>
                </c:pt>
                <c:pt idx="8">
                  <c:v>19480.775000000001</c:v>
                </c:pt>
                <c:pt idx="9">
                  <c:v>10449.799999999999</c:v>
                </c:pt>
                <c:pt idx="10">
                  <c:v>10315.25</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27</c:v>
                </c:pt>
                <c:pt idx="3">
                  <c:v>41.875</c:v>
                </c:pt>
                <c:pt idx="4">
                  <c:v>0</c:v>
                </c:pt>
                <c:pt idx="5">
                  <c:v>0</c:v>
                </c:pt>
                <c:pt idx="6">
                  <c:v>0</c:v>
                </c:pt>
                <c:pt idx="7">
                  <c:v>594.22500000000002</c:v>
                </c:pt>
                <c:pt idx="8">
                  <c:v>0</c:v>
                </c:pt>
                <c:pt idx="9">
                  <c:v>0</c:v>
                </c:pt>
                <c:pt idx="10">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1-FEED-4C0A-97DA-0B18CB0B38E1}"/>
              </c:ext>
            </c:extLst>
          </c:dPt>
          <c:dPt>
            <c:idx val="12"/>
            <c:marker>
              <c:symbol val="none"/>
            </c:marker>
            <c:bubble3D val="0"/>
            <c:spPr>
              <a:ln w="28575" cap="rnd">
                <a:noFill/>
                <a:round/>
              </a:ln>
              <a:effectLst/>
            </c:spPr>
            <c:extLst>
              <c:ext xmlns:c16="http://schemas.microsoft.com/office/drawing/2014/chart" uri="{C3380CC4-5D6E-409C-BE32-E72D297353CC}">
                <c16:uniqueId val="{00000000-FEED-4C0A-97DA-0B18CB0B38E1}"/>
              </c:ext>
            </c:extLst>
          </c:dPt>
          <c:val>
            <c:numRef>
              <c:f>Dat_01!$C$418:$O$418</c:f>
              <c:numCache>
                <c:formatCode>#,##0.00</c:formatCode>
                <c:ptCount val="13"/>
                <c:pt idx="0">
                  <c:v>56.6349303597</c:v>
                </c:pt>
                <c:pt idx="1">
                  <c:v>3.8096046056000001</c:v>
                </c:pt>
                <c:pt idx="2">
                  <c:v>-1.4266996133000001</c:v>
                </c:pt>
                <c:pt idx="3">
                  <c:v>-4.0810580168000001</c:v>
                </c:pt>
                <c:pt idx="4">
                  <c:v>64.248668094300001</c:v>
                </c:pt>
                <c:pt idx="5">
                  <c:v>22.334454021199999</c:v>
                </c:pt>
                <c:pt idx="6">
                  <c:v>8.1725149182999992</c:v>
                </c:pt>
                <c:pt idx="7">
                  <c:v>13.4386992617</c:v>
                </c:pt>
                <c:pt idx="8">
                  <c:v>30.503105186900001</c:v>
                </c:pt>
                <c:pt idx="9">
                  <c:v>8.6680619366999991</c:v>
                </c:pt>
                <c:pt idx="10">
                  <c:v>29.5562912143</c:v>
                </c:pt>
                <c:pt idx="11">
                  <c:v>0</c:v>
                </c:pt>
                <c:pt idx="12">
                  <c:v>0</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Dat_01!$C$261:$O$261</c:f>
              <c:numCache>
                <c:formatCode>#,##0.0</c:formatCode>
                <c:ptCount val="13"/>
                <c:pt idx="0">
                  <c:v>260</c:v>
                </c:pt>
                <c:pt idx="1">
                  <c:v>897.77499999999998</c:v>
                </c:pt>
                <c:pt idx="2">
                  <c:v>298.75</c:v>
                </c:pt>
                <c:pt idx="3">
                  <c:v>0</c:v>
                </c:pt>
                <c:pt idx="4">
                  <c:v>45</c:v>
                </c:pt>
                <c:pt idx="5">
                  <c:v>75.974999999999994</c:v>
                </c:pt>
                <c:pt idx="6">
                  <c:v>0</c:v>
                </c:pt>
                <c:pt idx="7">
                  <c:v>140</c:v>
                </c:pt>
                <c:pt idx="8">
                  <c:v>133</c:v>
                </c:pt>
                <c:pt idx="9">
                  <c:v>0</c:v>
                </c:pt>
                <c:pt idx="10">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Dat_01!$C$262:$O$262</c:f>
              <c:numCache>
                <c:formatCode>#,##0.0</c:formatCode>
                <c:ptCount val="13"/>
                <c:pt idx="0">
                  <c:v>119835.95</c:v>
                </c:pt>
                <c:pt idx="1">
                  <c:v>65766.524999999994</c:v>
                </c:pt>
                <c:pt idx="2">
                  <c:v>18888.825000000001</c:v>
                </c:pt>
                <c:pt idx="3">
                  <c:v>20152.424999999999</c:v>
                </c:pt>
                <c:pt idx="4">
                  <c:v>150562.97500000001</c:v>
                </c:pt>
                <c:pt idx="5">
                  <c:v>111394.65</c:v>
                </c:pt>
                <c:pt idx="6">
                  <c:v>161963.32500000001</c:v>
                </c:pt>
                <c:pt idx="7">
                  <c:v>74319.425000000003</c:v>
                </c:pt>
                <c:pt idx="8">
                  <c:v>99176.3</c:v>
                </c:pt>
                <c:pt idx="9">
                  <c:v>179691.27499999999</c:v>
                </c:pt>
                <c:pt idx="10">
                  <c:v>264347.05</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Dat_01!$C$263:$O$263</c:f>
              <c:numCache>
                <c:formatCode>#,##0.0</c:formatCode>
                <c:ptCount val="13"/>
                <c:pt idx="0">
                  <c:v>0</c:v>
                </c:pt>
                <c:pt idx="1">
                  <c:v>99.275000000000006</c:v>
                </c:pt>
                <c:pt idx="2">
                  <c:v>7.25</c:v>
                </c:pt>
                <c:pt idx="3">
                  <c:v>35.174999999999997</c:v>
                </c:pt>
                <c:pt idx="4">
                  <c:v>74.724999999999994</c:v>
                </c:pt>
                <c:pt idx="5">
                  <c:v>111</c:v>
                </c:pt>
                <c:pt idx="6">
                  <c:v>60.625</c:v>
                </c:pt>
                <c:pt idx="7">
                  <c:v>75.25</c:v>
                </c:pt>
                <c:pt idx="8">
                  <c:v>415.25</c:v>
                </c:pt>
                <c:pt idx="9">
                  <c:v>69</c:v>
                </c:pt>
                <c:pt idx="10">
                  <c:v>129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Dat_01!$C$264:$O$264</c:f>
              <c:numCache>
                <c:formatCode>#,##0.0</c:formatCode>
                <c:ptCount val="13"/>
                <c:pt idx="0">
                  <c:v>6649.75</c:v>
                </c:pt>
                <c:pt idx="1">
                  <c:v>13922</c:v>
                </c:pt>
                <c:pt idx="2">
                  <c:v>7157.5749999999998</c:v>
                </c:pt>
                <c:pt idx="3">
                  <c:v>13771.375</c:v>
                </c:pt>
                <c:pt idx="4">
                  <c:v>10233.450000000001</c:v>
                </c:pt>
                <c:pt idx="5">
                  <c:v>3364.5</c:v>
                </c:pt>
                <c:pt idx="6">
                  <c:v>4842.1000000000004</c:v>
                </c:pt>
                <c:pt idx="7">
                  <c:v>4681.25</c:v>
                </c:pt>
                <c:pt idx="8">
                  <c:v>6193.5</c:v>
                </c:pt>
                <c:pt idx="9">
                  <c:v>15193.5</c:v>
                </c:pt>
                <c:pt idx="10">
                  <c:v>10242.799999999999</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Dat_01!$C$266:$O$266</c:f>
              <c:numCache>
                <c:formatCode>#,##0.0</c:formatCode>
                <c:ptCount val="13"/>
                <c:pt idx="0">
                  <c:v>12835.85</c:v>
                </c:pt>
                <c:pt idx="1">
                  <c:v>17127.724999999999</c:v>
                </c:pt>
                <c:pt idx="2">
                  <c:v>14921.8</c:v>
                </c:pt>
                <c:pt idx="3">
                  <c:v>16516.95</c:v>
                </c:pt>
                <c:pt idx="4">
                  <c:v>18618.8</c:v>
                </c:pt>
                <c:pt idx="5">
                  <c:v>14987.65</c:v>
                </c:pt>
                <c:pt idx="6">
                  <c:v>13106.95</c:v>
                </c:pt>
                <c:pt idx="7">
                  <c:v>8238.0249999999996</c:v>
                </c:pt>
                <c:pt idx="8">
                  <c:v>13448.6</c:v>
                </c:pt>
                <c:pt idx="9">
                  <c:v>27925.05</c:v>
                </c:pt>
                <c:pt idx="10">
                  <c:v>15554.725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Dat_01!$C$269:$O$269</c:f>
              <c:numCache>
                <c:formatCode>#,##0.0</c:formatCode>
                <c:ptCount val="13"/>
                <c:pt idx="0">
                  <c:v>23615.575000000001</c:v>
                </c:pt>
                <c:pt idx="1">
                  <c:v>26903.4</c:v>
                </c:pt>
                <c:pt idx="2">
                  <c:v>24686.325000000001</c:v>
                </c:pt>
                <c:pt idx="3">
                  <c:v>20361.7</c:v>
                </c:pt>
                <c:pt idx="4">
                  <c:v>15819.9</c:v>
                </c:pt>
                <c:pt idx="5">
                  <c:v>27721.9</c:v>
                </c:pt>
                <c:pt idx="6">
                  <c:v>27274.55</c:v>
                </c:pt>
                <c:pt idx="7">
                  <c:v>9782.4750000000004</c:v>
                </c:pt>
                <c:pt idx="8">
                  <c:v>15907.825000000001</c:v>
                </c:pt>
                <c:pt idx="9">
                  <c:v>30043.625</c:v>
                </c:pt>
                <c:pt idx="10">
                  <c:v>50532.5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Dat_01!$C$272:$O$272</c:f>
              <c:numCache>
                <c:formatCode>#,##0.0</c:formatCode>
                <c:ptCount val="13"/>
                <c:pt idx="0">
                  <c:v>0</c:v>
                </c:pt>
                <c:pt idx="1">
                  <c:v>384.25</c:v>
                </c:pt>
                <c:pt idx="2">
                  <c:v>324.5</c:v>
                </c:pt>
                <c:pt idx="3">
                  <c:v>1562.875</c:v>
                </c:pt>
                <c:pt idx="4">
                  <c:v>1112.175</c:v>
                </c:pt>
                <c:pt idx="5">
                  <c:v>171.25</c:v>
                </c:pt>
                <c:pt idx="6">
                  <c:v>85</c:v>
                </c:pt>
                <c:pt idx="7">
                  <c:v>0.25</c:v>
                </c:pt>
                <c:pt idx="8">
                  <c:v>18.75</c:v>
                </c:pt>
                <c:pt idx="9">
                  <c:v>649.5</c:v>
                </c:pt>
                <c:pt idx="10">
                  <c:v>24.25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28</c:v>
                </c:pt>
                <c:pt idx="1">
                  <c:v>266.25</c:v>
                </c:pt>
                <c:pt idx="2">
                  <c:v>44.25</c:v>
                </c:pt>
                <c:pt idx="3">
                  <c:v>17.75</c:v>
                </c:pt>
                <c:pt idx="4">
                  <c:v>4</c:v>
                </c:pt>
                <c:pt idx="5">
                  <c:v>3</c:v>
                </c:pt>
                <c:pt idx="6">
                  <c:v>46.25</c:v>
                </c:pt>
                <c:pt idx="7">
                  <c:v>10.75</c:v>
                </c:pt>
                <c:pt idx="8">
                  <c:v>9.5</c:v>
                </c:pt>
                <c:pt idx="9">
                  <c:v>27.25</c:v>
                </c:pt>
                <c:pt idx="10">
                  <c:v>3</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Dat_01!$C$275:$O$275</c:f>
              <c:numCache>
                <c:formatCode>#,##0.0</c:formatCode>
                <c:ptCount val="13"/>
                <c:pt idx="0">
                  <c:v>5984.15</c:v>
                </c:pt>
                <c:pt idx="1">
                  <c:v>6692.5249999999996</c:v>
                </c:pt>
                <c:pt idx="2">
                  <c:v>4274.6750000000002</c:v>
                </c:pt>
                <c:pt idx="3">
                  <c:v>6754.4</c:v>
                </c:pt>
                <c:pt idx="4">
                  <c:v>14755.35</c:v>
                </c:pt>
                <c:pt idx="5">
                  <c:v>7808.2749999999996</c:v>
                </c:pt>
                <c:pt idx="6">
                  <c:v>13868.125</c:v>
                </c:pt>
                <c:pt idx="7">
                  <c:v>5893.8</c:v>
                </c:pt>
                <c:pt idx="8">
                  <c:v>3504.1</c:v>
                </c:pt>
                <c:pt idx="9">
                  <c:v>5531.55</c:v>
                </c:pt>
                <c:pt idx="10">
                  <c:v>5355.3</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Dat_01!$C$276:$O$276</c:f>
              <c:numCache>
                <c:formatCode>#,##0.0</c:formatCode>
                <c:ptCount val="13"/>
                <c:pt idx="0">
                  <c:v>86</c:v>
                </c:pt>
                <c:pt idx="1">
                  <c:v>265.75</c:v>
                </c:pt>
                <c:pt idx="2">
                  <c:v>984</c:v>
                </c:pt>
                <c:pt idx="3">
                  <c:v>815.25</c:v>
                </c:pt>
                <c:pt idx="4">
                  <c:v>770.25</c:v>
                </c:pt>
                <c:pt idx="5">
                  <c:v>864.57500000000005</c:v>
                </c:pt>
                <c:pt idx="6">
                  <c:v>907.3</c:v>
                </c:pt>
                <c:pt idx="7">
                  <c:v>575.5</c:v>
                </c:pt>
                <c:pt idx="8">
                  <c:v>788.17499999999995</c:v>
                </c:pt>
                <c:pt idx="9">
                  <c:v>691.75</c:v>
                </c:pt>
                <c:pt idx="10">
                  <c:v>392.375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Dat_01!$C$277:$O$277</c:f>
              <c:numCache>
                <c:formatCode>#,##0.0</c:formatCode>
                <c:ptCount val="13"/>
                <c:pt idx="0">
                  <c:v>8457.2749999999996</c:v>
                </c:pt>
                <c:pt idx="1">
                  <c:v>13758.475</c:v>
                </c:pt>
                <c:pt idx="2">
                  <c:v>13137.825000000001</c:v>
                </c:pt>
                <c:pt idx="3">
                  <c:v>16514.55</c:v>
                </c:pt>
                <c:pt idx="4">
                  <c:v>15115.8</c:v>
                </c:pt>
                <c:pt idx="5">
                  <c:v>6738.7</c:v>
                </c:pt>
                <c:pt idx="6">
                  <c:v>19303.125</c:v>
                </c:pt>
                <c:pt idx="7">
                  <c:v>6517.85</c:v>
                </c:pt>
                <c:pt idx="8">
                  <c:v>6593.15</c:v>
                </c:pt>
                <c:pt idx="9">
                  <c:v>13094.475</c:v>
                </c:pt>
                <c:pt idx="10">
                  <c:v>11431.225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0.57499999999999996</c:v>
                </c:pt>
                <c:pt idx="8">
                  <c:v>0</c:v>
                </c:pt>
                <c:pt idx="9">
                  <c:v>0</c:v>
                </c:pt>
                <c:pt idx="10">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3-7673-47A7-B351-77BC59A8C758}"/>
              </c:ext>
            </c:extLst>
          </c:dPt>
          <c:dPt>
            <c:idx val="12"/>
            <c:marker>
              <c:symbol val="none"/>
            </c:marker>
            <c:bubble3D val="0"/>
            <c:spPr>
              <a:ln w="28575" cap="rnd">
                <a:noFill/>
                <a:round/>
              </a:ln>
              <a:effectLst/>
            </c:spPr>
            <c:extLst>
              <c:ext xmlns:c16="http://schemas.microsoft.com/office/drawing/2014/chart" uri="{C3380CC4-5D6E-409C-BE32-E72D297353CC}">
                <c16:uniqueId val="{00000002-7673-47A7-B351-77BC59A8C758}"/>
              </c:ext>
            </c:extLst>
          </c:dPt>
          <c:cat>
            <c:numRef>
              <c:f>Dat_01!$C$234:$O$234</c:f>
              <c:numCache>
                <c:formatCode>#,##0.0</c:formatCode>
                <c:ptCount val="13"/>
                <c:pt idx="0">
                  <c:v>30971.184000000001</c:v>
                </c:pt>
                <c:pt idx="1">
                  <c:v>23083.05</c:v>
                </c:pt>
                <c:pt idx="2">
                  <c:v>24323</c:v>
                </c:pt>
                <c:pt idx="3">
                  <c:v>15956.517</c:v>
                </c:pt>
                <c:pt idx="4">
                  <c:v>10532.25</c:v>
                </c:pt>
                <c:pt idx="5">
                  <c:v>10383.450000000001</c:v>
                </c:pt>
                <c:pt idx="6">
                  <c:v>10664.65</c:v>
                </c:pt>
                <c:pt idx="7">
                  <c:v>13546.782999999999</c:v>
                </c:pt>
                <c:pt idx="8">
                  <c:v>17059.75</c:v>
                </c:pt>
                <c:pt idx="9">
                  <c:v>8942.5499999999993</c:v>
                </c:pt>
                <c:pt idx="10">
                  <c:v>10255.6</c:v>
                </c:pt>
                <c:pt idx="11">
                  <c:v>30050.967000000001</c:v>
                </c:pt>
                <c:pt idx="12">
                  <c:v>29190.814999999999</c:v>
                </c:pt>
              </c:numCache>
            </c:numRef>
          </c:cat>
          <c:val>
            <c:numRef>
              <c:f>Dat_01!$C$414:$O$414</c:f>
              <c:numCache>
                <c:formatCode>#,##0.00</c:formatCode>
                <c:ptCount val="13"/>
                <c:pt idx="0">
                  <c:v>118.5079301281</c:v>
                </c:pt>
                <c:pt idx="1">
                  <c:v>85.189289887900003</c:v>
                </c:pt>
                <c:pt idx="2">
                  <c:v>52.314215232599999</c:v>
                </c:pt>
                <c:pt idx="3">
                  <c:v>55.672629718300001</c:v>
                </c:pt>
                <c:pt idx="4">
                  <c:v>95.530108455900006</c:v>
                </c:pt>
                <c:pt idx="5">
                  <c:v>107.60287344539999</c:v>
                </c:pt>
                <c:pt idx="6">
                  <c:v>105.48086387319999</c:v>
                </c:pt>
                <c:pt idx="7">
                  <c:v>87.551958489200004</c:v>
                </c:pt>
                <c:pt idx="8">
                  <c:v>93.292720630199995</c:v>
                </c:pt>
                <c:pt idx="9">
                  <c:v>90.087431370600001</c:v>
                </c:pt>
                <c:pt idx="10">
                  <c:v>94.3620246941</c:v>
                </c:pt>
                <c:pt idx="11">
                  <c:v>0</c:v>
                </c:pt>
                <c:pt idx="12">
                  <c:v>0</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30971.184000000001</c:v>
                </c:pt>
                <c:pt idx="1">
                  <c:v>23083.05</c:v>
                </c:pt>
                <c:pt idx="2">
                  <c:v>24323</c:v>
                </c:pt>
                <c:pt idx="3">
                  <c:v>15956.517</c:v>
                </c:pt>
                <c:pt idx="4">
                  <c:v>10532.25</c:v>
                </c:pt>
                <c:pt idx="5">
                  <c:v>10383.450000000001</c:v>
                </c:pt>
                <c:pt idx="6">
                  <c:v>10664.65</c:v>
                </c:pt>
                <c:pt idx="7">
                  <c:v>13546.782999999999</c:v>
                </c:pt>
                <c:pt idx="8">
                  <c:v>17059.75</c:v>
                </c:pt>
                <c:pt idx="9">
                  <c:v>8942.5499999999993</c:v>
                </c:pt>
                <c:pt idx="10">
                  <c:v>10255.6</c:v>
                </c:pt>
                <c:pt idx="11">
                  <c:v>30050.967000000001</c:v>
                </c:pt>
                <c:pt idx="12">
                  <c:v>29190.814999999999</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Dat_01!$C$278:$O$278</c:f>
              <c:numCache>
                <c:formatCode>#,##0.0</c:formatCode>
                <c:ptCount val="13"/>
                <c:pt idx="0">
                  <c:v>177752.55</c:v>
                </c:pt>
                <c:pt idx="1">
                  <c:v>146083.95000000001</c:v>
                </c:pt>
                <c:pt idx="2">
                  <c:v>84725.774999999994</c:v>
                </c:pt>
                <c:pt idx="3">
                  <c:v>96502.45</c:v>
                </c:pt>
                <c:pt idx="4">
                  <c:v>227112.42499999999</c:v>
                </c:pt>
                <c:pt idx="5">
                  <c:v>173241.47500000001</c:v>
                </c:pt>
                <c:pt idx="6">
                  <c:v>241457.35</c:v>
                </c:pt>
                <c:pt idx="7">
                  <c:v>110235.15</c:v>
                </c:pt>
                <c:pt idx="8">
                  <c:v>146188.15</c:v>
                </c:pt>
                <c:pt idx="9">
                  <c:v>272916.97499999998</c:v>
                </c:pt>
                <c:pt idx="10">
                  <c:v>358012.22499999998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Dat_01!$D$322:$P$322</c:f>
              <c:numCache>
                <c:formatCode>#,##0.0</c:formatCode>
                <c:ptCount val="13"/>
                <c:pt idx="0">
                  <c:v>12671</c:v>
                </c:pt>
                <c:pt idx="1">
                  <c:v>13320.25</c:v>
                </c:pt>
                <c:pt idx="2">
                  <c:v>681.75</c:v>
                </c:pt>
                <c:pt idx="3">
                  <c:v>287.25</c:v>
                </c:pt>
                <c:pt idx="4">
                  <c:v>5295.4750000000004</c:v>
                </c:pt>
                <c:pt idx="5">
                  <c:v>2319</c:v>
                </c:pt>
                <c:pt idx="6">
                  <c:v>3809</c:v>
                </c:pt>
                <c:pt idx="7">
                  <c:v>515.75</c:v>
                </c:pt>
                <c:pt idx="8">
                  <c:v>499.25</c:v>
                </c:pt>
                <c:pt idx="9">
                  <c:v>106.52500000000001</c:v>
                </c:pt>
                <c:pt idx="10">
                  <c:v>7.25</c:v>
                </c:pt>
                <c:pt idx="11">
                  <c:v>0</c:v>
                </c:pt>
                <c:pt idx="12">
                  <c:v>0</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Dat_01!$D$323:$P$323</c:f>
              <c:numCache>
                <c:formatCode>#,##0.0</c:formatCode>
                <c:ptCount val="13"/>
                <c:pt idx="0">
                  <c:v>37653.699999999997</c:v>
                </c:pt>
                <c:pt idx="1">
                  <c:v>90855.824999999997</c:v>
                </c:pt>
                <c:pt idx="2">
                  <c:v>107349.6</c:v>
                </c:pt>
                <c:pt idx="3">
                  <c:v>45497.95</c:v>
                </c:pt>
                <c:pt idx="4">
                  <c:v>58107.324999999997</c:v>
                </c:pt>
                <c:pt idx="5">
                  <c:v>87431.875</c:v>
                </c:pt>
                <c:pt idx="6">
                  <c:v>151069.52499999999</c:v>
                </c:pt>
                <c:pt idx="7">
                  <c:v>169281.95</c:v>
                </c:pt>
                <c:pt idx="8">
                  <c:v>87906.774999999994</c:v>
                </c:pt>
                <c:pt idx="9">
                  <c:v>79773.399999999994</c:v>
                </c:pt>
                <c:pt idx="10">
                  <c:v>68561.274999999994</c:v>
                </c:pt>
                <c:pt idx="11">
                  <c:v>0</c:v>
                </c:pt>
                <c:pt idx="12">
                  <c:v>0</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1-423C-4902-BEB0-CA1B8C9677C8}"/>
              </c:ext>
            </c:extLst>
          </c:dPt>
          <c:dPt>
            <c:idx val="12"/>
            <c:marker>
              <c:symbol val="none"/>
            </c:marker>
            <c:bubble3D val="0"/>
            <c:spPr>
              <a:ln w="28575" cap="rnd">
                <a:noFill/>
                <a:round/>
              </a:ln>
              <a:effectLst/>
            </c:spPr>
            <c:extLst>
              <c:ext xmlns:c16="http://schemas.microsoft.com/office/drawing/2014/chart" uri="{C3380CC4-5D6E-409C-BE32-E72D297353CC}">
                <c16:uniqueId val="{00000000-423C-4902-BEB0-CA1B8C9677C8}"/>
              </c:ext>
            </c:extLst>
          </c:dPt>
          <c:cat>
            <c:multiLvlStrRef>
              <c:f>#REF!</c:f>
            </c:multiLvlStrRef>
          </c:cat>
          <c:val>
            <c:numRef>
              <c:f>Dat_01!$B$315:$N$315</c:f>
              <c:numCache>
                <c:formatCode>#,##0.0</c:formatCode>
                <c:ptCount val="13"/>
                <c:pt idx="0">
                  <c:v>44962.25</c:v>
                </c:pt>
                <c:pt idx="1">
                  <c:v>68619</c:v>
                </c:pt>
                <c:pt idx="2">
                  <c:v>41863.5</c:v>
                </c:pt>
                <c:pt idx="3">
                  <c:v>74085.75</c:v>
                </c:pt>
                <c:pt idx="4">
                  <c:v>181182</c:v>
                </c:pt>
                <c:pt idx="5">
                  <c:v>130987</c:v>
                </c:pt>
                <c:pt idx="6">
                  <c:v>228947.75</c:v>
                </c:pt>
                <c:pt idx="7">
                  <c:v>79264.25</c:v>
                </c:pt>
                <c:pt idx="8">
                  <c:v>101717.5</c:v>
                </c:pt>
                <c:pt idx="9">
                  <c:v>243754</c:v>
                </c:pt>
                <c:pt idx="10">
                  <c:v>287199.25</c:v>
                </c:pt>
                <c:pt idx="11">
                  <c:v>0</c:v>
                </c:pt>
                <c:pt idx="12">
                  <c:v>0</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413482.3</c:v>
                </c:pt>
                <c:pt idx="1">
                  <c:v>516814.67499999999</c:v>
                </c:pt>
                <c:pt idx="2">
                  <c:v>470764.1</c:v>
                </c:pt>
                <c:pt idx="3">
                  <c:v>223657.05</c:v>
                </c:pt>
                <c:pt idx="4">
                  <c:v>132555.47500000001</c:v>
                </c:pt>
                <c:pt idx="5">
                  <c:v>238342.95</c:v>
                </c:pt>
                <c:pt idx="6">
                  <c:v>278312.125</c:v>
                </c:pt>
                <c:pt idx="7">
                  <c:v>383411.42499999999</c:v>
                </c:pt>
                <c:pt idx="8">
                  <c:v>225690.27499999999</c:v>
                </c:pt>
                <c:pt idx="9">
                  <c:v>144194.22500000001</c:v>
                </c:pt>
                <c:pt idx="10">
                  <c:v>95640.45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30692</c:v>
                </c:pt>
                <c:pt idx="1">
                  <c:v>11006.25</c:v>
                </c:pt>
                <c:pt idx="2">
                  <c:v>7049</c:v>
                </c:pt>
                <c:pt idx="3">
                  <c:v>2391.75</c:v>
                </c:pt>
                <c:pt idx="4">
                  <c:v>1830.55</c:v>
                </c:pt>
                <c:pt idx="5">
                  <c:v>6831.75</c:v>
                </c:pt>
                <c:pt idx="6">
                  <c:v>22222.5</c:v>
                </c:pt>
                <c:pt idx="7">
                  <c:v>11528</c:v>
                </c:pt>
                <c:pt idx="8">
                  <c:v>5142.5</c:v>
                </c:pt>
                <c:pt idx="9">
                  <c:v>1643.75</c:v>
                </c:pt>
                <c:pt idx="10">
                  <c:v>348</c:v>
                </c:pt>
                <c:pt idx="11">
                  <c:v>0</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135901.20000000001</c:v>
                </c:pt>
                <c:pt idx="1">
                  <c:v>69626.600000000006</c:v>
                </c:pt>
                <c:pt idx="2">
                  <c:v>72019.05</c:v>
                </c:pt>
                <c:pt idx="3">
                  <c:v>38927.1</c:v>
                </c:pt>
                <c:pt idx="4">
                  <c:v>57586.7</c:v>
                </c:pt>
                <c:pt idx="5">
                  <c:v>68132.399999999994</c:v>
                </c:pt>
                <c:pt idx="6">
                  <c:v>35923.474999999999</c:v>
                </c:pt>
                <c:pt idx="7">
                  <c:v>44227.425000000003</c:v>
                </c:pt>
                <c:pt idx="8">
                  <c:v>47369.9</c:v>
                </c:pt>
                <c:pt idx="9">
                  <c:v>48789.425000000003</c:v>
                </c:pt>
                <c:pt idx="10">
                  <c:v>75038.05</c:v>
                </c:pt>
                <c:pt idx="11">
                  <c:v>0</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dPt>
            <c:idx val="11"/>
            <c:marker>
              <c:symbol val="none"/>
            </c:marker>
            <c:bubble3D val="0"/>
            <c:spPr>
              <a:ln w="28575" cap="rnd">
                <a:noFill/>
                <a:round/>
              </a:ln>
              <a:effectLst/>
            </c:spPr>
            <c:extLst>
              <c:ext xmlns:c16="http://schemas.microsoft.com/office/drawing/2014/chart" uri="{C3380CC4-5D6E-409C-BE32-E72D297353CC}">
                <c16:uniqueId val="{00000001-F138-4798-AA2F-2AC2B4F2003B}"/>
              </c:ext>
            </c:extLst>
          </c:dPt>
          <c:dPt>
            <c:idx val="12"/>
            <c:marker>
              <c:symbol val="none"/>
            </c:marker>
            <c:bubble3D val="0"/>
            <c:spPr>
              <a:ln w="28575" cap="rnd">
                <a:noFill/>
                <a:round/>
              </a:ln>
              <a:effectLst/>
            </c:spPr>
            <c:extLst>
              <c:ext xmlns:c16="http://schemas.microsoft.com/office/drawing/2014/chart" uri="{C3380CC4-5D6E-409C-BE32-E72D297353CC}">
                <c16:uniqueId val="{00000000-F138-4798-AA2F-2AC2B4F2003B}"/>
              </c:ext>
            </c:extLst>
          </c:dPt>
          <c:val>
            <c:numRef>
              <c:f>Dat_01!$B$316:$N$316</c:f>
              <c:numCache>
                <c:formatCode>#,##0.0</c:formatCode>
                <c:ptCount val="13"/>
                <c:pt idx="0">
                  <c:v>396960.5</c:v>
                </c:pt>
                <c:pt idx="1">
                  <c:v>417916.5</c:v>
                </c:pt>
                <c:pt idx="2">
                  <c:v>399899.75</c:v>
                </c:pt>
                <c:pt idx="3">
                  <c:v>196774</c:v>
                </c:pt>
                <c:pt idx="4">
                  <c:v>82639.5</c:v>
                </c:pt>
                <c:pt idx="5">
                  <c:v>181301.75</c:v>
                </c:pt>
                <c:pt idx="6">
                  <c:v>169070</c:v>
                </c:pt>
                <c:pt idx="7">
                  <c:v>238398.25</c:v>
                </c:pt>
                <c:pt idx="8">
                  <c:v>145326</c:v>
                </c:pt>
                <c:pt idx="9">
                  <c:v>85584.5</c:v>
                </c:pt>
                <c:pt idx="10">
                  <c:v>31645</c:v>
                </c:pt>
                <c:pt idx="11">
                  <c:v>0</c:v>
                </c:pt>
                <c:pt idx="12">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120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0</c:v>
                </c:pt>
                <c:pt idx="1">
                  <c:v>7.65</c:v>
                </c:pt>
                <c:pt idx="2">
                  <c:v>139.28299999999999</c:v>
                </c:pt>
                <c:pt idx="3">
                  <c:v>2.5000000000000001E-2</c:v>
                </c:pt>
                <c:pt idx="4">
                  <c:v>625.5</c:v>
                </c:pt>
                <c:pt idx="5">
                  <c:v>3000.125</c:v>
                </c:pt>
                <c:pt idx="6">
                  <c:v>1021.775</c:v>
                </c:pt>
                <c:pt idx="7">
                  <c:v>3133.625</c:v>
                </c:pt>
                <c:pt idx="8">
                  <c:v>12633.041999999999</c:v>
                </c:pt>
                <c:pt idx="9">
                  <c:v>572.625</c:v>
                </c:pt>
                <c:pt idx="10">
                  <c:v>1128.8</c:v>
                </c:pt>
                <c:pt idx="11">
                  <c:v>1669.25</c:v>
                </c:pt>
                <c:pt idx="12">
                  <c:v>4.9000000000000004</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18.25</c:v>
                </c:pt>
                <c:pt idx="1">
                  <c:v>352.702</c:v>
                </c:pt>
                <c:pt idx="2">
                  <c:v>1314.1389999999999</c:v>
                </c:pt>
                <c:pt idx="3">
                  <c:v>893.82399999999996</c:v>
                </c:pt>
                <c:pt idx="4">
                  <c:v>2378.8139999999999</c:v>
                </c:pt>
                <c:pt idx="5">
                  <c:v>6273.4949999999999</c:v>
                </c:pt>
                <c:pt idx="6">
                  <c:v>4302.4539999999997</c:v>
                </c:pt>
                <c:pt idx="7">
                  <c:v>2024.335</c:v>
                </c:pt>
                <c:pt idx="8">
                  <c:v>2029.9390000000001</c:v>
                </c:pt>
                <c:pt idx="9">
                  <c:v>273.53800000000001</c:v>
                </c:pt>
                <c:pt idx="10">
                  <c:v>377.13200000000001</c:v>
                </c:pt>
                <c:pt idx="11">
                  <c:v>786.62800000000004</c:v>
                </c:pt>
                <c:pt idx="12">
                  <c:v>37.953000000000003</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2875.8339999999998</c:v>
                </c:pt>
                <c:pt idx="1">
                  <c:v>1714.424</c:v>
                </c:pt>
                <c:pt idx="2">
                  <c:v>2159.3330000000001</c:v>
                </c:pt>
                <c:pt idx="3">
                  <c:v>5583.5</c:v>
                </c:pt>
                <c:pt idx="4">
                  <c:v>2946.4760000000001</c:v>
                </c:pt>
                <c:pt idx="5">
                  <c:v>3981.25</c:v>
                </c:pt>
                <c:pt idx="6">
                  <c:v>6001.4319999999998</c:v>
                </c:pt>
                <c:pt idx="7">
                  <c:v>3894.6080000000002</c:v>
                </c:pt>
                <c:pt idx="8">
                  <c:v>15149.841</c:v>
                </c:pt>
                <c:pt idx="9">
                  <c:v>10963.05</c:v>
                </c:pt>
                <c:pt idx="10">
                  <c:v>25532.89</c:v>
                </c:pt>
                <c:pt idx="11">
                  <c:v>14325.141</c:v>
                </c:pt>
                <c:pt idx="12">
                  <c:v>3178.55</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30.225000000000001</c:v>
                </c:pt>
                <c:pt idx="2">
                  <c:v>42.7</c:v>
                </c:pt>
                <c:pt idx="3">
                  <c:v>0</c:v>
                </c:pt>
                <c:pt idx="4">
                  <c:v>0</c:v>
                </c:pt>
                <c:pt idx="5">
                  <c:v>17.925000000000001</c:v>
                </c:pt>
                <c:pt idx="6">
                  <c:v>13.3</c:v>
                </c:pt>
                <c:pt idx="7">
                  <c:v>0</c:v>
                </c:pt>
                <c:pt idx="8">
                  <c:v>0.1</c:v>
                </c:pt>
                <c:pt idx="9">
                  <c:v>40</c:v>
                </c:pt>
                <c:pt idx="10">
                  <c:v>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5190.7349999999997</c:v>
                </c:pt>
                <c:pt idx="1">
                  <c:v>21109.850999999999</c:v>
                </c:pt>
                <c:pt idx="2">
                  <c:v>10600.206</c:v>
                </c:pt>
                <c:pt idx="3">
                  <c:v>15107.638999999999</c:v>
                </c:pt>
                <c:pt idx="4">
                  <c:v>13384.953</c:v>
                </c:pt>
                <c:pt idx="5">
                  <c:v>131985.40100000001</c:v>
                </c:pt>
                <c:pt idx="6">
                  <c:v>53466.71</c:v>
                </c:pt>
                <c:pt idx="7">
                  <c:v>31702.144</c:v>
                </c:pt>
                <c:pt idx="8">
                  <c:v>78564.706000000006</c:v>
                </c:pt>
                <c:pt idx="9">
                  <c:v>31349.627</c:v>
                </c:pt>
                <c:pt idx="10">
                  <c:v>41919.404000000002</c:v>
                </c:pt>
                <c:pt idx="11">
                  <c:v>19118.609</c:v>
                </c:pt>
                <c:pt idx="12">
                  <c:v>4270.6970000000001</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14.95</c:v>
                </c:pt>
                <c:pt idx="1">
                  <c:v>639.66700000000003</c:v>
                </c:pt>
                <c:pt idx="2">
                  <c:v>1319.4960000000001</c:v>
                </c:pt>
                <c:pt idx="3">
                  <c:v>943.077</c:v>
                </c:pt>
                <c:pt idx="4">
                  <c:v>2505.9189999999999</c:v>
                </c:pt>
                <c:pt idx="5">
                  <c:v>4386.8270000000002</c:v>
                </c:pt>
                <c:pt idx="6">
                  <c:v>1433.252</c:v>
                </c:pt>
                <c:pt idx="7">
                  <c:v>1680.0920000000001</c:v>
                </c:pt>
                <c:pt idx="8">
                  <c:v>3212.7779999999998</c:v>
                </c:pt>
                <c:pt idx="9">
                  <c:v>1972.2629999999999</c:v>
                </c:pt>
                <c:pt idx="10">
                  <c:v>1066.75</c:v>
                </c:pt>
                <c:pt idx="11">
                  <c:v>3403.2849999999999</c:v>
                </c:pt>
                <c:pt idx="12">
                  <c:v>10.952999999999999</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42.469000000000001</c:v>
                </c:pt>
                <c:pt idx="1">
                  <c:v>65.772999999999996</c:v>
                </c:pt>
                <c:pt idx="2">
                  <c:v>2249.5949999999998</c:v>
                </c:pt>
                <c:pt idx="3">
                  <c:v>2043.925</c:v>
                </c:pt>
                <c:pt idx="4">
                  <c:v>3560.598</c:v>
                </c:pt>
                <c:pt idx="5">
                  <c:v>5141.38</c:v>
                </c:pt>
                <c:pt idx="6">
                  <c:v>5499.3530000000001</c:v>
                </c:pt>
                <c:pt idx="7">
                  <c:v>188.095</c:v>
                </c:pt>
                <c:pt idx="8">
                  <c:v>505.98399999999998</c:v>
                </c:pt>
                <c:pt idx="9">
                  <c:v>150.90899999999999</c:v>
                </c:pt>
                <c:pt idx="10">
                  <c:v>733.23500000000001</c:v>
                </c:pt>
                <c:pt idx="11">
                  <c:v>800.19</c:v>
                </c:pt>
                <c:pt idx="12">
                  <c:v>608.26800000000003</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0</c:v>
                </c:pt>
                <c:pt idx="1">
                  <c:v>274.47500000000002</c:v>
                </c:pt>
                <c:pt idx="2">
                  <c:v>1254.827</c:v>
                </c:pt>
                <c:pt idx="3">
                  <c:v>1793.0419999999999</c:v>
                </c:pt>
                <c:pt idx="4">
                  <c:v>2355.221</c:v>
                </c:pt>
                <c:pt idx="5">
                  <c:v>2419.3009999999999</c:v>
                </c:pt>
                <c:pt idx="6">
                  <c:v>1658.9880000000001</c:v>
                </c:pt>
                <c:pt idx="7">
                  <c:v>1278.7840000000001</c:v>
                </c:pt>
                <c:pt idx="8">
                  <c:v>1742.4670000000001</c:v>
                </c:pt>
                <c:pt idx="9">
                  <c:v>18.949000000000002</c:v>
                </c:pt>
                <c:pt idx="10">
                  <c:v>39.518999999999998</c:v>
                </c:pt>
                <c:pt idx="11">
                  <c:v>262.69600000000003</c:v>
                </c:pt>
                <c:pt idx="12">
                  <c:v>19.006</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0</c:v>
                </c:pt>
                <c:pt idx="3">
                  <c:v>0</c:v>
                </c:pt>
                <c:pt idx="4">
                  <c:v>122.68300000000001</c:v>
                </c:pt>
                <c:pt idx="5">
                  <c:v>1111.912</c:v>
                </c:pt>
                <c:pt idx="6">
                  <c:v>779.20500000000004</c:v>
                </c:pt>
                <c:pt idx="7">
                  <c:v>0</c:v>
                </c:pt>
                <c:pt idx="8">
                  <c:v>0.16800000000000001</c:v>
                </c:pt>
                <c:pt idx="9">
                  <c:v>25.091000000000001</c:v>
                </c:pt>
                <c:pt idx="10">
                  <c:v>0</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1129.2550000000001</c:v>
                </c:pt>
                <c:pt idx="1">
                  <c:v>38619.468999999997</c:v>
                </c:pt>
                <c:pt idx="2">
                  <c:v>36877.692000000003</c:v>
                </c:pt>
                <c:pt idx="3">
                  <c:v>51954.457000000002</c:v>
                </c:pt>
                <c:pt idx="4">
                  <c:v>132370.96599999999</c:v>
                </c:pt>
                <c:pt idx="5">
                  <c:v>223344.245</c:v>
                </c:pt>
                <c:pt idx="6">
                  <c:v>63965.084000000003</c:v>
                </c:pt>
                <c:pt idx="7">
                  <c:v>19560.11</c:v>
                </c:pt>
                <c:pt idx="8">
                  <c:v>61583.904999999999</c:v>
                </c:pt>
                <c:pt idx="9">
                  <c:v>6305.0339999999997</c:v>
                </c:pt>
                <c:pt idx="10">
                  <c:v>1891.778</c:v>
                </c:pt>
                <c:pt idx="11">
                  <c:v>2707.0210000000002</c:v>
                </c:pt>
                <c:pt idx="12">
                  <c:v>3565.0010000000002</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151.67500000000001</c:v>
                </c:pt>
                <c:pt idx="1">
                  <c:v>2600.2660000000001</c:v>
                </c:pt>
                <c:pt idx="2">
                  <c:v>15191.608</c:v>
                </c:pt>
                <c:pt idx="3">
                  <c:v>25605.382000000001</c:v>
                </c:pt>
                <c:pt idx="4">
                  <c:v>37295.190999999999</c:v>
                </c:pt>
                <c:pt idx="5">
                  <c:v>32322.863000000001</c:v>
                </c:pt>
                <c:pt idx="6">
                  <c:v>16218.591</c:v>
                </c:pt>
                <c:pt idx="7">
                  <c:v>5669.5519999999997</c:v>
                </c:pt>
                <c:pt idx="8">
                  <c:v>8192.3739999999998</c:v>
                </c:pt>
                <c:pt idx="9">
                  <c:v>221.136</c:v>
                </c:pt>
                <c:pt idx="10">
                  <c:v>6.3490000000000002</c:v>
                </c:pt>
                <c:pt idx="11">
                  <c:v>44.374000000000002</c:v>
                </c:pt>
                <c:pt idx="12">
                  <c:v>454.596</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0</c:v>
                </c:pt>
                <c:pt idx="1">
                  <c:v>1116.925</c:v>
                </c:pt>
                <c:pt idx="2">
                  <c:v>147.36600000000001</c:v>
                </c:pt>
                <c:pt idx="3">
                  <c:v>3262.7249999999999</c:v>
                </c:pt>
                <c:pt idx="4">
                  <c:v>2493.3420000000001</c:v>
                </c:pt>
                <c:pt idx="5">
                  <c:v>31460.519</c:v>
                </c:pt>
                <c:pt idx="6">
                  <c:v>14627.808000000001</c:v>
                </c:pt>
                <c:pt idx="7">
                  <c:v>439.1</c:v>
                </c:pt>
                <c:pt idx="8">
                  <c:v>116.1</c:v>
                </c:pt>
                <c:pt idx="9">
                  <c:v>65.5</c:v>
                </c:pt>
                <c:pt idx="10">
                  <c:v>6874.9160000000002</c:v>
                </c:pt>
                <c:pt idx="11">
                  <c:v>7145.2420000000002</c:v>
                </c:pt>
                <c:pt idx="12">
                  <c:v>116.25</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32.386280461199497</c:v>
                </c:pt>
                <c:pt idx="1">
                  <c:v>-105.857374548515</c:v>
                </c:pt>
                <c:pt idx="2">
                  <c:v>-151.95851905293199</c:v>
                </c:pt>
                <c:pt idx="3">
                  <c:v>-136.52684326860901</c:v>
                </c:pt>
                <c:pt idx="4">
                  <c:v>-87.937670231433103</c:v>
                </c:pt>
                <c:pt idx="5">
                  <c:v>-49.776885172126498</c:v>
                </c:pt>
                <c:pt idx="6">
                  <c:v>-36.745907028188597</c:v>
                </c:pt>
                <c:pt idx="7">
                  <c:v>-45.205144467913101</c:v>
                </c:pt>
                <c:pt idx="8">
                  <c:v>-56.700768444130503</c:v>
                </c:pt>
                <c:pt idx="9">
                  <c:v>-23.385671125824199</c:v>
                </c:pt>
                <c:pt idx="10">
                  <c:v>14.4702230778882</c:v>
                </c:pt>
                <c:pt idx="11">
                  <c:v>16.703954068740298</c:v>
                </c:pt>
                <c:pt idx="12">
                  <c:v>-66.725363478946207</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Dat_01!$C$425:$C$437</c:f>
              <c:numCache>
                <c:formatCode>#,##0.00</c:formatCode>
                <c:ptCount val="13"/>
                <c:pt idx="0">
                  <c:v>0</c:v>
                </c:pt>
                <c:pt idx="1">
                  <c:v>9.690444145356663</c:v>
                </c:pt>
                <c:pt idx="2">
                  <c:v>24.861111111111111</c:v>
                </c:pt>
                <c:pt idx="3">
                  <c:v>36.155913978494624</c:v>
                </c:pt>
                <c:pt idx="4">
                  <c:v>11.944444444444445</c:v>
                </c:pt>
                <c:pt idx="5">
                  <c:v>4.032258064516129</c:v>
                </c:pt>
                <c:pt idx="6">
                  <c:v>7.661290322580645</c:v>
                </c:pt>
                <c:pt idx="7">
                  <c:v>9.1666666666666661</c:v>
                </c:pt>
                <c:pt idx="8">
                  <c:v>3.2214765100671143</c:v>
                </c:pt>
                <c:pt idx="9">
                  <c:v>1.9444444444444444</c:v>
                </c:pt>
                <c:pt idx="11">
                  <c:v>2.553763440860215</c:v>
                </c:pt>
                <c:pt idx="12">
                  <c:v>27.827380952380953</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Dat_01!$D$425:$D$437</c:f>
              <c:numCache>
                <c:formatCode>#,##0.00</c:formatCode>
                <c:ptCount val="13"/>
                <c:pt idx="0">
                  <c:v>9.2261904761904763</c:v>
                </c:pt>
                <c:pt idx="1">
                  <c:v>40.107671601615074</c:v>
                </c:pt>
                <c:pt idx="2">
                  <c:v>55.000000000000007</c:v>
                </c:pt>
                <c:pt idx="3">
                  <c:v>54.166666666666664</c:v>
                </c:pt>
                <c:pt idx="4">
                  <c:v>24.305555555555554</c:v>
                </c:pt>
                <c:pt idx="5">
                  <c:v>29.838709677419356</c:v>
                </c:pt>
                <c:pt idx="6">
                  <c:v>25.537634408602152</c:v>
                </c:pt>
                <c:pt idx="7">
                  <c:v>31.25</c:v>
                </c:pt>
                <c:pt idx="8">
                  <c:v>27.516778523489933</c:v>
                </c:pt>
                <c:pt idx="9">
                  <c:v>40.138888888888893</c:v>
                </c:pt>
                <c:pt idx="10">
                  <c:v>15.456989247311828</c:v>
                </c:pt>
                <c:pt idx="11">
                  <c:v>27.284946236559136</c:v>
                </c:pt>
                <c:pt idx="12">
                  <c:v>61.458333333333336</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Dat_01!$E$425:$E$437</c:f>
              <c:numCache>
                <c:formatCode>#,##0.00</c:formatCode>
                <c:ptCount val="13"/>
                <c:pt idx="0">
                  <c:v>28.125</c:v>
                </c:pt>
                <c:pt idx="1">
                  <c:v>33.109017496635261</c:v>
                </c:pt>
                <c:pt idx="2">
                  <c:v>15.416666666666668</c:v>
                </c:pt>
                <c:pt idx="3">
                  <c:v>7.795698924731183</c:v>
                </c:pt>
                <c:pt idx="4">
                  <c:v>20.138888888888889</c:v>
                </c:pt>
                <c:pt idx="5">
                  <c:v>30.376344086021508</c:v>
                </c:pt>
                <c:pt idx="6">
                  <c:v>37.365591397849464</c:v>
                </c:pt>
                <c:pt idx="7">
                  <c:v>39.305555555555557</c:v>
                </c:pt>
                <c:pt idx="8">
                  <c:v>31.543624161073826</c:v>
                </c:pt>
                <c:pt idx="9">
                  <c:v>43.888888888888886</c:v>
                </c:pt>
                <c:pt idx="10">
                  <c:v>65.188172043010752</c:v>
                </c:pt>
                <c:pt idx="11">
                  <c:v>42.876344086021504</c:v>
                </c:pt>
                <c:pt idx="12">
                  <c:v>8.1845238095238102</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Dat_01!$F$425:$F$437</c:f>
              <c:numCache>
                <c:formatCode>#,##0.00</c:formatCode>
                <c:ptCount val="13"/>
                <c:pt idx="0">
                  <c:v>47.916666666666671</c:v>
                </c:pt>
                <c:pt idx="1">
                  <c:v>15.343203230148047</c:v>
                </c:pt>
                <c:pt idx="2">
                  <c:v>3.8888888888888888</c:v>
                </c:pt>
                <c:pt idx="3">
                  <c:v>1.881720430107527</c:v>
                </c:pt>
                <c:pt idx="4">
                  <c:v>40.972222222222221</c:v>
                </c:pt>
                <c:pt idx="5">
                  <c:v>34.543010752688176</c:v>
                </c:pt>
                <c:pt idx="6">
                  <c:v>28.62903225806452</c:v>
                </c:pt>
                <c:pt idx="7">
                  <c:v>18.888888888888889</c:v>
                </c:pt>
                <c:pt idx="8">
                  <c:v>34.36241610738255</c:v>
                </c:pt>
                <c:pt idx="9">
                  <c:v>13.750000000000002</c:v>
                </c:pt>
                <c:pt idx="10">
                  <c:v>19.22043010752688</c:v>
                </c:pt>
                <c:pt idx="11">
                  <c:v>25.403225806451612</c:v>
                </c:pt>
                <c:pt idx="12">
                  <c:v>2.3809523809523809</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Dat_01!$G$425:$G$437</c:f>
              <c:numCache>
                <c:formatCode>#,##0.00</c:formatCode>
                <c:ptCount val="13"/>
                <c:pt idx="0">
                  <c:v>14.732142857142858</c:v>
                </c:pt>
                <c:pt idx="1">
                  <c:v>1.7496635262449527</c:v>
                </c:pt>
                <c:pt idx="2">
                  <c:v>0.83333333333333337</c:v>
                </c:pt>
                <c:pt idx="3">
                  <c:v>0</c:v>
                </c:pt>
                <c:pt idx="4">
                  <c:v>2.6388888888888888</c:v>
                </c:pt>
                <c:pt idx="5">
                  <c:v>1.2096774193548387</c:v>
                </c:pt>
                <c:pt idx="6">
                  <c:v>0.80645161290322576</c:v>
                </c:pt>
                <c:pt idx="7">
                  <c:v>1.3888888888888888</c:v>
                </c:pt>
                <c:pt idx="8">
                  <c:v>3.3557046979865772</c:v>
                </c:pt>
                <c:pt idx="9">
                  <c:v>0.27777777777777779</c:v>
                </c:pt>
                <c:pt idx="10">
                  <c:v>0.13440860215053765</c:v>
                </c:pt>
                <c:pt idx="11">
                  <c:v>1.881720430107527</c:v>
                </c:pt>
                <c:pt idx="12">
                  <c:v>0.14880952380952381</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Dat_01!$C$340:$O$340</c:f>
              <c:numCache>
                <c:formatCode>#,##0.0</c:formatCode>
                <c:ptCount val="13"/>
                <c:pt idx="0">
                  <c:v>20485</c:v>
                </c:pt>
                <c:pt idx="1">
                  <c:v>7623.75</c:v>
                </c:pt>
                <c:pt idx="2">
                  <c:v>3547.56</c:v>
                </c:pt>
                <c:pt idx="3">
                  <c:v>0</c:v>
                </c:pt>
                <c:pt idx="4">
                  <c:v>9705</c:v>
                </c:pt>
                <c:pt idx="5">
                  <c:v>3130</c:v>
                </c:pt>
                <c:pt idx="6">
                  <c:v>0</c:v>
                </c:pt>
                <c:pt idx="7">
                  <c:v>3588.75</c:v>
                </c:pt>
                <c:pt idx="8">
                  <c:v>6311.25</c:v>
                </c:pt>
                <c:pt idx="9">
                  <c:v>165</c:v>
                </c:pt>
                <c:pt idx="10">
                  <c:v>421.8</c:v>
                </c:pt>
                <c:pt idx="11">
                  <c:v>1340.95</c:v>
                </c:pt>
                <c:pt idx="12">
                  <c:v>0</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Dat_01!$C$341:$O$341</c:f>
              <c:numCache>
                <c:formatCode>#,##0.0</c:formatCode>
                <c:ptCount val="13"/>
                <c:pt idx="0">
                  <c:v>797594.67099999997</c:v>
                </c:pt>
                <c:pt idx="1">
                  <c:v>640773.63699999999</c:v>
                </c:pt>
                <c:pt idx="2">
                  <c:v>339272.77500000002</c:v>
                </c:pt>
                <c:pt idx="3">
                  <c:v>190030.19</c:v>
                </c:pt>
                <c:pt idx="4">
                  <c:v>486259.94</c:v>
                </c:pt>
                <c:pt idx="5">
                  <c:v>438078.424</c:v>
                </c:pt>
                <c:pt idx="6">
                  <c:v>365321.88400000002</c:v>
                </c:pt>
                <c:pt idx="7">
                  <c:v>477468.94300000003</c:v>
                </c:pt>
                <c:pt idx="8">
                  <c:v>388843.01699999999</c:v>
                </c:pt>
                <c:pt idx="9">
                  <c:v>137334.99900000001</c:v>
                </c:pt>
                <c:pt idx="10">
                  <c:v>144683.02499999999</c:v>
                </c:pt>
                <c:pt idx="11">
                  <c:v>225562.05</c:v>
                </c:pt>
                <c:pt idx="12">
                  <c:v>119868.325</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Dat_01!$C$342:$O$342</c:f>
              <c:numCache>
                <c:formatCode>#,##0.0</c:formatCode>
                <c:ptCount val="13"/>
                <c:pt idx="0">
                  <c:v>0</c:v>
                </c:pt>
                <c:pt idx="1">
                  <c:v>0</c:v>
                </c:pt>
                <c:pt idx="2">
                  <c:v>0</c:v>
                </c:pt>
                <c:pt idx="3">
                  <c:v>48.424999999999997</c:v>
                </c:pt>
                <c:pt idx="4">
                  <c:v>0</c:v>
                </c:pt>
                <c:pt idx="5">
                  <c:v>0</c:v>
                </c:pt>
                <c:pt idx="6">
                  <c:v>0</c:v>
                </c:pt>
                <c:pt idx="7">
                  <c:v>0</c:v>
                </c:pt>
                <c:pt idx="8">
                  <c:v>0</c:v>
                </c:pt>
                <c:pt idx="9">
                  <c:v>0</c:v>
                </c:pt>
                <c:pt idx="10">
                  <c:v>16.5</c:v>
                </c:pt>
                <c:pt idx="11">
                  <c:v>0</c:v>
                </c:pt>
                <c:pt idx="12">
                  <c:v>0.83299999999999996</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Dat_01!$C$343:$O$343</c:f>
              <c:numCache>
                <c:formatCode>#,##0.0</c:formatCode>
                <c:ptCount val="13"/>
                <c:pt idx="0">
                  <c:v>2238.683</c:v>
                </c:pt>
                <c:pt idx="1">
                  <c:v>5818.2749999999996</c:v>
                </c:pt>
                <c:pt idx="2">
                  <c:v>2631.1329999999998</c:v>
                </c:pt>
                <c:pt idx="3">
                  <c:v>948.5</c:v>
                </c:pt>
                <c:pt idx="4">
                  <c:v>12797.075000000001</c:v>
                </c:pt>
                <c:pt idx="5">
                  <c:v>12438.968000000001</c:v>
                </c:pt>
                <c:pt idx="6">
                  <c:v>7902.0079999999998</c:v>
                </c:pt>
                <c:pt idx="7">
                  <c:v>3616.067</c:v>
                </c:pt>
                <c:pt idx="8">
                  <c:v>10614.259</c:v>
                </c:pt>
                <c:pt idx="9">
                  <c:v>2955</c:v>
                </c:pt>
                <c:pt idx="10">
                  <c:v>596.20000000000005</c:v>
                </c:pt>
                <c:pt idx="11">
                  <c:v>6614.0829999999996</c:v>
                </c:pt>
                <c:pt idx="12">
                  <c:v>0</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Dat_01!$C$344:$O$344</c:f>
              <c:numCache>
                <c:formatCode>#,##0.0</c:formatCode>
                <c:ptCount val="13"/>
                <c:pt idx="0">
                  <c:v>1099.2</c:v>
                </c:pt>
                <c:pt idx="1">
                  <c:v>729.7</c:v>
                </c:pt>
                <c:pt idx="2">
                  <c:v>554.1</c:v>
                </c:pt>
                <c:pt idx="3">
                  <c:v>910.22500000000002</c:v>
                </c:pt>
                <c:pt idx="4">
                  <c:v>984</c:v>
                </c:pt>
                <c:pt idx="5">
                  <c:v>2865.4</c:v>
                </c:pt>
                <c:pt idx="6">
                  <c:v>1132.875</c:v>
                </c:pt>
                <c:pt idx="7">
                  <c:v>479.1</c:v>
                </c:pt>
                <c:pt idx="8">
                  <c:v>621.32500000000005</c:v>
                </c:pt>
                <c:pt idx="9">
                  <c:v>399</c:v>
                </c:pt>
                <c:pt idx="10">
                  <c:v>0</c:v>
                </c:pt>
                <c:pt idx="11">
                  <c:v>1193</c:v>
                </c:pt>
                <c:pt idx="12">
                  <c:v>403.75</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Dat_01!$C$345:$O$345</c:f>
              <c:numCache>
                <c:formatCode>#,##0.0</c:formatCode>
                <c:ptCount val="13"/>
                <c:pt idx="0">
                  <c:v>0</c:v>
                </c:pt>
                <c:pt idx="1">
                  <c:v>0</c:v>
                </c:pt>
                <c:pt idx="2">
                  <c:v>0</c:v>
                </c:pt>
                <c:pt idx="3">
                  <c:v>5.8</c:v>
                </c:pt>
                <c:pt idx="4">
                  <c:v>0</c:v>
                </c:pt>
                <c:pt idx="5">
                  <c:v>54.15</c:v>
                </c:pt>
                <c:pt idx="6">
                  <c:v>137.5</c:v>
                </c:pt>
                <c:pt idx="7">
                  <c:v>0</c:v>
                </c:pt>
                <c:pt idx="8">
                  <c:v>0</c:v>
                </c:pt>
                <c:pt idx="9">
                  <c:v>0</c:v>
                </c:pt>
                <c:pt idx="10">
                  <c:v>0</c:v>
                </c:pt>
                <c:pt idx="11">
                  <c:v>0</c:v>
                </c:pt>
                <c:pt idx="12">
                  <c:v>23.925000000000001</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Dat_01!$C$347:$O$347</c:f>
              <c:numCache>
                <c:formatCode>#,##0.0</c:formatCode>
                <c:ptCount val="13"/>
                <c:pt idx="0">
                  <c:v>2</c:v>
                </c:pt>
                <c:pt idx="1">
                  <c:v>481.66699999999997</c:v>
                </c:pt>
                <c:pt idx="2">
                  <c:v>5753.75</c:v>
                </c:pt>
                <c:pt idx="3">
                  <c:v>7951.9669999999996</c:v>
                </c:pt>
                <c:pt idx="4">
                  <c:v>7231.6369999999997</c:v>
                </c:pt>
                <c:pt idx="5">
                  <c:v>502</c:v>
                </c:pt>
                <c:pt idx="6">
                  <c:v>455</c:v>
                </c:pt>
                <c:pt idx="7">
                  <c:v>0</c:v>
                </c:pt>
                <c:pt idx="8">
                  <c:v>5425.1909999999998</c:v>
                </c:pt>
                <c:pt idx="9">
                  <c:v>20969.683000000001</c:v>
                </c:pt>
                <c:pt idx="10">
                  <c:v>5425.7330000000002</c:v>
                </c:pt>
                <c:pt idx="11">
                  <c:v>4712.3</c:v>
                </c:pt>
                <c:pt idx="12">
                  <c:v>2.7709999999999999</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Dat_01!$C$349:$O$349</c:f>
              <c:numCache>
                <c:formatCode>#,##0.0</c:formatCode>
                <c:ptCount val="13"/>
                <c:pt idx="0">
                  <c:v>0</c:v>
                </c:pt>
                <c:pt idx="1">
                  <c:v>0</c:v>
                </c:pt>
                <c:pt idx="2">
                  <c:v>0</c:v>
                </c:pt>
                <c:pt idx="3">
                  <c:v>0</c:v>
                </c:pt>
                <c:pt idx="4">
                  <c:v>801.6</c:v>
                </c:pt>
                <c:pt idx="5">
                  <c:v>0</c:v>
                </c:pt>
                <c:pt idx="6">
                  <c:v>471.21699999999998</c:v>
                </c:pt>
                <c:pt idx="7">
                  <c:v>0</c:v>
                </c:pt>
                <c:pt idx="8">
                  <c:v>71.599999999999994</c:v>
                </c:pt>
                <c:pt idx="9">
                  <c:v>0</c:v>
                </c:pt>
                <c:pt idx="10">
                  <c:v>0</c:v>
                </c:pt>
                <c:pt idx="11">
                  <c:v>0</c:v>
                </c:pt>
                <c:pt idx="12">
                  <c:v>2302.9</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Dat_01!$C$350:$O$350</c:f>
              <c:numCache>
                <c:formatCode>#,##0.0</c:formatCode>
                <c:ptCount val="13"/>
                <c:pt idx="0">
                  <c:v>0</c:v>
                </c:pt>
                <c:pt idx="1">
                  <c:v>0</c:v>
                </c:pt>
                <c:pt idx="2">
                  <c:v>4387.5</c:v>
                </c:pt>
                <c:pt idx="3">
                  <c:v>0</c:v>
                </c:pt>
                <c:pt idx="4">
                  <c:v>0</c:v>
                </c:pt>
                <c:pt idx="5">
                  <c:v>0</c:v>
                </c:pt>
                <c:pt idx="6">
                  <c:v>0</c:v>
                </c:pt>
                <c:pt idx="7">
                  <c:v>0</c:v>
                </c:pt>
                <c:pt idx="8">
                  <c:v>0</c:v>
                </c:pt>
                <c:pt idx="9">
                  <c:v>0</c:v>
                </c:pt>
                <c:pt idx="10">
                  <c:v>0</c:v>
                </c:pt>
                <c:pt idx="11">
                  <c:v>0</c:v>
                </c:pt>
                <c:pt idx="12">
                  <c:v>30.216999999999999</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Dat_01!$C$351:$O$351</c:f>
              <c:numCache>
                <c:formatCode>#,##0.0</c:formatCode>
                <c:ptCount val="13"/>
                <c:pt idx="0">
                  <c:v>0</c:v>
                </c:pt>
                <c:pt idx="1">
                  <c:v>6</c:v>
                </c:pt>
                <c:pt idx="2">
                  <c:v>0</c:v>
                </c:pt>
                <c:pt idx="3">
                  <c:v>5.5</c:v>
                </c:pt>
                <c:pt idx="4">
                  <c:v>0</c:v>
                </c:pt>
                <c:pt idx="5">
                  <c:v>0</c:v>
                </c:pt>
                <c:pt idx="6">
                  <c:v>0</c:v>
                </c:pt>
                <c:pt idx="7">
                  <c:v>0</c:v>
                </c:pt>
                <c:pt idx="8">
                  <c:v>0</c:v>
                </c:pt>
                <c:pt idx="9">
                  <c:v>0</c:v>
                </c:pt>
                <c:pt idx="10">
                  <c:v>0</c:v>
                </c:pt>
                <c:pt idx="11">
                  <c:v>0</c:v>
                </c:pt>
                <c:pt idx="12">
                  <c:v>6.0670000000000002</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2.7749999999999999</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Dat_01!$C$353:$O$353</c:f>
              <c:numCache>
                <c:formatCode>#,##0.0</c:formatCode>
                <c:ptCount val="13"/>
                <c:pt idx="0">
                  <c:v>0</c:v>
                </c:pt>
                <c:pt idx="1">
                  <c:v>0.17499999999999999</c:v>
                </c:pt>
                <c:pt idx="2">
                  <c:v>0</c:v>
                </c:pt>
                <c:pt idx="3">
                  <c:v>3.5</c:v>
                </c:pt>
                <c:pt idx="4">
                  <c:v>1.425</c:v>
                </c:pt>
                <c:pt idx="5">
                  <c:v>0.75</c:v>
                </c:pt>
                <c:pt idx="6">
                  <c:v>3.6749999999999998</c:v>
                </c:pt>
                <c:pt idx="7">
                  <c:v>0</c:v>
                </c:pt>
                <c:pt idx="8">
                  <c:v>0.15</c:v>
                </c:pt>
                <c:pt idx="9">
                  <c:v>0</c:v>
                </c:pt>
                <c:pt idx="10">
                  <c:v>0</c:v>
                </c:pt>
                <c:pt idx="11">
                  <c:v>0</c:v>
                </c:pt>
                <c:pt idx="12">
                  <c:v>3</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1200</c:v>
                </c:pt>
                <c:pt idx="1">
                  <c:v>1179.3330000000001</c:v>
                </c:pt>
                <c:pt idx="2">
                  <c:v>497.25</c:v>
                </c:pt>
                <c:pt idx="3">
                  <c:v>325</c:v>
                </c:pt>
                <c:pt idx="4">
                  <c:v>860</c:v>
                </c:pt>
                <c:pt idx="5">
                  <c:v>2186.4</c:v>
                </c:pt>
                <c:pt idx="6">
                  <c:v>4850.1750000000002</c:v>
                </c:pt>
                <c:pt idx="7">
                  <c:v>9429.009</c:v>
                </c:pt>
                <c:pt idx="8">
                  <c:v>4580.5249999999996</c:v>
                </c:pt>
                <c:pt idx="9">
                  <c:v>1509.3330000000001</c:v>
                </c:pt>
                <c:pt idx="10">
                  <c:v>2219.7420000000002</c:v>
                </c:pt>
                <c:pt idx="11">
                  <c:v>8314.2829999999994</c:v>
                </c:pt>
                <c:pt idx="12">
                  <c:v>0</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7.4999999999999997E-2</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22</c:v>
                </c:pt>
                <c:pt idx="6">
                  <c:v>0</c:v>
                </c:pt>
                <c:pt idx="7">
                  <c:v>0</c:v>
                </c:pt>
                <c:pt idx="8">
                  <c:v>0</c:v>
                </c:pt>
                <c:pt idx="9">
                  <c:v>0</c:v>
                </c:pt>
                <c:pt idx="10">
                  <c:v>1007.875</c:v>
                </c:pt>
                <c:pt idx="11">
                  <c:v>222.07499999999999</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305.10105866020001</c:v>
                </c:pt>
                <c:pt idx="1">
                  <c:v>264.41222129760001</c:v>
                </c:pt>
                <c:pt idx="2">
                  <c:v>244.68431349319999</c:v>
                </c:pt>
                <c:pt idx="3">
                  <c:v>220.95676674020001</c:v>
                </c:pt>
                <c:pt idx="4">
                  <c:v>219.13720569969999</c:v>
                </c:pt>
                <c:pt idx="5">
                  <c:v>200.44400471860001</c:v>
                </c:pt>
                <c:pt idx="6">
                  <c:v>210.14936945490001</c:v>
                </c:pt>
                <c:pt idx="7">
                  <c:v>232.59996176300001</c:v>
                </c:pt>
                <c:pt idx="8">
                  <c:v>244.1453660576</c:v>
                </c:pt>
                <c:pt idx="9">
                  <c:v>203.0076708007</c:v>
                </c:pt>
                <c:pt idx="10">
                  <c:v>212.75769545259999</c:v>
                </c:pt>
                <c:pt idx="11">
                  <c:v>221.46636149439999</c:v>
                </c:pt>
                <c:pt idx="12">
                  <c:v>242.9232967364</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Dat_01!$D$453:$D$465</c:f>
              <c:numCache>
                <c:formatCode>0.00</c:formatCode>
                <c:ptCount val="13"/>
                <c:pt idx="0">
                  <c:v>110.61</c:v>
                </c:pt>
                <c:pt idx="1">
                  <c:v>55.42</c:v>
                </c:pt>
                <c:pt idx="2">
                  <c:v>27.65</c:v>
                </c:pt>
                <c:pt idx="3">
                  <c:v>17.36</c:v>
                </c:pt>
                <c:pt idx="4">
                  <c:v>72.338000000000008</c:v>
                </c:pt>
                <c:pt idx="5">
                  <c:v>70.292999999999992</c:v>
                </c:pt>
                <c:pt idx="6">
                  <c:v>67.88000000000001</c:v>
                </c:pt>
                <c:pt idx="7">
                  <c:v>60.71</c:v>
                </c:pt>
                <c:pt idx="8">
                  <c:v>76.440000000000012</c:v>
                </c:pt>
                <c:pt idx="9">
                  <c:v>60.313000000000002</c:v>
                </c:pt>
                <c:pt idx="10">
                  <c:v>79.986000000000004</c:v>
                </c:pt>
                <c:pt idx="11">
                  <c:v>73.466000000000008</c:v>
                </c:pt>
                <c:pt idx="12">
                  <c:v>17.919999999999998</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Dat_01!$E$453:$E$465</c:f>
              <c:numCache>
                <c:formatCode>0.00</c:formatCode>
                <c:ptCount val="13"/>
                <c:pt idx="0">
                  <c:v>15.809999999999999</c:v>
                </c:pt>
                <c:pt idx="1">
                  <c:v>15.43</c:v>
                </c:pt>
                <c:pt idx="2">
                  <c:v>17.255999999999997</c:v>
                </c:pt>
                <c:pt idx="3">
                  <c:v>24.129999999999995</c:v>
                </c:pt>
                <c:pt idx="4">
                  <c:v>14.652000000000005</c:v>
                </c:pt>
                <c:pt idx="5">
                  <c:v>14.452999999999998</c:v>
                </c:pt>
                <c:pt idx="6">
                  <c:v>13.11</c:v>
                </c:pt>
                <c:pt idx="7">
                  <c:v>16.430000000000003</c:v>
                </c:pt>
                <c:pt idx="8">
                  <c:v>17.375999999999994</c:v>
                </c:pt>
                <c:pt idx="9">
                  <c:v>16.023</c:v>
                </c:pt>
                <c:pt idx="10">
                  <c:v>13.666</c:v>
                </c:pt>
                <c:pt idx="11">
                  <c:v>14.588000000000003</c:v>
                </c:pt>
                <c:pt idx="12">
                  <c:v>24.447000000000003</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Dat_01!$F$453:$F$465</c:f>
              <c:numCache>
                <c:formatCode>0.00</c:formatCode>
                <c:ptCount val="13"/>
                <c:pt idx="0">
                  <c:v>0.27</c:v>
                </c:pt>
                <c:pt idx="1">
                  <c:v>0.18</c:v>
                </c:pt>
                <c:pt idx="2">
                  <c:v>0.14000000000000001</c:v>
                </c:pt>
                <c:pt idx="3">
                  <c:v>0.13</c:v>
                </c:pt>
                <c:pt idx="4">
                  <c:v>0.15</c:v>
                </c:pt>
                <c:pt idx="5">
                  <c:v>0.28000000000000003</c:v>
                </c:pt>
                <c:pt idx="6">
                  <c:v>0.14000000000000001</c:v>
                </c:pt>
                <c:pt idx="7">
                  <c:v>0.15</c:v>
                </c:pt>
                <c:pt idx="8">
                  <c:v>0.14000000000000001</c:v>
                </c:pt>
                <c:pt idx="9">
                  <c:v>0.18</c:v>
                </c:pt>
                <c:pt idx="10">
                  <c:v>0.27</c:v>
                </c:pt>
                <c:pt idx="11">
                  <c:v>0.24</c:v>
                </c:pt>
                <c:pt idx="12">
                  <c:v>0.25</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2240978024386463"/>
                  <c:y val="7.1735622763507111E-3"/>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6652597142261494"/>
                  <c:y val="-5.2518757014462306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26793313768569155"/>
                  <c:y val="-1.6994324819630216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17.919999999999998</c:v>
                </c:pt>
                <c:pt idx="1">
                  <c:v>0.25</c:v>
                </c:pt>
                <c:pt idx="2">
                  <c:v>0</c:v>
                </c:pt>
                <c:pt idx="3">
                  <c:v>24.447000000000003</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26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Dat_01!$B$82:$N$82</c:f>
              <c:numCache>
                <c:formatCode>#,##0.00</c:formatCode>
                <c:ptCount val="13"/>
                <c:pt idx="0">
                  <c:v>4.07</c:v>
                </c:pt>
                <c:pt idx="1">
                  <c:v>6.64</c:v>
                </c:pt>
                <c:pt idx="2">
                  <c:v>11.26</c:v>
                </c:pt>
                <c:pt idx="3">
                  <c:v>21.57</c:v>
                </c:pt>
                <c:pt idx="4">
                  <c:v>9.6820000000000004</c:v>
                </c:pt>
                <c:pt idx="5">
                  <c:v>8.4209999999999994</c:v>
                </c:pt>
                <c:pt idx="6">
                  <c:v>8.34</c:v>
                </c:pt>
                <c:pt idx="7">
                  <c:v>10.050000000000001</c:v>
                </c:pt>
                <c:pt idx="8">
                  <c:v>11.09</c:v>
                </c:pt>
                <c:pt idx="9">
                  <c:v>13.153</c:v>
                </c:pt>
                <c:pt idx="10">
                  <c:v>11.436</c:v>
                </c:pt>
                <c:pt idx="11">
                  <c:v>12.038</c:v>
                </c:pt>
                <c:pt idx="12">
                  <c:v>22.05</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Dat_01!$B$83:$N$83</c:f>
              <c:numCache>
                <c:formatCode>#,##0.00</c:formatCode>
                <c:ptCount val="13"/>
                <c:pt idx="0">
                  <c:v>7.08</c:v>
                </c:pt>
                <c:pt idx="1">
                  <c:v>5.85</c:v>
                </c:pt>
                <c:pt idx="2">
                  <c:v>4.2830000000000004</c:v>
                </c:pt>
                <c:pt idx="3">
                  <c:v>2.88</c:v>
                </c:pt>
                <c:pt idx="4">
                  <c:v>4.5199999999999996</c:v>
                </c:pt>
                <c:pt idx="5">
                  <c:v>4.8019999999999996</c:v>
                </c:pt>
                <c:pt idx="6">
                  <c:v>3.04</c:v>
                </c:pt>
                <c:pt idx="7">
                  <c:v>4.45</c:v>
                </c:pt>
                <c:pt idx="8">
                  <c:v>4.79</c:v>
                </c:pt>
                <c:pt idx="9">
                  <c:v>1.27</c:v>
                </c:pt>
                <c:pt idx="10">
                  <c:v>1.26</c:v>
                </c:pt>
                <c:pt idx="11">
                  <c:v>1.87</c:v>
                </c:pt>
                <c:pt idx="12">
                  <c:v>1.45</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Reserva de regulación secundaria y SRAD</c:v>
                </c:pt>
              </c:strCache>
            </c:strRef>
          </c:tx>
          <c:spPr>
            <a:solidFill>
              <a:srgbClr val="92D050"/>
            </a:solidFill>
            <a:ln w="25400">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Dat_01!$B$84:$N$84</c:f>
              <c:numCache>
                <c:formatCode>#,##0.00</c:formatCode>
                <c:ptCount val="13"/>
                <c:pt idx="0">
                  <c:v>4.63</c:v>
                </c:pt>
                <c:pt idx="1">
                  <c:v>3.6</c:v>
                </c:pt>
                <c:pt idx="2">
                  <c:v>2.79</c:v>
                </c:pt>
                <c:pt idx="3">
                  <c:v>0</c:v>
                </c:pt>
                <c:pt idx="4">
                  <c:v>2.33</c:v>
                </c:pt>
                <c:pt idx="5">
                  <c:v>2.85</c:v>
                </c:pt>
                <c:pt idx="6">
                  <c:v>3.13</c:v>
                </c:pt>
                <c:pt idx="7">
                  <c:v>3.4999999999999996</c:v>
                </c:pt>
                <c:pt idx="8">
                  <c:v>3.5159999999999996</c:v>
                </c:pt>
                <c:pt idx="9">
                  <c:v>2.85</c:v>
                </c:pt>
                <c:pt idx="10">
                  <c:v>2.1800000000000002</c:v>
                </c:pt>
                <c:pt idx="11">
                  <c:v>2.95</c:v>
                </c:pt>
                <c:pt idx="12">
                  <c:v>3.04</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Dat_01!$B$85:$N$85</c:f>
              <c:numCache>
                <c:formatCode>#,##0.00</c:formatCode>
                <c:ptCount val="13"/>
                <c:pt idx="0">
                  <c:v>-0.8</c:v>
                </c:pt>
                <c:pt idx="1">
                  <c:v>-0.6</c:v>
                </c:pt>
                <c:pt idx="2">
                  <c:v>-0.42</c:v>
                </c:pt>
                <c:pt idx="3">
                  <c:v>-0.19</c:v>
                </c:pt>
                <c:pt idx="4">
                  <c:v>-0.49</c:v>
                </c:pt>
                <c:pt idx="5">
                  <c:v>-0.39</c:v>
                </c:pt>
                <c:pt idx="6">
                  <c:v>-0.4</c:v>
                </c:pt>
                <c:pt idx="7">
                  <c:v>-0.4</c:v>
                </c:pt>
                <c:pt idx="8">
                  <c:v>-0.42</c:v>
                </c:pt>
                <c:pt idx="9">
                  <c:v>-0.26</c:v>
                </c:pt>
                <c:pt idx="10">
                  <c:v>-0.28000000000000003</c:v>
                </c:pt>
                <c:pt idx="11">
                  <c:v>-0.36</c:v>
                </c:pt>
                <c:pt idx="12">
                  <c:v>-0.16</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Dat_01!$B$86:$N$86</c:f>
              <c:numCache>
                <c:formatCode>#,##0.00</c:formatCode>
                <c:ptCount val="13"/>
                <c:pt idx="0">
                  <c:v>0.45</c:v>
                </c:pt>
                <c:pt idx="1">
                  <c:v>0.48</c:v>
                </c:pt>
                <c:pt idx="2">
                  <c:v>0.48299999999999998</c:v>
                </c:pt>
                <c:pt idx="3">
                  <c:v>0.28999999999999998</c:v>
                </c:pt>
                <c:pt idx="4">
                  <c:v>0.42</c:v>
                </c:pt>
                <c:pt idx="5">
                  <c:v>0.49</c:v>
                </c:pt>
                <c:pt idx="6">
                  <c:v>0.38</c:v>
                </c:pt>
                <c:pt idx="7">
                  <c:v>0.43</c:v>
                </c:pt>
                <c:pt idx="8">
                  <c:v>0.26</c:v>
                </c:pt>
                <c:pt idx="9">
                  <c:v>0.37</c:v>
                </c:pt>
                <c:pt idx="10">
                  <c:v>0.25</c:v>
                </c:pt>
                <c:pt idx="11">
                  <c:v>0.42</c:v>
                </c:pt>
                <c:pt idx="12">
                  <c:v>0.44</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Dat_01!$B$87:$N$87</c:f>
              <c:numCache>
                <c:formatCode>#,##0.00</c:formatCode>
                <c:ptCount val="13"/>
                <c:pt idx="0">
                  <c:v>1.58</c:v>
                </c:pt>
                <c:pt idx="1">
                  <c:v>0.65</c:v>
                </c:pt>
                <c:pt idx="2">
                  <c:v>0.11</c:v>
                </c:pt>
                <c:pt idx="3">
                  <c:v>-0.34</c:v>
                </c:pt>
                <c:pt idx="4">
                  <c:v>-0.67</c:v>
                </c:pt>
                <c:pt idx="5">
                  <c:v>-0.57999999999999996</c:v>
                </c:pt>
                <c:pt idx="6">
                  <c:v>-0.28999999999999998</c:v>
                </c:pt>
                <c:pt idx="7">
                  <c:v>-0.33</c:v>
                </c:pt>
                <c:pt idx="8">
                  <c:v>-0.52</c:v>
                </c:pt>
                <c:pt idx="9">
                  <c:v>-0.25</c:v>
                </c:pt>
                <c:pt idx="10">
                  <c:v>-0.24</c:v>
                </c:pt>
                <c:pt idx="11">
                  <c:v>-0.51</c:v>
                </c:pt>
                <c:pt idx="12">
                  <c:v>-0.33</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Dat_01!$B$88:$N$88</c:f>
              <c:numCache>
                <c:formatCode>#,##0.00</c:formatCode>
                <c:ptCount val="13"/>
                <c:pt idx="0">
                  <c:v>-0.09</c:v>
                </c:pt>
                <c:pt idx="1">
                  <c:v>-0.1</c:v>
                </c:pt>
                <c:pt idx="2">
                  <c:v>-0.11</c:v>
                </c:pt>
                <c:pt idx="3">
                  <c:v>-0.11</c:v>
                </c:pt>
                <c:pt idx="4">
                  <c:v>-0.09</c:v>
                </c:pt>
                <c:pt idx="5">
                  <c:v>-0.09</c:v>
                </c:pt>
                <c:pt idx="6">
                  <c:v>-0.09</c:v>
                </c:pt>
                <c:pt idx="7">
                  <c:v>-0.1</c:v>
                </c:pt>
                <c:pt idx="8">
                  <c:v>-0.1</c:v>
                </c:pt>
                <c:pt idx="9">
                  <c:v>-0.02</c:v>
                </c:pt>
                <c:pt idx="10">
                  <c:v>-0.02</c:v>
                </c:pt>
                <c:pt idx="11">
                  <c:v>-0.02</c:v>
                </c:pt>
                <c:pt idx="12">
                  <c:v>-0.01</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-1.1599999999999999</c:v>
                </c:pt>
                <c:pt idx="1">
                  <c:v>-1.1399999999999999</c:v>
                </c:pt>
                <c:pt idx="2">
                  <c:v>-1.18</c:v>
                </c:pt>
                <c:pt idx="3">
                  <c:v>-0.01</c:v>
                </c:pt>
                <c:pt idx="4">
                  <c:v>-1.0999999999999999</c:v>
                </c:pt>
                <c:pt idx="5">
                  <c:v>-1.0900000000000001</c:v>
                </c:pt>
                <c:pt idx="6">
                  <c:v>-1.05</c:v>
                </c:pt>
                <c:pt idx="7">
                  <c:v>-1.22</c:v>
                </c:pt>
                <c:pt idx="8">
                  <c:v>-1.3</c:v>
                </c:pt>
                <c:pt idx="9">
                  <c:v>-1.1300000000000001</c:v>
                </c:pt>
                <c:pt idx="10">
                  <c:v>-0.97</c:v>
                </c:pt>
                <c:pt idx="11">
                  <c:v>-1.85</c:v>
                </c:pt>
                <c:pt idx="12">
                  <c:v>-2.0829999999999997</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Dat_01!$B$90:$N$90</c:f>
              <c:numCache>
                <c:formatCode>0.00</c:formatCode>
                <c:ptCount val="13"/>
                <c:pt idx="0">
                  <c:v>0.05</c:v>
                </c:pt>
                <c:pt idx="1">
                  <c:v>0.05</c:v>
                </c:pt>
                <c:pt idx="2">
                  <c:v>0.04</c:v>
                </c:pt>
                <c:pt idx="3">
                  <c:v>0.04</c:v>
                </c:pt>
                <c:pt idx="4">
                  <c:v>0.05</c:v>
                </c:pt>
                <c:pt idx="5">
                  <c:v>0.04</c:v>
                </c:pt>
                <c:pt idx="6">
                  <c:v>0.05</c:v>
                </c:pt>
                <c:pt idx="7">
                  <c:v>0.05</c:v>
                </c:pt>
                <c:pt idx="8">
                  <c:v>0.06</c:v>
                </c:pt>
                <c:pt idx="9">
                  <c:v>0.04</c:v>
                </c:pt>
                <c:pt idx="10">
                  <c:v>0.05</c:v>
                </c:pt>
                <c:pt idx="11">
                  <c:v>0.05</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2026 Febrero</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3479.5853750000001</c:v>
                </c:pt>
                <c:pt idx="1">
                  <c:v>134.50706199999999</c:v>
                </c:pt>
                <c:pt idx="2">
                  <c:v>166.10911899999999</c:v>
                </c:pt>
                <c:pt idx="3">
                  <c:v>770.36935500000004</c:v>
                </c:pt>
                <c:pt idx="4">
                  <c:v>0</c:v>
                </c:pt>
                <c:pt idx="5">
                  <c:v>28.570632</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2025 Febrero</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868.24030000000005</c:v>
                </c:pt>
                <c:pt idx="1">
                  <c:v>830.94352200000003</c:v>
                </c:pt>
                <c:pt idx="2">
                  <c:v>144.43384499999999</c:v>
                </c:pt>
                <c:pt idx="3">
                  <c:v>518.28494999999998</c:v>
                </c:pt>
                <c:pt idx="4">
                  <c:v>441.92275000000001</c:v>
                </c:pt>
                <c:pt idx="5">
                  <c:v>93.914341000000007</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0</c:v>
                </c:pt>
                <c:pt idx="1">
                  <c:v>0</c:v>
                </c:pt>
                <c:pt idx="2">
                  <c:v>0</c:v>
                </c:pt>
                <c:pt idx="3">
                  <c:v>0</c:v>
                </c:pt>
                <c:pt idx="4">
                  <c:v>4</c:v>
                </c:pt>
                <c:pt idx="5">
                  <c:v>1003.5</c:v>
                </c:pt>
                <c:pt idx="6">
                  <c:v>50</c:v>
                </c:pt>
                <c:pt idx="7">
                  <c:v>0</c:v>
                </c:pt>
                <c:pt idx="8">
                  <c:v>2064.65</c:v>
                </c:pt>
                <c:pt idx="9">
                  <c:v>0</c:v>
                </c:pt>
                <c:pt idx="10">
                  <c:v>0</c:v>
                </c:pt>
                <c:pt idx="11">
                  <c:v>0</c:v>
                </c:pt>
                <c:pt idx="12">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190</c:v>
                </c:pt>
                <c:pt idx="2">
                  <c:v>0</c:v>
                </c:pt>
                <c:pt idx="3">
                  <c:v>0</c:v>
                </c:pt>
                <c:pt idx="4">
                  <c:v>0</c:v>
                </c:pt>
                <c:pt idx="5">
                  <c:v>0</c:v>
                </c:pt>
                <c:pt idx="6">
                  <c:v>0</c:v>
                </c:pt>
                <c:pt idx="7">
                  <c:v>0</c:v>
                </c:pt>
                <c:pt idx="8">
                  <c:v>0</c:v>
                </c:pt>
                <c:pt idx="9">
                  <c:v>142.5</c:v>
                </c:pt>
                <c:pt idx="10">
                  <c:v>0</c:v>
                </c:pt>
                <c:pt idx="11">
                  <c:v>0</c:v>
                </c:pt>
                <c:pt idx="12">
                  <c:v>28.55</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111.1</c:v>
                </c:pt>
                <c:pt idx="1">
                  <c:v>859.2</c:v>
                </c:pt>
                <c:pt idx="2">
                  <c:v>4456.8999999999996</c:v>
                </c:pt>
                <c:pt idx="3">
                  <c:v>4609.7</c:v>
                </c:pt>
                <c:pt idx="4">
                  <c:v>6809.1</c:v>
                </c:pt>
                <c:pt idx="5">
                  <c:v>32112.6</c:v>
                </c:pt>
                <c:pt idx="6">
                  <c:v>6711.8</c:v>
                </c:pt>
                <c:pt idx="7">
                  <c:v>4636.2</c:v>
                </c:pt>
                <c:pt idx="8">
                  <c:v>5121.7749999999996</c:v>
                </c:pt>
                <c:pt idx="9">
                  <c:v>2187.375</c:v>
                </c:pt>
                <c:pt idx="10">
                  <c:v>2346</c:v>
                </c:pt>
                <c:pt idx="11">
                  <c:v>1324.15</c:v>
                </c:pt>
                <c:pt idx="12">
                  <c:v>797.95</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129.19999999999999</c:v>
                </c:pt>
                <c:pt idx="1">
                  <c:v>1191.4000000000001</c:v>
                </c:pt>
                <c:pt idx="2">
                  <c:v>512.9</c:v>
                </c:pt>
                <c:pt idx="3">
                  <c:v>3501.6</c:v>
                </c:pt>
                <c:pt idx="4">
                  <c:v>9288</c:v>
                </c:pt>
                <c:pt idx="5">
                  <c:v>12956.4</c:v>
                </c:pt>
                <c:pt idx="6">
                  <c:v>2597.3000000000002</c:v>
                </c:pt>
                <c:pt idx="7">
                  <c:v>1616.4</c:v>
                </c:pt>
                <c:pt idx="8">
                  <c:v>3975.2750000000001</c:v>
                </c:pt>
                <c:pt idx="9">
                  <c:v>2081.5500000000002</c:v>
                </c:pt>
                <c:pt idx="10">
                  <c:v>203.125</c:v>
                </c:pt>
                <c:pt idx="11">
                  <c:v>335.75</c:v>
                </c:pt>
                <c:pt idx="12">
                  <c:v>543.04999999999995</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143.30000000000001</c:v>
                </c:pt>
                <c:pt idx="1">
                  <c:v>655.7</c:v>
                </c:pt>
                <c:pt idx="2">
                  <c:v>2348.1</c:v>
                </c:pt>
                <c:pt idx="3">
                  <c:v>9496.2999999999993</c:v>
                </c:pt>
                <c:pt idx="4">
                  <c:v>8559.4</c:v>
                </c:pt>
                <c:pt idx="5">
                  <c:v>5351.7</c:v>
                </c:pt>
                <c:pt idx="6">
                  <c:v>5333.8</c:v>
                </c:pt>
                <c:pt idx="7">
                  <c:v>590.20000000000005</c:v>
                </c:pt>
                <c:pt idx="8">
                  <c:v>3512.0250000000001</c:v>
                </c:pt>
                <c:pt idx="9">
                  <c:v>1413.4749999999999</c:v>
                </c:pt>
                <c:pt idx="10">
                  <c:v>1024.3499999999999</c:v>
                </c:pt>
                <c:pt idx="11">
                  <c:v>1795.875</c:v>
                </c:pt>
                <c:pt idx="12">
                  <c:v>1039.625</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19851.3</c:v>
                </c:pt>
                <c:pt idx="1">
                  <c:v>29282.9</c:v>
                </c:pt>
                <c:pt idx="2">
                  <c:v>23186.2</c:v>
                </c:pt>
                <c:pt idx="3">
                  <c:v>17699.400000000001</c:v>
                </c:pt>
                <c:pt idx="4">
                  <c:v>18495.599999999999</c:v>
                </c:pt>
                <c:pt idx="5">
                  <c:v>208879.1</c:v>
                </c:pt>
                <c:pt idx="6">
                  <c:v>56148.9</c:v>
                </c:pt>
                <c:pt idx="7">
                  <c:v>56799.5</c:v>
                </c:pt>
                <c:pt idx="8">
                  <c:v>34956.199999999997</c:v>
                </c:pt>
                <c:pt idx="9">
                  <c:v>97151.95</c:v>
                </c:pt>
                <c:pt idx="10">
                  <c:v>29674</c:v>
                </c:pt>
                <c:pt idx="11">
                  <c:v>99597.85</c:v>
                </c:pt>
                <c:pt idx="12">
                  <c:v>43719</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6512</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12</c:v>
                </c:pt>
                <c:pt idx="1">
                  <c:v>485.5</c:v>
                </c:pt>
                <c:pt idx="2">
                  <c:v>2920.3</c:v>
                </c:pt>
                <c:pt idx="3">
                  <c:v>3843</c:v>
                </c:pt>
                <c:pt idx="4">
                  <c:v>7273.5</c:v>
                </c:pt>
                <c:pt idx="5">
                  <c:v>10545</c:v>
                </c:pt>
                <c:pt idx="6">
                  <c:v>7511.7</c:v>
                </c:pt>
                <c:pt idx="7">
                  <c:v>5732.6</c:v>
                </c:pt>
                <c:pt idx="8">
                  <c:v>3899.8249999999998</c:v>
                </c:pt>
                <c:pt idx="9">
                  <c:v>278.82499999999999</c:v>
                </c:pt>
                <c:pt idx="10">
                  <c:v>63.45</c:v>
                </c:pt>
                <c:pt idx="11">
                  <c:v>154.19999999999999</c:v>
                </c:pt>
                <c:pt idx="12">
                  <c:v>194.35</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0</c:v>
                </c:pt>
                <c:pt idx="5">
                  <c:v>3546</c:v>
                </c:pt>
                <c:pt idx="6">
                  <c:v>118</c:v>
                </c:pt>
                <c:pt idx="7">
                  <c:v>0</c:v>
                </c:pt>
                <c:pt idx="8">
                  <c:v>411.55</c:v>
                </c:pt>
                <c:pt idx="9">
                  <c:v>17</c:v>
                </c:pt>
                <c:pt idx="10">
                  <c:v>98</c:v>
                </c:pt>
                <c:pt idx="11">
                  <c:v>0</c:v>
                </c:pt>
                <c:pt idx="12">
                  <c:v>0</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11181.5</c:v>
                </c:pt>
                <c:pt idx="1">
                  <c:v>28184.799999999999</c:v>
                </c:pt>
                <c:pt idx="2">
                  <c:v>17070.3</c:v>
                </c:pt>
                <c:pt idx="3">
                  <c:v>74426.899999999994</c:v>
                </c:pt>
                <c:pt idx="4">
                  <c:v>117687.5</c:v>
                </c:pt>
                <c:pt idx="5">
                  <c:v>774289.5</c:v>
                </c:pt>
                <c:pt idx="6">
                  <c:v>476231.7</c:v>
                </c:pt>
                <c:pt idx="7">
                  <c:v>271516.40000000002</c:v>
                </c:pt>
                <c:pt idx="8">
                  <c:v>213512.32500000001</c:v>
                </c:pt>
                <c:pt idx="9">
                  <c:v>56866.375</c:v>
                </c:pt>
                <c:pt idx="10">
                  <c:v>21074.125</c:v>
                </c:pt>
                <c:pt idx="11">
                  <c:v>26307.4</c:v>
                </c:pt>
                <c:pt idx="12">
                  <c:v>30605.775000000001</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6509.7</c:v>
                </c:pt>
                <c:pt idx="1">
                  <c:v>18812.8</c:v>
                </c:pt>
                <c:pt idx="2">
                  <c:v>4704.6000000000004</c:v>
                </c:pt>
                <c:pt idx="3">
                  <c:v>35576.1</c:v>
                </c:pt>
                <c:pt idx="4">
                  <c:v>41536</c:v>
                </c:pt>
                <c:pt idx="5">
                  <c:v>120438.3</c:v>
                </c:pt>
                <c:pt idx="6">
                  <c:v>162140.4</c:v>
                </c:pt>
                <c:pt idx="7">
                  <c:v>141481</c:v>
                </c:pt>
                <c:pt idx="8">
                  <c:v>62144.5</c:v>
                </c:pt>
                <c:pt idx="9">
                  <c:v>3088</c:v>
                </c:pt>
                <c:pt idx="10">
                  <c:v>45.174999999999997</c:v>
                </c:pt>
                <c:pt idx="11">
                  <c:v>0</c:v>
                </c:pt>
                <c:pt idx="12">
                  <c:v>2614.2249999999999</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0</c:v>
                </c:pt>
                <c:pt idx="1">
                  <c:v>0</c:v>
                </c:pt>
                <c:pt idx="2">
                  <c:v>0</c:v>
                </c:pt>
                <c:pt idx="3">
                  <c:v>0</c:v>
                </c:pt>
                <c:pt idx="4">
                  <c:v>0</c:v>
                </c:pt>
                <c:pt idx="5">
                  <c:v>809</c:v>
                </c:pt>
                <c:pt idx="6">
                  <c:v>2955</c:v>
                </c:pt>
                <c:pt idx="7">
                  <c:v>300</c:v>
                </c:pt>
                <c:pt idx="8">
                  <c:v>475.42500000000001</c:v>
                </c:pt>
                <c:pt idx="9">
                  <c:v>0</c:v>
                </c:pt>
                <c:pt idx="10">
                  <c:v>1120.6500000000001</c:v>
                </c:pt>
                <c:pt idx="11">
                  <c:v>7136.4750000000004</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97.485909316600001</c:v>
                </c:pt>
                <c:pt idx="1">
                  <c:v>34.816996656699999</c:v>
                </c:pt>
                <c:pt idx="2">
                  <c:v>15.8979225199</c:v>
                </c:pt>
                <c:pt idx="3">
                  <c:v>4.7741999187999999</c:v>
                </c:pt>
                <c:pt idx="4">
                  <c:v>59.7129545994</c:v>
                </c:pt>
                <c:pt idx="5">
                  <c:v>56.254841341599999</c:v>
                </c:pt>
                <c:pt idx="6">
                  <c:v>61.503685353400002</c:v>
                </c:pt>
                <c:pt idx="7">
                  <c:v>54.1608380053</c:v>
                </c:pt>
                <c:pt idx="8">
                  <c:v>60.675018032799997</c:v>
                </c:pt>
                <c:pt idx="9">
                  <c:v>57.152078829099999</c:v>
                </c:pt>
                <c:pt idx="10">
                  <c:v>77.8107698699</c:v>
                </c:pt>
                <c:pt idx="11">
                  <c:v>69.163489003400002</c:v>
                </c:pt>
                <c:pt idx="12">
                  <c:v>9.6432943307999999</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36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25"/>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25"/>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Dat_01!$C$137:$O$137</c:f>
              <c:numCache>
                <c:formatCode>#,##0;\(#,##0\)</c:formatCode>
                <c:ptCount val="13"/>
                <c:pt idx="0">
                  <c:v>176818</c:v>
                </c:pt>
                <c:pt idx="1">
                  <c:v>161347</c:v>
                </c:pt>
                <c:pt idx="2">
                  <c:v>128080</c:v>
                </c:pt>
                <c:pt idx="3">
                  <c:v>122215</c:v>
                </c:pt>
                <c:pt idx="4">
                  <c:v>110098</c:v>
                </c:pt>
                <c:pt idx="5">
                  <c:v>71343</c:v>
                </c:pt>
                <c:pt idx="6">
                  <c:v>0</c:v>
                </c:pt>
                <c:pt idx="7">
                  <c:v>0</c:v>
                </c:pt>
                <c:pt idx="8">
                  <c:v>1113.75</c:v>
                </c:pt>
                <c:pt idx="9">
                  <c:v>1856.25</c:v>
                </c:pt>
                <c:pt idx="10">
                  <c:v>28208.75</c:v>
                </c:pt>
                <c:pt idx="11">
                  <c:v>16238.75</c:v>
                </c:pt>
                <c:pt idx="12">
                  <c:v>0</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Dat_01!$C$139:$O$139</c:f>
              <c:numCache>
                <c:formatCode>#,##0;\(#,##0\)</c:formatCode>
                <c:ptCount val="13"/>
                <c:pt idx="0">
                  <c:v>653295.19999999995</c:v>
                </c:pt>
                <c:pt idx="1">
                  <c:v>793527.4</c:v>
                </c:pt>
                <c:pt idx="2">
                  <c:v>1154419.5</c:v>
                </c:pt>
                <c:pt idx="3">
                  <c:v>2188300.1</c:v>
                </c:pt>
                <c:pt idx="4">
                  <c:v>1759263.5</c:v>
                </c:pt>
                <c:pt idx="5">
                  <c:v>1466909.1</c:v>
                </c:pt>
                <c:pt idx="6">
                  <c:v>1579291.4</c:v>
                </c:pt>
                <c:pt idx="7">
                  <c:v>1564029</c:v>
                </c:pt>
                <c:pt idx="8">
                  <c:v>1759136.875</c:v>
                </c:pt>
                <c:pt idx="9">
                  <c:v>2229306.125</c:v>
                </c:pt>
                <c:pt idx="10">
                  <c:v>2288776.85</c:v>
                </c:pt>
                <c:pt idx="11">
                  <c:v>1972270.0249999999</c:v>
                </c:pt>
                <c:pt idx="12">
                  <c:v>1802866.25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Dat_01!$C$143:$O$143</c:f>
              <c:numCache>
                <c:formatCode>#,##0;\(#,##0\)</c:formatCode>
                <c:ptCount val="13"/>
                <c:pt idx="0">
                  <c:v>0</c:v>
                </c:pt>
                <c:pt idx="1">
                  <c:v>18750.8</c:v>
                </c:pt>
                <c:pt idx="2">
                  <c:v>10370.9</c:v>
                </c:pt>
                <c:pt idx="3">
                  <c:v>17487.5</c:v>
                </c:pt>
                <c:pt idx="4">
                  <c:v>20621.599999999999</c:v>
                </c:pt>
                <c:pt idx="5">
                  <c:v>1904.1</c:v>
                </c:pt>
                <c:pt idx="6">
                  <c:v>0</c:v>
                </c:pt>
                <c:pt idx="7">
                  <c:v>3926.6</c:v>
                </c:pt>
                <c:pt idx="8">
                  <c:v>3783.1750000000002</c:v>
                </c:pt>
                <c:pt idx="9">
                  <c:v>510</c:v>
                </c:pt>
                <c:pt idx="10">
                  <c:v>1691.4</c:v>
                </c:pt>
                <c:pt idx="11">
                  <c:v>0</c:v>
                </c:pt>
                <c:pt idx="12">
                  <c:v>484.6</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Dat_01!$C$146:$O$146</c:f>
              <c:numCache>
                <c:formatCode>#,##0;\(#,##0\)</c:formatCode>
                <c:ptCount val="13"/>
                <c:pt idx="0">
                  <c:v>189</c:v>
                </c:pt>
                <c:pt idx="1">
                  <c:v>146</c:v>
                </c:pt>
                <c:pt idx="2">
                  <c:v>1600</c:v>
                </c:pt>
                <c:pt idx="3">
                  <c:v>1600</c:v>
                </c:pt>
                <c:pt idx="4">
                  <c:v>936</c:v>
                </c:pt>
                <c:pt idx="5">
                  <c:v>2587.5</c:v>
                </c:pt>
                <c:pt idx="6">
                  <c:v>6601</c:v>
                </c:pt>
                <c:pt idx="7">
                  <c:v>184</c:v>
                </c:pt>
                <c:pt idx="8">
                  <c:v>42602.3</c:v>
                </c:pt>
                <c:pt idx="9">
                  <c:v>0</c:v>
                </c:pt>
                <c:pt idx="10">
                  <c:v>0</c:v>
                </c:pt>
                <c:pt idx="11">
                  <c:v>5827.6750000000002</c:v>
                </c:pt>
                <c:pt idx="12">
                  <c:v>255.75</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Dat_01!$C$140:$O$140</c:f>
              <c:numCache>
                <c:formatCode>#,##0;\(#,##0\)</c:formatCode>
                <c:ptCount val="13"/>
                <c:pt idx="0">
                  <c:v>0</c:v>
                </c:pt>
                <c:pt idx="1">
                  <c:v>31.6</c:v>
                </c:pt>
                <c:pt idx="2">
                  <c:v>1.3</c:v>
                </c:pt>
                <c:pt idx="3">
                  <c:v>0</c:v>
                </c:pt>
                <c:pt idx="4">
                  <c:v>0</c:v>
                </c:pt>
                <c:pt idx="5">
                  <c:v>0</c:v>
                </c:pt>
                <c:pt idx="6">
                  <c:v>0</c:v>
                </c:pt>
                <c:pt idx="7">
                  <c:v>0</c:v>
                </c:pt>
                <c:pt idx="8">
                  <c:v>0</c:v>
                </c:pt>
                <c:pt idx="9">
                  <c:v>0</c:v>
                </c:pt>
                <c:pt idx="10">
                  <c:v>1.95</c:v>
                </c:pt>
                <c:pt idx="11">
                  <c:v>0</c:v>
                </c:pt>
                <c:pt idx="12">
                  <c:v>45.975000000000001</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Dat_01!$C$134:$O$134</c:f>
              <c:numCache>
                <c:formatCode>#,##0;\(#,##0\)</c:formatCode>
                <c:ptCount val="13"/>
                <c:pt idx="0">
                  <c:v>0</c:v>
                </c:pt>
                <c:pt idx="1">
                  <c:v>0</c:v>
                </c:pt>
                <c:pt idx="2">
                  <c:v>20382.3</c:v>
                </c:pt>
                <c:pt idx="3">
                  <c:v>0</c:v>
                </c:pt>
                <c:pt idx="4">
                  <c:v>150</c:v>
                </c:pt>
                <c:pt idx="5">
                  <c:v>3396</c:v>
                </c:pt>
                <c:pt idx="6">
                  <c:v>6200</c:v>
                </c:pt>
                <c:pt idx="7">
                  <c:v>0</c:v>
                </c:pt>
                <c:pt idx="8">
                  <c:v>0</c:v>
                </c:pt>
                <c:pt idx="9">
                  <c:v>350</c:v>
                </c:pt>
                <c:pt idx="10">
                  <c:v>325</c:v>
                </c:pt>
                <c:pt idx="11">
                  <c:v>0</c:v>
                </c:pt>
                <c:pt idx="12">
                  <c:v>0</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Dat_01!$C$144:$O$144</c:f>
              <c:numCache>
                <c:formatCode>#,##0;\(#,##0\)</c:formatCode>
                <c:ptCount val="13"/>
                <c:pt idx="0">
                  <c:v>0</c:v>
                </c:pt>
                <c:pt idx="1">
                  <c:v>1176.5999999999999</c:v>
                </c:pt>
                <c:pt idx="2">
                  <c:v>2988</c:v>
                </c:pt>
                <c:pt idx="3">
                  <c:v>3603.7</c:v>
                </c:pt>
                <c:pt idx="4">
                  <c:v>1579.6</c:v>
                </c:pt>
                <c:pt idx="5">
                  <c:v>198.7</c:v>
                </c:pt>
                <c:pt idx="6">
                  <c:v>0</c:v>
                </c:pt>
                <c:pt idx="7">
                  <c:v>0</c:v>
                </c:pt>
                <c:pt idx="8">
                  <c:v>0</c:v>
                </c:pt>
                <c:pt idx="9">
                  <c:v>122</c:v>
                </c:pt>
                <c:pt idx="10">
                  <c:v>0</c:v>
                </c:pt>
                <c:pt idx="11">
                  <c:v>0</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Dat_01!$C$142:$O$142</c:f>
              <c:numCache>
                <c:formatCode>#,##0;\(#,##0\)</c:formatCode>
                <c:ptCount val="13"/>
                <c:pt idx="0">
                  <c:v>0</c:v>
                </c:pt>
                <c:pt idx="1">
                  <c:v>0</c:v>
                </c:pt>
                <c:pt idx="2">
                  <c:v>0</c:v>
                </c:pt>
                <c:pt idx="3">
                  <c:v>0</c:v>
                </c:pt>
                <c:pt idx="4">
                  <c:v>0</c:v>
                </c:pt>
                <c:pt idx="5">
                  <c:v>229.2</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Dat_01!$C$135:$O$135</c:f>
              <c:numCache>
                <c:formatCode>#,##0;\(#,##0\)</c:formatCode>
                <c:ptCount val="13"/>
                <c:pt idx="0">
                  <c:v>0</c:v>
                </c:pt>
                <c:pt idx="1">
                  <c:v>0</c:v>
                </c:pt>
                <c:pt idx="2">
                  <c:v>0</c:v>
                </c:pt>
                <c:pt idx="3">
                  <c:v>0</c:v>
                </c:pt>
                <c:pt idx="4">
                  <c:v>60.7</c:v>
                </c:pt>
                <c:pt idx="5">
                  <c:v>700</c:v>
                </c:pt>
                <c:pt idx="6">
                  <c:v>0</c:v>
                </c:pt>
                <c:pt idx="7">
                  <c:v>0</c:v>
                </c:pt>
                <c:pt idx="8">
                  <c:v>0</c:v>
                </c:pt>
                <c:pt idx="9">
                  <c:v>4180</c:v>
                </c:pt>
                <c:pt idx="10">
                  <c:v>20</c:v>
                </c:pt>
                <c:pt idx="11">
                  <c:v>6400</c:v>
                </c:pt>
                <c:pt idx="12">
                  <c:v>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Dat_01!$C$136:$O$136</c:f>
              <c:numCache>
                <c:formatCode>#,##0;\(#,##0\)</c:formatCode>
                <c:ptCount val="13"/>
                <c:pt idx="0">
                  <c:v>0</c:v>
                </c:pt>
                <c:pt idx="1">
                  <c:v>260114.1</c:v>
                </c:pt>
                <c:pt idx="2">
                  <c:v>267559.5</c:v>
                </c:pt>
                <c:pt idx="3">
                  <c:v>363944.9</c:v>
                </c:pt>
                <c:pt idx="4">
                  <c:v>25407.8</c:v>
                </c:pt>
                <c:pt idx="5">
                  <c:v>19303.400000000001</c:v>
                </c:pt>
                <c:pt idx="6">
                  <c:v>3428.3</c:v>
                </c:pt>
                <c:pt idx="7">
                  <c:v>35476.800000000003</c:v>
                </c:pt>
                <c:pt idx="8">
                  <c:v>116112.4</c:v>
                </c:pt>
                <c:pt idx="9">
                  <c:v>47755.224999999999</c:v>
                </c:pt>
                <c:pt idx="10">
                  <c:v>22947.875</c:v>
                </c:pt>
                <c:pt idx="11">
                  <c:v>276494.25</c:v>
                </c:pt>
                <c:pt idx="12">
                  <c:v>1412402.7749999999</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191.6424222304</c:v>
                </c:pt>
                <c:pt idx="1">
                  <c:v>147.7308546305</c:v>
                </c:pt>
                <c:pt idx="2">
                  <c:v>144.37500321530001</c:v>
                </c:pt>
                <c:pt idx="3">
                  <c:v>155.04070517069999</c:v>
                </c:pt>
                <c:pt idx="4">
                  <c:v>165.61002641549999</c:v>
                </c:pt>
                <c:pt idx="5">
                  <c:v>150.28757834149999</c:v>
                </c:pt>
                <c:pt idx="6">
                  <c:v>157.3914054217</c:v>
                </c:pt>
                <c:pt idx="7">
                  <c:v>166.42095092229999</c:v>
                </c:pt>
                <c:pt idx="8">
                  <c:v>162.7965502049</c:v>
                </c:pt>
                <c:pt idx="9">
                  <c:v>164.47094452299999</c:v>
                </c:pt>
                <c:pt idx="10">
                  <c:v>174.62615588240001</c:v>
                </c:pt>
                <c:pt idx="11">
                  <c:v>182.37316718189999</c:v>
                </c:pt>
                <c:pt idx="12">
                  <c:v>137.02993094039999</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25"/>
        </c:scaling>
        <c:delete val="0"/>
        <c:axPos val="r"/>
        <c:numFmt formatCode="#,##0" sourceLinked="0"/>
        <c:majorTickMark val="out"/>
        <c:minorTickMark val="none"/>
        <c:tickLblPos val="nextTo"/>
        <c:spPr>
          <a:ln>
            <a:noFill/>
          </a:ln>
        </c:spPr>
        <c:crossAx val="403141008"/>
        <c:crosses val="max"/>
        <c:crossBetween val="between"/>
        <c:majorUnit val="25"/>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Dat_01!$B$184:$N$184</c:f>
              <c:numCache>
                <c:formatCode>#,##0</c:formatCode>
                <c:ptCount val="13"/>
                <c:pt idx="0">
                  <c:v>1128.565476190475</c:v>
                </c:pt>
                <c:pt idx="1">
                  <c:v>1181.15376850605</c:v>
                </c:pt>
                <c:pt idx="2">
                  <c:v>1185.1831761006249</c:v>
                </c:pt>
                <c:pt idx="3">
                  <c:v>1194.9334677419249</c:v>
                </c:pt>
                <c:pt idx="4">
                  <c:v>1196.13055555555</c:v>
                </c:pt>
                <c:pt idx="5">
                  <c:v>1196.6243279570001</c:v>
                </c:pt>
                <c:pt idx="6">
                  <c:v>1193.9107638889</c:v>
                </c:pt>
                <c:pt idx="7">
                  <c:v>1186.19756944445</c:v>
                </c:pt>
                <c:pt idx="8">
                  <c:v>1174.1842281879251</c:v>
                </c:pt>
                <c:pt idx="9">
                  <c:v>1169.1361111111</c:v>
                </c:pt>
                <c:pt idx="10">
                  <c:v>1170.0030241935499</c:v>
                </c:pt>
                <c:pt idx="11">
                  <c:v>1185.5510752688249</c:v>
                </c:pt>
                <c:pt idx="12">
                  <c:v>1168.0904017857249</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F</c:v>
                </c:pt>
                <c:pt idx="1">
                  <c:v>M</c:v>
                </c:pt>
                <c:pt idx="2">
                  <c:v>A</c:v>
                </c:pt>
                <c:pt idx="3">
                  <c:v>M</c:v>
                </c:pt>
                <c:pt idx="4">
                  <c:v>J</c:v>
                </c:pt>
                <c:pt idx="5">
                  <c:v>J</c:v>
                </c:pt>
                <c:pt idx="6">
                  <c:v>A</c:v>
                </c:pt>
                <c:pt idx="7">
                  <c:v>S</c:v>
                </c:pt>
                <c:pt idx="8">
                  <c:v>O</c:v>
                </c:pt>
                <c:pt idx="9">
                  <c:v>N</c:v>
                </c:pt>
                <c:pt idx="10">
                  <c:v>D</c:v>
                </c:pt>
                <c:pt idx="11">
                  <c:v>E</c:v>
                </c:pt>
                <c:pt idx="12">
                  <c:v>F</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67.585589426400006</c:v>
                </c:pt>
                <c:pt idx="1">
                  <c:v>35.5284746281</c:v>
                </c:pt>
                <c:pt idx="2">
                  <c:v>21.1892065471</c:v>
                </c:pt>
                <c:pt idx="3">
                  <c:v>11.0326904909</c:v>
                </c:pt>
                <c:pt idx="4">
                  <c:v>20.297364826599999</c:v>
                </c:pt>
                <c:pt idx="5">
                  <c:v>34.1141379253</c:v>
                </c:pt>
                <c:pt idx="6">
                  <c:v>35.031649862599998</c:v>
                </c:pt>
                <c:pt idx="7">
                  <c:v>32.7380599946</c:v>
                </c:pt>
                <c:pt idx="8">
                  <c:v>36.398819601600003</c:v>
                </c:pt>
                <c:pt idx="9">
                  <c:v>25.577419348599999</c:v>
                </c:pt>
                <c:pt idx="10">
                  <c:v>19.581757195600002</c:v>
                </c:pt>
                <c:pt idx="11">
                  <c:v>23.5337400642</c:v>
                </c:pt>
                <c:pt idx="12">
                  <c:v>14.062624576599999</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2"/>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0.86385</cdr:x>
      <cdr:y>0.93164</cdr:y>
    </cdr:from>
    <cdr:to>
      <cdr:x>0.95428</cdr:x>
      <cdr:y>0.99258</cdr:y>
    </cdr:to>
    <cdr:sp macro="" textlink="">
      <cdr:nvSpPr>
        <cdr:cNvPr id="3" name="CuadroTexto 1"/>
        <cdr:cNvSpPr txBox="1"/>
      </cdr:nvSpPr>
      <cdr:spPr>
        <a:xfrm xmlns:a="http://schemas.openxmlformats.org/drawingml/2006/main">
          <a:off x="6289403" y="2679306"/>
          <a:ext cx="658389" cy="1752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0.4134</cdr:x>
      <cdr:y>0.93484</cdr:y>
    </cdr:from>
    <cdr:to>
      <cdr:x>0.49321</cdr:x>
      <cdr:y>1</cdr:y>
    </cdr:to>
    <cdr:sp macro="" textlink="">
      <cdr:nvSpPr>
        <cdr:cNvPr id="4" name="CuadroTexto 1"/>
        <cdr:cNvSpPr txBox="1"/>
      </cdr:nvSpPr>
      <cdr:spPr>
        <a:xfrm xmlns:a="http://schemas.openxmlformats.org/drawingml/2006/main">
          <a:off x="3009833" y="2688510"/>
          <a:ext cx="581069" cy="1873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0.81943</cdr:x>
      <cdr:y>0.06869</cdr:y>
    </cdr:from>
    <cdr:to>
      <cdr:x>0.81951</cdr:x>
      <cdr:y>0.77279</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6458421" y="172700"/>
          <a:ext cx="630" cy="17703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0.81725</cdr:x>
      <cdr:y>0.13294</cdr:y>
    </cdr:from>
    <cdr:to>
      <cdr:x>0.8185</cdr:x>
      <cdr:y>0.84905</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6441271" y="338857"/>
          <a:ext cx="9852" cy="18253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0.42417</cdr:x>
      <cdr:y>0.93524</cdr:y>
    </cdr:from>
    <cdr:to>
      <cdr:x>0.46293</cdr:x>
      <cdr:y>0.99669</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3343120" y="2383880"/>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0.87001</cdr:x>
      <cdr:y>0.93855</cdr:y>
    </cdr:from>
    <cdr:to>
      <cdr:x>0.90877</cdr:x>
      <cdr:y>1</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6857112" y="2392316"/>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0.81883</cdr:x>
      <cdr:y>0.13254</cdr:y>
    </cdr:from>
    <cdr:to>
      <cdr:x>0.81957</cdr:x>
      <cdr:y>0.82359</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6336878" y="316644"/>
          <a:ext cx="5727" cy="16509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0.41074</cdr:x>
      <cdr:y>0.88528</cdr:y>
    </cdr:from>
    <cdr:to>
      <cdr:x>0.48554</cdr:x>
      <cdr:y>0.96387</cdr:y>
    </cdr:to>
    <cdr:sp macro="" textlink="">
      <cdr:nvSpPr>
        <cdr:cNvPr id="4" name="CuadroTexto 1"/>
        <cdr:cNvSpPr txBox="1"/>
      </cdr:nvSpPr>
      <cdr:spPr>
        <a:xfrm xmlns:a="http://schemas.openxmlformats.org/drawingml/2006/main">
          <a:off x="3178675" y="2114969"/>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0.86611</cdr:x>
      <cdr:y>0.88812</cdr:y>
    </cdr:from>
    <cdr:to>
      <cdr:x>0.94091</cdr:x>
      <cdr:y>0.96671</cdr:y>
    </cdr:to>
    <cdr:sp macro="" textlink="">
      <cdr:nvSpPr>
        <cdr:cNvPr id="5" name="CuadroTexto 1"/>
        <cdr:cNvSpPr txBox="1"/>
      </cdr:nvSpPr>
      <cdr:spPr>
        <a:xfrm xmlns:a="http://schemas.openxmlformats.org/drawingml/2006/main">
          <a:off x="6702738" y="2121753"/>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0.81988</cdr:x>
      <cdr:y>0.04531</cdr:y>
    </cdr:from>
    <cdr:to>
      <cdr:x>0.82015</cdr:x>
      <cdr:y>0.87357</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6345733" y="80174"/>
          <a:ext cx="2090" cy="14656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0.81838</cdr:x>
      <cdr:y>0.12257</cdr:y>
    </cdr:from>
    <cdr:to>
      <cdr:x>0.81856</cdr:x>
      <cdr:y>0.822</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6346517" y="290330"/>
          <a:ext cx="1396" cy="165676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0.41652</cdr:x>
      <cdr:y>0.886</cdr:y>
    </cdr:from>
    <cdr:to>
      <cdr:x>0.49133</cdr:x>
      <cdr:y>0.96377</cdr:y>
    </cdr:to>
    <cdr:sp macro="" textlink="">
      <cdr:nvSpPr>
        <cdr:cNvPr id="4" name="CuadroTexto 1"/>
        <cdr:cNvSpPr txBox="1"/>
      </cdr:nvSpPr>
      <cdr:spPr>
        <a:xfrm xmlns:a="http://schemas.openxmlformats.org/drawingml/2006/main">
          <a:off x="3230086" y="2098701"/>
          <a:ext cx="580151" cy="1842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0.86034</cdr:x>
      <cdr:y>0.88167</cdr:y>
    </cdr:from>
    <cdr:to>
      <cdr:x>0.93513</cdr:x>
      <cdr:y>0.95945</cdr:y>
    </cdr:to>
    <cdr:sp macro="" textlink="">
      <cdr:nvSpPr>
        <cdr:cNvPr id="5" name="CuadroTexto 1"/>
        <cdr:cNvSpPr txBox="1"/>
      </cdr:nvSpPr>
      <cdr:spPr>
        <a:xfrm xmlns:a="http://schemas.openxmlformats.org/drawingml/2006/main">
          <a:off x="6671941" y="2088454"/>
          <a:ext cx="57999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0.81888</cdr:x>
      <cdr:y>0.0396</cdr:y>
    </cdr:from>
    <cdr:to>
      <cdr:x>0.81888</cdr:x>
      <cdr:y>0.88895</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6351174" y="68823"/>
          <a:ext cx="0" cy="147618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0.82072</cdr:x>
      <cdr:y>0.103</cdr:y>
    </cdr:from>
    <cdr:to>
      <cdr:x>0.8217</cdr:x>
      <cdr:y>0.78165</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V="1">
          <a:off x="6384869" y="269067"/>
          <a:ext cx="7571" cy="177284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0.8216</cdr:x>
      <cdr:y>0.17807</cdr:y>
    </cdr:from>
    <cdr:to>
      <cdr:x>0.82228</cdr:x>
      <cdr:y>0.86123</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6391651" y="486067"/>
          <a:ext cx="5290" cy="18647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0.41263</cdr:x>
      <cdr:y>0.92955</cdr:y>
    </cdr:from>
    <cdr:to>
      <cdr:x>0.48743</cdr:x>
      <cdr:y>1</cdr:y>
    </cdr:to>
    <cdr:sp macro="" textlink="">
      <cdr:nvSpPr>
        <cdr:cNvPr id="4" name="CuadroTexto 1"/>
        <cdr:cNvSpPr txBox="1"/>
      </cdr:nvSpPr>
      <cdr:spPr>
        <a:xfrm xmlns:a="http://schemas.openxmlformats.org/drawingml/2006/main">
          <a:off x="3210072" y="2537298"/>
          <a:ext cx="581911"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0.86395</cdr:x>
      <cdr:y>0.92955</cdr:y>
    </cdr:from>
    <cdr:to>
      <cdr:x>0.93873</cdr:x>
      <cdr:y>1</cdr:y>
    </cdr:to>
    <cdr:sp macro="" textlink="">
      <cdr:nvSpPr>
        <cdr:cNvPr id="5" name="CuadroTexto 1"/>
        <cdr:cNvSpPr txBox="1"/>
      </cdr:nvSpPr>
      <cdr:spPr>
        <a:xfrm xmlns:a="http://schemas.openxmlformats.org/drawingml/2006/main">
          <a:off x="6721124" y="2537298"/>
          <a:ext cx="581756" cy="1923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0.81771</cdr:x>
      <cdr:y>0.08493</cdr:y>
    </cdr:from>
    <cdr:to>
      <cdr:x>0.8178</cdr:x>
      <cdr:y>0.70826</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6394156" y="278370"/>
          <a:ext cx="704" cy="20430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0.81932</cdr:x>
      <cdr:y>0.10454</cdr:y>
    </cdr:from>
    <cdr:to>
      <cdr:x>0.82022</cdr:x>
      <cdr:y>0.86216</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6406750" y="274711"/>
          <a:ext cx="7038" cy="199092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0.41038</cdr:x>
      <cdr:y>0.92297</cdr:y>
    </cdr:from>
    <cdr:to>
      <cdr:x>0.48518</cdr:x>
      <cdr:y>0.99343</cdr:y>
    </cdr:to>
    <cdr:sp macro="" textlink="">
      <cdr:nvSpPr>
        <cdr:cNvPr id="4" name="CuadroTexto 1"/>
        <cdr:cNvSpPr txBox="1"/>
      </cdr:nvSpPr>
      <cdr:spPr>
        <a:xfrm xmlns:a="http://schemas.openxmlformats.org/drawingml/2006/main">
          <a:off x="3208981" y="2425443"/>
          <a:ext cx="584906" cy="185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0.86095</cdr:x>
      <cdr:y>0.92363</cdr:y>
    </cdr:from>
    <cdr:to>
      <cdr:x>0.93574</cdr:x>
      <cdr:y>0.99408</cdr:y>
    </cdr:to>
    <cdr:sp macro="" textlink="">
      <cdr:nvSpPr>
        <cdr:cNvPr id="5" name="CuadroTexto 1"/>
        <cdr:cNvSpPr txBox="1"/>
      </cdr:nvSpPr>
      <cdr:spPr>
        <a:xfrm xmlns:a="http://schemas.openxmlformats.org/drawingml/2006/main">
          <a:off x="6732320" y="2427181"/>
          <a:ext cx="584828" cy="185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0.55103</cdr:x>
      <cdr:y>0.30256</cdr:y>
    </cdr:from>
    <cdr:to>
      <cdr:x>0.68052</cdr:x>
      <cdr:y>0.36356</cdr:y>
    </cdr:to>
    <cdr:sp macro="" textlink="">
      <cdr:nvSpPr>
        <cdr:cNvPr id="2" name="Texto 7"/>
        <cdr:cNvSpPr txBox="1">
          <a:spLocks xmlns:a="http://schemas.openxmlformats.org/drawingml/2006/main" noChangeArrowheads="1"/>
        </cdr:cNvSpPr>
      </cdr:nvSpPr>
      <cdr:spPr bwMode="auto">
        <a:xfrm xmlns:a="http://schemas.openxmlformats.org/drawingml/2006/main">
          <a:off x="3180602" y="756194"/>
          <a:ext cx="747436" cy="15246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0.45418</cdr:x>
      <cdr:y>0.79348</cdr:y>
    </cdr:from>
    <cdr:to>
      <cdr:x>0.58368</cdr:x>
      <cdr:y>0.85447</cdr:y>
    </cdr:to>
    <cdr:sp macro="" textlink="">
      <cdr:nvSpPr>
        <cdr:cNvPr id="3" name="Texto 7"/>
        <cdr:cNvSpPr txBox="1">
          <a:spLocks xmlns:a="http://schemas.openxmlformats.org/drawingml/2006/main" noChangeArrowheads="1"/>
        </cdr:cNvSpPr>
      </cdr:nvSpPr>
      <cdr:spPr bwMode="auto">
        <a:xfrm xmlns:a="http://schemas.openxmlformats.org/drawingml/2006/main">
          <a:off x="2621576" y="1983197"/>
          <a:ext cx="747493" cy="15243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0.81681</cdr:x>
      <cdr:y>0.09136</cdr:y>
    </cdr:from>
    <cdr:to>
      <cdr:x>0.81819</cdr:x>
      <cdr:y>0.85723</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H="1" flipV="1">
          <a:off x="6134100" y="240030"/>
          <a:ext cx="10328" cy="201210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chemeClr val="tx2"/>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0.40611</cdr:x>
      <cdr:y>0.92954</cdr:y>
    </cdr:from>
    <cdr:to>
      <cdr:x>0.48183</cdr:x>
      <cdr:y>1</cdr:y>
    </cdr:to>
    <cdr:sp macro="" textlink="">
      <cdr:nvSpPr>
        <cdr:cNvPr id="4" name="CuadroTexto 1"/>
        <cdr:cNvSpPr txBox="1"/>
      </cdr:nvSpPr>
      <cdr:spPr>
        <a:xfrm xmlns:a="http://schemas.openxmlformats.org/drawingml/2006/main">
          <a:off x="3132627"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0.86278</cdr:x>
      <cdr:y>0.92955</cdr:y>
    </cdr:from>
    <cdr:to>
      <cdr:x>0.93849</cdr:x>
      <cdr:y>1</cdr:y>
    </cdr:to>
    <cdr:sp macro="" textlink="">
      <cdr:nvSpPr>
        <cdr:cNvPr id="5" name="CuadroTexto 1"/>
        <cdr:cNvSpPr txBox="1"/>
      </cdr:nvSpPr>
      <cdr:spPr>
        <a:xfrm xmlns:a="http://schemas.openxmlformats.org/drawingml/2006/main">
          <a:off x="6655187" y="2505877"/>
          <a:ext cx="584000"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31.xml><?xml version="1.0" encoding="utf-8"?>
<c:userShapes xmlns:c="http://schemas.openxmlformats.org/drawingml/2006/chart">
  <cdr:relSizeAnchor xmlns:cdr="http://schemas.openxmlformats.org/drawingml/2006/chartDrawing">
    <cdr:from>
      <cdr:x>0.81626</cdr:x>
      <cdr:y>0.03344</cdr:y>
    </cdr:from>
    <cdr:to>
      <cdr:x>0.81665</cdr:x>
      <cdr:y>0.80121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296309" y="88873"/>
          <a:ext cx="3008" cy="20405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0.81289</cdr:x>
      <cdr:y>0.10065</cdr:y>
    </cdr:from>
    <cdr:to>
      <cdr:x>0.81317</cdr:x>
      <cdr:y>0.77386</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250625" y="293901"/>
          <a:ext cx="2153" cy="19658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0.40727</cdr:x>
      <cdr:y>0.92954</cdr:y>
    </cdr:from>
    <cdr:to>
      <cdr:x>0.48299</cdr:x>
      <cdr:y>1</cdr:y>
    </cdr:to>
    <cdr:sp macro="" textlink="">
      <cdr:nvSpPr>
        <cdr:cNvPr id="4" name="CuadroTexto 1"/>
        <cdr:cNvSpPr txBox="1"/>
      </cdr:nvSpPr>
      <cdr:spPr>
        <a:xfrm xmlns:a="http://schemas.openxmlformats.org/drawingml/2006/main">
          <a:off x="3134203" y="2358019"/>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0.86701</cdr:x>
      <cdr:y>0.92388</cdr:y>
    </cdr:from>
    <cdr:to>
      <cdr:x>0.94272</cdr:x>
      <cdr:y>0.99433</cdr:y>
    </cdr:to>
    <cdr:sp macro="" textlink="">
      <cdr:nvSpPr>
        <cdr:cNvPr id="5" name="CuadroTexto 1"/>
        <cdr:cNvSpPr txBox="1"/>
      </cdr:nvSpPr>
      <cdr:spPr>
        <a:xfrm xmlns:a="http://schemas.openxmlformats.org/drawingml/2006/main">
          <a:off x="6672228" y="2343666"/>
          <a:ext cx="582642" cy="1787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0.81522</cdr:x>
      <cdr:y>0.17733</cdr:y>
    </cdr:from>
    <cdr:to>
      <cdr:x>0.8155</cdr:x>
      <cdr:y>0.85054</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273700" y="449835"/>
          <a:ext cx="2155" cy="170777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0.82535</cdr:x>
      <cdr:y>0.19797</cdr:y>
    </cdr:from>
    <cdr:to>
      <cdr:x>0.82571</cdr:x>
      <cdr:y>0.88352</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5982594" y="611754"/>
          <a:ext cx="2609" cy="21184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0.86492</cdr:x>
      <cdr:y>0.92803</cdr:y>
    </cdr:from>
    <cdr:to>
      <cdr:x>0.94473</cdr:x>
      <cdr:y>0.9901</cdr:y>
    </cdr:to>
    <cdr:sp macro="" textlink="">
      <cdr:nvSpPr>
        <cdr:cNvPr id="5" name="CuadroTexto 1"/>
        <cdr:cNvSpPr txBox="1"/>
      </cdr:nvSpPr>
      <cdr:spPr>
        <a:xfrm xmlns:a="http://schemas.openxmlformats.org/drawingml/2006/main">
          <a:off x="6269395" y="2867738"/>
          <a:ext cx="578504" cy="1918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0.42422</cdr:x>
      <cdr:y>0.92951</cdr:y>
    </cdr:from>
    <cdr:to>
      <cdr:x>0.50403</cdr:x>
      <cdr:y>0.99159</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3074967" y="2872310"/>
          <a:ext cx="578505" cy="1918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0.42357</cdr:x>
      <cdr:y>0.89622</cdr:y>
    </cdr:from>
    <cdr:to>
      <cdr:x>0.50337</cdr:x>
      <cdr:y>0.95993</cdr:y>
    </cdr:to>
    <cdr:sp macro="" textlink="">
      <cdr:nvSpPr>
        <cdr:cNvPr id="4" name="CuadroTexto 1"/>
        <cdr:cNvSpPr txBox="1"/>
      </cdr:nvSpPr>
      <cdr:spPr>
        <a:xfrm xmlns:a="http://schemas.openxmlformats.org/drawingml/2006/main">
          <a:off x="3070960" y="2719412"/>
          <a:ext cx="578569" cy="1933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0.82297</cdr:x>
      <cdr:y>0.1525</cdr:y>
    </cdr:from>
    <cdr:to>
      <cdr:x>0.82398</cdr:x>
      <cdr:y>0.83946</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H="1" flipV="1">
          <a:off x="5796459" y="462116"/>
          <a:ext cx="7111" cy="208163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0.86999</cdr:x>
      <cdr:y>0.90867</cdr:y>
    </cdr:from>
    <cdr:to>
      <cdr:x>0.9498</cdr:x>
      <cdr:y>0.97217</cdr:y>
    </cdr:to>
    <cdr:sp macro="" textlink="">
      <cdr:nvSpPr>
        <cdr:cNvPr id="5" name="CuadroTexto 1"/>
        <cdr:cNvSpPr txBox="1"/>
      </cdr:nvSpPr>
      <cdr:spPr>
        <a:xfrm xmlns:a="http://schemas.openxmlformats.org/drawingml/2006/main">
          <a:off x="6307615" y="2757192"/>
          <a:ext cx="578642" cy="192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5756148</xdr:colOff>
      <xdr:row>10</xdr:row>
      <xdr:rowOff>69539</xdr:rowOff>
    </xdr:from>
    <xdr:to>
      <xdr:col>4</xdr:col>
      <xdr:colOff>5760994</xdr:colOff>
      <xdr:row>22</xdr:row>
      <xdr:rowOff>46645</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7625205" y="1740907"/>
          <a:ext cx="4846" cy="1918049"/>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jon Concejal, Maria Sonsoles" id="{97FCDB15-5D3F-4A23-BBC4-64F5ED85D352}" userId="S::smadejon@redeia.com::d2e177a6-b674-4dc6-ad15-639f63b0f7a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43" dT="2026-01-07T20:12:08.62" personId="{97FCDB15-5D3F-4A23-BBC4-64F5ED85D352}" id="{FEC302BB-24B9-4347-BDED-0D7BEC4F129A}">
    <text>Actualizar diciembre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5"/>
  <sheetData>
    <row r="1" spans="1:2">
      <c r="A1">
        <v>14</v>
      </c>
      <c r="B1" s="112" t="s">
        <v>286</v>
      </c>
    </row>
    <row r="2" spans="1:2">
      <c r="A2" t="s">
        <v>283</v>
      </c>
    </row>
    <row r="3" spans="1:2">
      <c r="A3" t="s">
        <v>282</v>
      </c>
    </row>
    <row r="4" spans="1:2">
      <c r="A4" t="s">
        <v>232</v>
      </c>
    </row>
    <row r="5" spans="1:2">
      <c r="A5" t="s">
        <v>240</v>
      </c>
    </row>
    <row r="6" spans="1:2">
      <c r="A6" t="s">
        <v>280</v>
      </c>
    </row>
    <row r="7" spans="1:2">
      <c r="A7" t="s">
        <v>281</v>
      </c>
    </row>
    <row r="8" spans="1:2">
      <c r="A8" t="s">
        <v>234</v>
      </c>
    </row>
    <row r="9" spans="1:2">
      <c r="A9" t="s">
        <v>238</v>
      </c>
    </row>
    <row r="10" spans="1:2">
      <c r="A10" t="s">
        <v>248</v>
      </c>
    </row>
    <row r="11" spans="1:2">
      <c r="A11" t="s">
        <v>249</v>
      </c>
    </row>
    <row r="12" spans="1:2">
      <c r="A12" t="s">
        <v>236</v>
      </c>
    </row>
    <row r="13" spans="1:2">
      <c r="A13" t="s">
        <v>284</v>
      </c>
    </row>
    <row r="14" spans="1:2">
      <c r="A14" t="s">
        <v>287</v>
      </c>
    </row>
    <row r="15" spans="1:2">
      <c r="A15" t="s">
        <v>285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zoomScale="106" zoomScaleNormal="106" workbookViewId="0">
      <selection activeCell="N25" sqref="N25"/>
    </sheetView>
  </sheetViews>
  <sheetFormatPr baseColWidth="10" defaultColWidth="11.453125" defaultRowHeight="12.5"/>
  <cols>
    <col min="1" max="1" width="2.54296875" style="28" customWidth="1"/>
    <col min="2" max="2" width="23.54296875" style="28" customWidth="1"/>
    <col min="3" max="3" width="11.453125" style="28" customWidth="1"/>
    <col min="4" max="8" width="11.453125" style="28"/>
    <col min="9" max="9" width="11.54296875" style="28" bestFit="1" customWidth="1"/>
    <col min="10" max="14" width="11.453125" style="28"/>
    <col min="15" max="15" width="17" style="28" bestFit="1" customWidth="1"/>
    <col min="16" max="16384" width="11.453125" style="28"/>
  </cols>
  <sheetData>
    <row r="1" spans="2:38" ht="13">
      <c r="L1" s="17" t="s">
        <v>31</v>
      </c>
    </row>
    <row r="2" spans="2:38" ht="13">
      <c r="L2" s="18" t="str">
        <f>Indice!E3</f>
        <v>Febrero 2026</v>
      </c>
    </row>
    <row r="4" spans="2:38" ht="13">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21" t="s">
        <v>35</v>
      </c>
      <c r="F7" s="32"/>
      <c r="G7" s="32"/>
      <c r="H7" s="33"/>
      <c r="I7" s="33"/>
      <c r="J7" s="33"/>
      <c r="K7" s="33"/>
      <c r="L7" s="33"/>
      <c r="M7" s="33"/>
      <c r="AC7" s="33"/>
      <c r="AD7" s="33"/>
      <c r="AE7" s="33"/>
      <c r="AF7" s="33"/>
      <c r="AG7" s="33"/>
      <c r="AH7" s="33"/>
      <c r="AI7" s="33"/>
      <c r="AJ7" s="33"/>
      <c r="AK7" s="33"/>
      <c r="AL7" s="33"/>
    </row>
    <row r="8" spans="2:38">
      <c r="B8" s="221"/>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21"/>
      <c r="F10" s="32"/>
      <c r="G10" s="32"/>
    </row>
    <row r="11" spans="2:38">
      <c r="B11" s="221"/>
      <c r="F11" s="32"/>
      <c r="G11" s="32"/>
    </row>
    <row r="12" spans="2:38" s="31" customFormat="1">
      <c r="B12" s="221"/>
      <c r="F12" s="32"/>
      <c r="G12" s="32"/>
    </row>
    <row r="13" spans="2:38">
      <c r="B13" s="221"/>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ht="13">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M15" sqref="M15"/>
    </sheetView>
  </sheetViews>
  <sheetFormatPr baseColWidth="10" defaultColWidth="11.453125" defaultRowHeight="12.5"/>
  <cols>
    <col min="1" max="1" width="2.54296875" style="28" customWidth="1"/>
    <col min="2" max="2" width="21.54296875" style="28" customWidth="1"/>
    <col min="3" max="3" width="11.453125" style="28" customWidth="1"/>
    <col min="4" max="8" width="11.453125" style="28"/>
    <col min="9" max="9" width="11.54296875" style="28" bestFit="1" customWidth="1"/>
    <col min="10" max="13" width="11.453125" style="28"/>
    <col min="14" max="14" width="15.54296875" style="28" customWidth="1"/>
    <col min="15" max="16384" width="11.453125" style="28"/>
  </cols>
  <sheetData>
    <row r="1" spans="2:37" ht="13">
      <c r="L1" s="17" t="s">
        <v>31</v>
      </c>
    </row>
    <row r="2" spans="2:37" ht="13">
      <c r="L2" s="18" t="str">
        <f>Indice!E3</f>
        <v>Febrero 2026</v>
      </c>
    </row>
    <row r="4" spans="2:37" ht="13">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21" t="s">
        <v>205</v>
      </c>
      <c r="F7" s="32"/>
      <c r="G7" s="32"/>
      <c r="H7" s="33"/>
      <c r="I7" s="33"/>
      <c r="J7" s="33"/>
      <c r="K7" s="33"/>
      <c r="L7" s="33"/>
      <c r="M7" s="33"/>
      <c r="AB7" s="33"/>
      <c r="AC7" s="33"/>
      <c r="AD7" s="33"/>
      <c r="AE7" s="33"/>
      <c r="AF7" s="33"/>
      <c r="AG7" s="33"/>
      <c r="AH7" s="33"/>
      <c r="AI7" s="33"/>
      <c r="AJ7" s="33"/>
      <c r="AK7" s="33"/>
    </row>
    <row r="8" spans="2:37">
      <c r="B8" s="221"/>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21"/>
      <c r="F10" s="32"/>
      <c r="G10" s="32"/>
    </row>
    <row r="11" spans="2:37" s="31" customFormat="1">
      <c r="B11" s="221"/>
      <c r="F11" s="32"/>
      <c r="G11" s="32"/>
    </row>
    <row r="12" spans="2:37">
      <c r="B12" s="221"/>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ht="13">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N13" sqref="N13"/>
    </sheetView>
  </sheetViews>
  <sheetFormatPr baseColWidth="10" defaultColWidth="11.453125" defaultRowHeight="12.5"/>
  <cols>
    <col min="1" max="1" width="2.54296875" style="28" customWidth="1"/>
    <col min="2" max="2" width="21.54296875" style="28" customWidth="1"/>
    <col min="3" max="3" width="11.453125" style="28" customWidth="1"/>
    <col min="4" max="8" width="11.453125" style="28"/>
    <col min="9" max="9" width="11.54296875" style="28" bestFit="1" customWidth="1"/>
    <col min="10" max="13" width="11.453125" style="28"/>
    <col min="14" max="14" width="15.54296875" style="28" customWidth="1"/>
    <col min="15" max="25" width="8.453125" style="28" customWidth="1"/>
    <col min="26" max="26" width="8.54296875" style="28" customWidth="1"/>
    <col min="27" max="27" width="11.453125" style="28" customWidth="1"/>
    <col min="28" max="16384" width="11.453125" style="28"/>
  </cols>
  <sheetData>
    <row r="1" spans="2:37" ht="13">
      <c r="L1" s="17" t="s">
        <v>31</v>
      </c>
    </row>
    <row r="2" spans="2:37" ht="13">
      <c r="L2" s="18" t="str">
        <f>Indice!E3</f>
        <v>Febrero 2026</v>
      </c>
    </row>
    <row r="4" spans="2:37" ht="13">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21" t="s">
        <v>64</v>
      </c>
      <c r="F7" s="32"/>
      <c r="G7" s="32"/>
      <c r="H7" s="33"/>
      <c r="I7" s="33"/>
      <c r="J7" s="33"/>
      <c r="K7" s="33"/>
      <c r="L7" s="33"/>
      <c r="M7" s="33"/>
      <c r="AB7" s="33"/>
      <c r="AC7" s="33"/>
      <c r="AD7" s="33"/>
      <c r="AE7" s="33"/>
      <c r="AF7" s="33"/>
      <c r="AG7" s="33"/>
      <c r="AH7" s="33"/>
      <c r="AI7" s="33"/>
      <c r="AJ7" s="33"/>
      <c r="AK7" s="33"/>
    </row>
    <row r="8" spans="2:37">
      <c r="B8" s="221"/>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21"/>
      <c r="F10" s="32"/>
      <c r="G10" s="32"/>
    </row>
    <row r="11" spans="2:37" s="31" customFormat="1">
      <c r="B11" s="221"/>
      <c r="F11" s="32"/>
      <c r="G11" s="32"/>
    </row>
    <row r="12" spans="2:37">
      <c r="B12" s="221"/>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4">
      <c r="F20" s="32"/>
      <c r="G20" s="32"/>
      <c r="N20" s="68"/>
    </row>
    <row r="21" spans="6:14" ht="13">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ht="13">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O21" sqref="O21"/>
    </sheetView>
  </sheetViews>
  <sheetFormatPr baseColWidth="10" defaultColWidth="11.453125" defaultRowHeight="12.5"/>
  <cols>
    <col min="1" max="1" width="2.54296875" style="28" customWidth="1"/>
    <col min="2" max="2" width="23.54296875" style="28" customWidth="1"/>
    <col min="3" max="3" width="11.453125" style="28" customWidth="1"/>
    <col min="4" max="8" width="11.453125" style="28"/>
    <col min="9" max="9" width="11.54296875" style="28" bestFit="1" customWidth="1"/>
    <col min="10" max="16384" width="11.453125" style="28"/>
  </cols>
  <sheetData>
    <row r="1" spans="2:38" ht="13">
      <c r="L1" s="17" t="s">
        <v>31</v>
      </c>
    </row>
    <row r="2" spans="2:38" ht="13">
      <c r="L2" s="18" t="str">
        <f>Indice!E3</f>
        <v>Febrero 2026</v>
      </c>
    </row>
    <row r="4" spans="2:38" ht="13">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21"/>
      <c r="F10" s="32"/>
      <c r="G10" s="32"/>
    </row>
    <row r="11" spans="2:38" s="31" customFormat="1" ht="12.75" customHeight="1">
      <c r="B11" s="221"/>
      <c r="F11" s="32"/>
      <c r="G11" s="32"/>
    </row>
    <row r="12" spans="2:38" ht="12.75" customHeight="1">
      <c r="B12" s="22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ht="13">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P26" sqref="P26"/>
    </sheetView>
  </sheetViews>
  <sheetFormatPr baseColWidth="10" defaultColWidth="11.453125" defaultRowHeight="12.5"/>
  <cols>
    <col min="1" max="1" width="2.54296875" style="28" customWidth="1"/>
    <col min="2" max="2" width="23.54296875" style="28" customWidth="1"/>
    <col min="3" max="3" width="11.453125" style="28" customWidth="1"/>
    <col min="4" max="8" width="11.453125" style="28"/>
    <col min="9" max="9" width="11.54296875" style="28" bestFit="1" customWidth="1"/>
    <col min="10" max="16384" width="11.453125" style="28"/>
  </cols>
  <sheetData>
    <row r="1" spans="2:38" ht="13">
      <c r="L1" s="17" t="s">
        <v>31</v>
      </c>
    </row>
    <row r="2" spans="2:38" ht="13">
      <c r="L2" s="18" t="str">
        <f>Indice!E3</f>
        <v>Febrero 2026</v>
      </c>
    </row>
    <row r="4" spans="2:38" ht="13">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21" t="s">
        <v>145</v>
      </c>
      <c r="F7" s="32"/>
      <c r="G7" s="32"/>
      <c r="H7" s="33"/>
      <c r="I7" s="33"/>
      <c r="J7" s="33"/>
      <c r="K7" s="33"/>
      <c r="L7" s="33"/>
      <c r="M7" s="33"/>
      <c r="AC7" s="33"/>
      <c r="AD7" s="33"/>
      <c r="AE7" s="33"/>
      <c r="AF7" s="33"/>
      <c r="AG7" s="33"/>
      <c r="AH7" s="33"/>
      <c r="AI7" s="33"/>
      <c r="AJ7" s="33"/>
      <c r="AK7" s="33"/>
      <c r="AL7" s="33"/>
    </row>
    <row r="8" spans="2:38">
      <c r="B8" s="221"/>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1"/>
      <c r="F10" s="32"/>
      <c r="G10" s="32"/>
    </row>
    <row r="11" spans="2:38" s="31" customFormat="1" ht="12.75" customHeight="1">
      <c r="B11" s="221"/>
      <c r="F11" s="32"/>
      <c r="G11" s="32"/>
    </row>
    <row r="12" spans="2:38" ht="12.75" customHeight="1">
      <c r="B12" s="22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4.5">
      <c r="N35" s="64"/>
      <c r="O35" s="64"/>
      <c r="P35" s="65"/>
      <c r="Q35" s="65"/>
      <c r="R35" s="65"/>
      <c r="S35" s="65"/>
      <c r="T35" s="65"/>
      <c r="U35" s="65"/>
      <c r="V35" s="65"/>
      <c r="W35" s="65"/>
      <c r="X35" s="65"/>
      <c r="Y35" s="65"/>
      <c r="Z35" s="65"/>
      <c r="AA35" s="65"/>
      <c r="AB35" s="65"/>
    </row>
    <row r="36" spans="1:28" ht="12.75" customHeight="1">
      <c r="N36" s="64"/>
    </row>
    <row r="37" spans="1:28" ht="14.5">
      <c r="N37" s="64"/>
      <c r="Z37" s="64"/>
      <c r="AA37" s="64"/>
      <c r="AB37" s="71"/>
    </row>
    <row r="38" spans="1:28" s="20" customFormat="1" ht="14.5">
      <c r="A38" s="28"/>
      <c r="B38" s="28"/>
      <c r="N38" s="64"/>
      <c r="O38" s="28"/>
      <c r="P38" s="28"/>
      <c r="Q38" s="28"/>
      <c r="R38" s="28"/>
      <c r="S38" s="28"/>
      <c r="T38" s="28"/>
      <c r="U38" s="28"/>
      <c r="V38" s="28"/>
      <c r="W38" s="28"/>
      <c r="X38" s="28"/>
      <c r="Y38" s="28"/>
      <c r="Z38" s="64"/>
      <c r="AA38" s="64"/>
      <c r="AB38" s="69"/>
    </row>
    <row r="39" spans="1:28" s="20" customFormat="1" ht="14.5">
      <c r="A39" s="28"/>
      <c r="B39" s="28"/>
      <c r="N39" s="64"/>
      <c r="O39" s="28"/>
      <c r="P39" s="28"/>
      <c r="Q39" s="28"/>
      <c r="R39" s="28"/>
      <c r="S39" s="28"/>
      <c r="T39" s="28"/>
      <c r="U39" s="28"/>
      <c r="V39" s="28"/>
      <c r="W39" s="28"/>
      <c r="X39" s="28"/>
      <c r="Y39" s="28"/>
      <c r="Z39" s="64"/>
      <c r="AA39" s="64"/>
      <c r="AB39" s="69"/>
    </row>
    <row r="40" spans="1:28" s="20" customFormat="1" ht="14.5">
      <c r="A40" s="28"/>
      <c r="B40" s="28"/>
      <c r="N40" s="64"/>
      <c r="O40" s="28"/>
      <c r="P40" s="28"/>
      <c r="Q40" s="28"/>
      <c r="R40" s="28"/>
      <c r="S40" s="28"/>
      <c r="T40" s="28"/>
      <c r="U40" s="28"/>
      <c r="V40" s="28"/>
      <c r="W40" s="28"/>
      <c r="X40" s="28"/>
      <c r="Y40" s="28"/>
      <c r="Z40" s="64"/>
      <c r="AA40" s="64"/>
      <c r="AB40" s="69"/>
    </row>
    <row r="41" spans="1:28" ht="14.9" customHeight="1">
      <c r="C41" s="224" t="s">
        <v>149</v>
      </c>
      <c r="D41" s="224"/>
      <c r="E41" s="224"/>
      <c r="F41" s="224"/>
      <c r="G41" s="224"/>
      <c r="H41" s="224"/>
      <c r="I41" s="224"/>
      <c r="J41" s="224"/>
      <c r="K41" s="224"/>
      <c r="L41" s="224"/>
      <c r="N41" s="64"/>
      <c r="Z41" s="64"/>
      <c r="AA41" s="64"/>
      <c r="AB41" s="69"/>
    </row>
    <row r="42" spans="1:28" ht="14.5">
      <c r="C42" s="224"/>
      <c r="D42" s="224"/>
      <c r="E42" s="224"/>
      <c r="F42" s="224"/>
      <c r="G42" s="224"/>
      <c r="H42" s="224"/>
      <c r="I42" s="224"/>
      <c r="J42" s="224"/>
      <c r="K42" s="224"/>
      <c r="L42" s="224"/>
      <c r="N42" s="64"/>
      <c r="Z42" s="64"/>
      <c r="AA42" s="64"/>
      <c r="AB42" s="69"/>
    </row>
    <row r="43" spans="1:28" ht="14.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ht="13">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Q10" sqref="Q10"/>
    </sheetView>
  </sheetViews>
  <sheetFormatPr baseColWidth="10" defaultColWidth="11.453125" defaultRowHeight="12.5"/>
  <cols>
    <col min="1" max="1" width="2.54296875" style="28" customWidth="1"/>
    <col min="2" max="2" width="22.453125" style="28" customWidth="1"/>
    <col min="3" max="3" width="11.453125" style="28" customWidth="1"/>
    <col min="4" max="8" width="11.453125" style="28"/>
    <col min="9" max="9" width="11.54296875" style="28" bestFit="1" customWidth="1"/>
    <col min="10" max="16384" width="11.453125" style="28"/>
  </cols>
  <sheetData>
    <row r="1" spans="2:37" ht="13">
      <c r="L1" s="17" t="s">
        <v>31</v>
      </c>
    </row>
    <row r="2" spans="2:37" ht="13">
      <c r="L2" s="18" t="str">
        <f>Indice!E3</f>
        <v>Febrero 2026</v>
      </c>
    </row>
    <row r="4" spans="2:37" ht="13">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21" t="s">
        <v>146</v>
      </c>
      <c r="F7" s="32"/>
      <c r="G7" s="32"/>
      <c r="H7" s="33"/>
      <c r="I7" s="33"/>
      <c r="J7" s="33"/>
      <c r="K7" s="33"/>
      <c r="L7" s="33"/>
      <c r="M7" s="33"/>
      <c r="AB7" s="33"/>
      <c r="AC7" s="33"/>
      <c r="AD7" s="33"/>
      <c r="AE7" s="33"/>
      <c r="AF7" s="33"/>
      <c r="AG7" s="33"/>
      <c r="AH7" s="33"/>
      <c r="AI7" s="33"/>
      <c r="AJ7" s="33"/>
      <c r="AK7" s="33"/>
    </row>
    <row r="8" spans="2:37">
      <c r="B8" s="221"/>
      <c r="F8" s="32"/>
      <c r="G8" s="32"/>
      <c r="H8" s="33"/>
      <c r="I8" s="33"/>
      <c r="J8" s="33"/>
      <c r="K8" s="33"/>
      <c r="L8" s="33"/>
      <c r="M8" s="33"/>
      <c r="AB8" s="33"/>
      <c r="AC8" s="33"/>
      <c r="AD8" s="33"/>
      <c r="AE8" s="33"/>
      <c r="AF8" s="33"/>
      <c r="AG8" s="33"/>
      <c r="AH8" s="33"/>
      <c r="AI8" s="33"/>
      <c r="AJ8" s="33"/>
      <c r="AK8" s="33"/>
    </row>
    <row r="9" spans="2:37">
      <c r="B9" s="221"/>
      <c r="F9" s="32"/>
      <c r="G9" s="32"/>
    </row>
    <row r="10" spans="2:37" ht="16.5" customHeight="1">
      <c r="B10" s="221"/>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ht="13">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N11" sqref="N11"/>
    </sheetView>
  </sheetViews>
  <sheetFormatPr baseColWidth="10" defaultColWidth="11.453125" defaultRowHeight="12.5"/>
  <cols>
    <col min="1" max="1" width="2.54296875" style="28" customWidth="1"/>
    <col min="2" max="2" width="21.453125" style="28" customWidth="1"/>
    <col min="3" max="3" width="11.453125" style="28" customWidth="1"/>
    <col min="4" max="8" width="11.453125" style="28"/>
    <col min="9" max="9" width="11.54296875" style="28" bestFit="1" customWidth="1"/>
    <col min="10" max="13" width="11.453125" style="28"/>
    <col min="14" max="14" width="15.54296875" style="28" customWidth="1"/>
    <col min="15" max="16384" width="11.453125" style="28"/>
  </cols>
  <sheetData>
    <row r="1" spans="2:38" ht="13">
      <c r="L1" s="17" t="s">
        <v>31</v>
      </c>
    </row>
    <row r="2" spans="2:38" ht="13">
      <c r="L2" s="18" t="str">
        <f>Indice!E3</f>
        <v>Febrero 2026</v>
      </c>
    </row>
    <row r="4" spans="2:38" ht="13">
      <c r="B4" s="19" t="s">
        <v>30</v>
      </c>
      <c r="P4" s="63"/>
      <c r="Q4" s="63"/>
      <c r="R4" s="63"/>
      <c r="S4" s="63"/>
      <c r="T4" s="63"/>
      <c r="U4" s="63"/>
      <c r="V4" s="63"/>
      <c r="W4" s="63"/>
      <c r="X4" s="63"/>
      <c r="Y4" s="63"/>
      <c r="Z4" s="63"/>
      <c r="AA4" s="63"/>
    </row>
    <row r="5" spans="2:38" s="31" customFormat="1"/>
    <row r="6" spans="2:38" s="31" customFormat="1"/>
    <row r="7" spans="2:38" ht="12.75" customHeight="1">
      <c r="B7" s="221" t="s">
        <v>24</v>
      </c>
      <c r="F7" s="32"/>
      <c r="G7" s="32"/>
      <c r="H7" s="33"/>
      <c r="I7" s="33"/>
      <c r="J7" s="33"/>
      <c r="K7" s="33"/>
      <c r="L7" s="33"/>
      <c r="M7" s="33"/>
      <c r="AC7" s="33"/>
      <c r="AD7" s="33"/>
      <c r="AE7" s="33"/>
      <c r="AF7" s="33"/>
      <c r="AG7" s="33"/>
      <c r="AH7" s="33"/>
      <c r="AI7" s="33"/>
      <c r="AJ7" s="33"/>
      <c r="AK7" s="33"/>
      <c r="AL7" s="33"/>
    </row>
    <row r="8" spans="2:38">
      <c r="B8" s="221"/>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1"/>
      <c r="F10" s="32"/>
      <c r="G10" s="32"/>
    </row>
    <row r="11" spans="2:38" s="31" customFormat="1" ht="12.75" customHeight="1">
      <c r="B11" s="221"/>
      <c r="F11" s="32"/>
      <c r="G11" s="32"/>
    </row>
    <row r="12" spans="2:38" ht="12.75" customHeight="1">
      <c r="B12" s="221"/>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4.5">
      <c r="Z48" s="64"/>
      <c r="AA48" s="64"/>
      <c r="AB48" s="69"/>
    </row>
    <row r="49" spans="10:28" ht="14.5">
      <c r="Z49" s="64"/>
      <c r="AA49" s="64"/>
      <c r="AB49" s="69"/>
    </row>
    <row r="50" spans="10:28" ht="14.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ht="13">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O1" zoomScale="98" zoomScaleNormal="98" workbookViewId="0">
      <selection activeCell="AG8" sqref="AG8"/>
    </sheetView>
  </sheetViews>
  <sheetFormatPr baseColWidth="10" defaultColWidth="16.26953125" defaultRowHeight="12.5"/>
  <cols>
    <col min="1" max="15" width="19.453125" customWidth="1"/>
    <col min="16" max="16" width="15.1796875" customWidth="1"/>
    <col min="17" max="25" width="6.7265625" customWidth="1"/>
    <col min="26" max="26" width="6.1796875" bestFit="1" customWidth="1"/>
    <col min="27" max="27" width="6.54296875" bestFit="1" customWidth="1"/>
    <col min="28" max="28" width="7.7265625" bestFit="1" customWidth="1"/>
    <col min="29" max="29" width="8.81640625" bestFit="1" customWidth="1"/>
    <col min="30" max="30" width="21.1796875" bestFit="1" customWidth="1"/>
    <col min="31" max="32" width="7" bestFit="1" customWidth="1"/>
    <col min="33" max="33" width="31.81640625" bestFit="1" customWidth="1"/>
    <col min="35" max="35" width="19.54296875" bestFit="1" customWidth="1"/>
    <col min="37" max="37" width="32.7265625" bestFit="1" customWidth="1"/>
    <col min="39" max="39" width="20.1796875" bestFit="1" customWidth="1"/>
    <col min="40" max="40" width="7.54296875" bestFit="1" customWidth="1"/>
    <col min="43" max="43" width="3" bestFit="1" customWidth="1"/>
  </cols>
  <sheetData>
    <row r="1" spans="1:43" ht="16">
      <c r="A1" s="113" t="s">
        <v>122</v>
      </c>
    </row>
    <row r="2" spans="1:43" ht="16">
      <c r="A2" s="117" t="str">
        <f>MID(B5,6,LEN(B5))&amp;" "&amp;MID(B5,1,4)</f>
        <v>Febrero 2026</v>
      </c>
      <c r="D2" s="62"/>
    </row>
    <row r="4" spans="1:43">
      <c r="A4" s="122" t="s">
        <v>27</v>
      </c>
      <c r="B4" s="227" t="s">
        <v>87</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row>
    <row r="5" spans="1:43">
      <c r="A5" s="122" t="s">
        <v>86</v>
      </c>
      <c r="B5" s="250" t="s">
        <v>279</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0">
        <v>25</v>
      </c>
      <c r="AA6" s="210" t="s">
        <v>88</v>
      </c>
      <c r="AB6" s="210" t="s">
        <v>89</v>
      </c>
      <c r="AC6" s="210" t="s">
        <v>187</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1"/>
      <c r="AA7" s="211"/>
      <c r="AB7" s="211"/>
      <c r="AC7" s="211"/>
      <c r="AD7" t="s">
        <v>167</v>
      </c>
      <c r="AG7" t="s">
        <v>176</v>
      </c>
      <c r="AI7" t="s">
        <v>177</v>
      </c>
      <c r="AK7" t="s">
        <v>180</v>
      </c>
      <c r="AM7" t="s">
        <v>181</v>
      </c>
      <c r="AN7" t="s">
        <v>222</v>
      </c>
    </row>
    <row r="8" spans="1:43" ht="13">
      <c r="A8" s="124" t="s">
        <v>251</v>
      </c>
      <c r="B8" s="212">
        <v>2.9465807488000002</v>
      </c>
      <c r="C8" s="212">
        <v>1.1362323155</v>
      </c>
      <c r="D8" s="212">
        <v>0.59267677649999995</v>
      </c>
      <c r="E8" s="212">
        <v>0.1401996217</v>
      </c>
      <c r="F8" s="212">
        <v>9.7500727699999998E-2</v>
      </c>
      <c r="G8" s="212">
        <v>0.38288299570000001</v>
      </c>
      <c r="H8" s="212">
        <v>1.1515306023</v>
      </c>
      <c r="I8" s="212">
        <v>3.3332279189</v>
      </c>
      <c r="J8" s="212">
        <v>5.9679452332</v>
      </c>
      <c r="K8" s="212">
        <v>9.0674153861000004</v>
      </c>
      <c r="L8" s="212">
        <v>3.3555509219999999</v>
      </c>
      <c r="M8" s="212">
        <v>2.3418145283</v>
      </c>
      <c r="N8" s="212">
        <v>1.8050299186000001</v>
      </c>
      <c r="O8" s="212">
        <v>2.0451016505999999</v>
      </c>
      <c r="P8" s="212">
        <v>2.0451755312</v>
      </c>
      <c r="Q8" s="212">
        <v>1.9068576504999999</v>
      </c>
      <c r="R8" s="212">
        <v>7.2977192231999997</v>
      </c>
      <c r="S8" s="184">
        <v>32.676764992499997</v>
      </c>
      <c r="T8" s="213">
        <v>78.050751679499996</v>
      </c>
      <c r="U8" s="213">
        <v>122.80364928029999</v>
      </c>
      <c r="V8" s="213">
        <v>127.1572290388</v>
      </c>
      <c r="W8" s="213">
        <v>113.58906602650001</v>
      </c>
      <c r="X8" s="184">
        <v>42.205209979700001</v>
      </c>
      <c r="Y8" s="184">
        <v>28.339866819699999</v>
      </c>
      <c r="Z8" s="214"/>
      <c r="AA8" s="214">
        <v>9.7500727699999998E-2</v>
      </c>
      <c r="AB8" s="214">
        <v>127.1572290388</v>
      </c>
      <c r="AC8" s="214">
        <v>25.8274108528</v>
      </c>
      <c r="AD8" s="158">
        <v>16.409894345238087</v>
      </c>
      <c r="AE8" s="171"/>
      <c r="AF8" s="169"/>
      <c r="AG8" s="165">
        <v>108.30782738095243</v>
      </c>
      <c r="AI8" s="169">
        <f>AD8/AG8-1</f>
        <v>-0.84848838036867491</v>
      </c>
      <c r="AK8" s="165">
        <v>71.67210349462367</v>
      </c>
      <c r="AM8" s="169">
        <f>AD8/AK8-1</f>
        <v>-0.77104209943455837</v>
      </c>
      <c r="AN8" s="62">
        <f>AB8-AA8</f>
        <v>127.0597283111</v>
      </c>
      <c r="AQ8" s="119">
        <v>1</v>
      </c>
    </row>
    <row r="9" spans="1:43">
      <c r="A9" s="124" t="s">
        <v>252</v>
      </c>
      <c r="B9" s="212">
        <v>7.3699171715</v>
      </c>
      <c r="C9" s="212">
        <v>2.6294957080999999</v>
      </c>
      <c r="D9" s="212">
        <v>0.91252816319999996</v>
      </c>
      <c r="E9" s="212">
        <v>0.179734109</v>
      </c>
      <c r="F9" s="212">
        <v>4.9912198999999997E-3</v>
      </c>
      <c r="G9" s="212">
        <v>0.27764997559999999</v>
      </c>
      <c r="H9" s="212">
        <v>2.9531869182000001</v>
      </c>
      <c r="I9" s="184">
        <v>27.880040603000001</v>
      </c>
      <c r="J9" s="184">
        <v>35.0124938234</v>
      </c>
      <c r="K9" s="184">
        <v>31.008467163799999</v>
      </c>
      <c r="L9" s="212">
        <v>13.083565139499999</v>
      </c>
      <c r="M9" s="212">
        <v>3.3341258049000002</v>
      </c>
      <c r="N9" s="212">
        <v>0.89256464989999995</v>
      </c>
      <c r="O9" s="212">
        <v>8.2559163199999994E-2</v>
      </c>
      <c r="P9" s="212">
        <v>0.01</v>
      </c>
      <c r="Q9" s="212">
        <v>1.5005858400000001E-2</v>
      </c>
      <c r="R9" s="212">
        <v>0.8834881429</v>
      </c>
      <c r="S9" s="212">
        <v>9.2566370094000003</v>
      </c>
      <c r="T9" s="184">
        <v>32.735820679600003</v>
      </c>
      <c r="U9" s="184">
        <v>38.315230590200002</v>
      </c>
      <c r="V9" s="213">
        <v>51.325077166100002</v>
      </c>
      <c r="W9" s="184">
        <v>36.983291098099997</v>
      </c>
      <c r="X9" s="184">
        <v>30.540377002</v>
      </c>
      <c r="Y9" s="212">
        <v>6.6678160981000003</v>
      </c>
      <c r="Z9" s="214"/>
      <c r="AA9" s="214">
        <v>4.9912198999999997E-3</v>
      </c>
      <c r="AB9" s="214">
        <v>51.325077166100002</v>
      </c>
      <c r="AC9" s="214">
        <v>14.6093573572</v>
      </c>
      <c r="AD9" s="62"/>
      <c r="AN9" s="62">
        <f t="shared" ref="AN9:AN37" si="0">AB9-AA9</f>
        <v>51.320085946200003</v>
      </c>
      <c r="AQ9" s="119">
        <v>2</v>
      </c>
    </row>
    <row r="10" spans="1:43">
      <c r="A10" s="124" t="s">
        <v>253</v>
      </c>
      <c r="B10" s="212">
        <v>4.3396530099999997E-2</v>
      </c>
      <c r="C10" s="215">
        <v>0</v>
      </c>
      <c r="D10" s="215">
        <v>0</v>
      </c>
      <c r="E10" s="215">
        <v>0</v>
      </c>
      <c r="F10" s="215">
        <v>0</v>
      </c>
      <c r="G10" s="212">
        <v>0.12664062249999999</v>
      </c>
      <c r="H10" s="212">
        <v>4.2238445380999998</v>
      </c>
      <c r="I10" s="213">
        <v>60.662169140000003</v>
      </c>
      <c r="J10" s="213">
        <v>108.77987662140001</v>
      </c>
      <c r="K10" s="213">
        <v>71.302940369699996</v>
      </c>
      <c r="L10" s="212">
        <v>18.354322654699999</v>
      </c>
      <c r="M10" s="212">
        <v>2.1557433457999999</v>
      </c>
      <c r="N10" s="212">
        <v>0.91</v>
      </c>
      <c r="O10" s="212">
        <v>0.91</v>
      </c>
      <c r="P10" s="212">
        <v>0.78475417400000003</v>
      </c>
      <c r="Q10" s="212">
        <v>0.98278478179999995</v>
      </c>
      <c r="R10" s="212">
        <v>3.6807262545000001</v>
      </c>
      <c r="S10" s="184">
        <v>30.755992167300001</v>
      </c>
      <c r="T10" s="213">
        <v>91.289073993599999</v>
      </c>
      <c r="U10" s="213">
        <v>125.92844132410001</v>
      </c>
      <c r="V10" s="213">
        <v>115.4682008301</v>
      </c>
      <c r="W10" s="213">
        <v>92.763783251700005</v>
      </c>
      <c r="X10" s="184">
        <v>39.776325113699997</v>
      </c>
      <c r="Y10" s="212">
        <v>11.061549686799999</v>
      </c>
      <c r="Z10" s="214"/>
      <c r="AA10" s="214">
        <v>0</v>
      </c>
      <c r="AB10" s="214">
        <v>125.92844132410001</v>
      </c>
      <c r="AC10" s="214">
        <v>31.065105887000001</v>
      </c>
      <c r="AN10" s="62">
        <f t="shared" si="0"/>
        <v>125.92844132410001</v>
      </c>
      <c r="AQ10" s="119">
        <v>3</v>
      </c>
    </row>
    <row r="11" spans="1:43">
      <c r="A11" s="124" t="s">
        <v>254</v>
      </c>
      <c r="B11" s="212">
        <v>8.0196961375000004</v>
      </c>
      <c r="C11" s="212">
        <v>3.78</v>
      </c>
      <c r="D11" s="212">
        <v>3.78</v>
      </c>
      <c r="E11" s="212">
        <v>1.8852515303999999</v>
      </c>
      <c r="F11" s="212">
        <v>0.70698885749999996</v>
      </c>
      <c r="G11" s="212">
        <v>0.8003502535</v>
      </c>
      <c r="H11" s="212">
        <v>3.6744445650999999</v>
      </c>
      <c r="I11" s="184">
        <v>31.360735414899999</v>
      </c>
      <c r="J11" s="184">
        <v>35.017564307299999</v>
      </c>
      <c r="K11" s="184">
        <v>32.671405182900003</v>
      </c>
      <c r="L11" s="212">
        <v>13.891450001600001</v>
      </c>
      <c r="M11" s="212">
        <v>5.9408035269999999</v>
      </c>
      <c r="N11" s="212">
        <v>3.78</v>
      </c>
      <c r="O11" s="212">
        <v>3.78</v>
      </c>
      <c r="P11" s="212">
        <v>3.78</v>
      </c>
      <c r="Q11" s="212">
        <v>3.78</v>
      </c>
      <c r="R11" s="212">
        <v>5.3494929422000004</v>
      </c>
      <c r="S11" s="212">
        <v>17.486475864599999</v>
      </c>
      <c r="T11" s="184">
        <v>33.790536148400001</v>
      </c>
      <c r="U11" s="213">
        <v>49.013112827599997</v>
      </c>
      <c r="V11" s="213">
        <v>62.054591461100003</v>
      </c>
      <c r="W11" s="213">
        <v>46.469205900600002</v>
      </c>
      <c r="X11" s="184">
        <v>31.521775716499999</v>
      </c>
      <c r="Y11" s="212">
        <v>10.8780919044</v>
      </c>
      <c r="Z11" s="214"/>
      <c r="AA11" s="214">
        <v>0.70698885749999996</v>
      </c>
      <c r="AB11" s="214">
        <v>62.054591461100003</v>
      </c>
      <c r="AC11" s="214">
        <v>17.848343978100001</v>
      </c>
      <c r="AN11" s="62">
        <f t="shared" si="0"/>
        <v>61.347602603600002</v>
      </c>
      <c r="AQ11" s="119">
        <v>4</v>
      </c>
    </row>
    <row r="12" spans="1:43">
      <c r="A12" s="124" t="s">
        <v>255</v>
      </c>
      <c r="B12" s="212">
        <v>3.3394325188999998</v>
      </c>
      <c r="C12" s="212">
        <v>0.23624846099999999</v>
      </c>
      <c r="D12" s="215">
        <v>0</v>
      </c>
      <c r="E12" s="215">
        <v>0</v>
      </c>
      <c r="F12" s="215">
        <v>0</v>
      </c>
      <c r="G12" s="215">
        <v>0</v>
      </c>
      <c r="H12" s="212">
        <v>0.75098877730000002</v>
      </c>
      <c r="I12" s="212">
        <v>6.2170425766999999</v>
      </c>
      <c r="J12" s="212">
        <v>11.8276403777</v>
      </c>
      <c r="K12" s="212">
        <v>4.4267830833000001</v>
      </c>
      <c r="L12" s="212">
        <v>2.4502030204</v>
      </c>
      <c r="M12" s="212">
        <v>0.2451406612</v>
      </c>
      <c r="N12" s="215">
        <v>0</v>
      </c>
      <c r="O12" s="212">
        <v>-2.4816949999999999E-3</v>
      </c>
      <c r="P12" s="212">
        <v>-4.2337580800000003E-2</v>
      </c>
      <c r="Q12" s="212">
        <v>-0.1</v>
      </c>
      <c r="R12" s="212">
        <v>-1.48857307E-2</v>
      </c>
      <c r="S12" s="212">
        <v>0.34570347429999998</v>
      </c>
      <c r="T12" s="212">
        <v>10.613925113200001</v>
      </c>
      <c r="U12" s="184">
        <v>35.005061555600001</v>
      </c>
      <c r="V12" s="184">
        <v>35.020000000000003</v>
      </c>
      <c r="W12" s="184">
        <v>32.8249887996</v>
      </c>
      <c r="X12" s="212">
        <v>7.6364481246000002</v>
      </c>
      <c r="Y12" s="212">
        <v>0.765544848</v>
      </c>
      <c r="Z12" s="214"/>
      <c r="AA12" s="214">
        <v>-0.1</v>
      </c>
      <c r="AB12" s="214">
        <v>35.020000000000003</v>
      </c>
      <c r="AC12" s="214">
        <v>6.9134347574000001</v>
      </c>
      <c r="AN12" s="62">
        <f t="shared" si="0"/>
        <v>35.120000000000005</v>
      </c>
      <c r="AQ12" s="119">
        <v>5</v>
      </c>
    </row>
    <row r="13" spans="1:43">
      <c r="A13" s="124" t="s">
        <v>256</v>
      </c>
      <c r="B13" s="212">
        <v>5.0530818000000003E-3</v>
      </c>
      <c r="C13" s="212">
        <v>-1.4828754899999999E-2</v>
      </c>
      <c r="D13" s="212">
        <v>-0.1223469554</v>
      </c>
      <c r="E13" s="212">
        <v>-0.15</v>
      </c>
      <c r="F13" s="212">
        <v>-0.13744525399999999</v>
      </c>
      <c r="G13" s="212">
        <v>-5.9571229900000001E-2</v>
      </c>
      <c r="H13" s="212">
        <v>0.56138067759999999</v>
      </c>
      <c r="I13" s="212">
        <v>9.8702336562999999</v>
      </c>
      <c r="J13" s="184">
        <v>28.450144634800001</v>
      </c>
      <c r="K13" s="212">
        <v>11.409931307100001</v>
      </c>
      <c r="L13" s="212">
        <v>0.38510912679999998</v>
      </c>
      <c r="M13" s="212">
        <v>2.5080694000000001E-3</v>
      </c>
      <c r="N13" s="215">
        <v>0</v>
      </c>
      <c r="O13" s="212">
        <v>-4.9689786999999996E-3</v>
      </c>
      <c r="P13" s="212">
        <v>-0.01</v>
      </c>
      <c r="Q13" s="212">
        <v>-5.0057251000000004E-3</v>
      </c>
      <c r="R13" s="212">
        <v>2.4992841000000001E-3</v>
      </c>
      <c r="S13" s="212">
        <v>1.9051139529000001</v>
      </c>
      <c r="T13" s="184">
        <v>27.5183539712</v>
      </c>
      <c r="U13" s="213">
        <v>51.3349139412</v>
      </c>
      <c r="V13" s="213">
        <v>47.915055969800001</v>
      </c>
      <c r="W13" s="184">
        <v>35.786930857000002</v>
      </c>
      <c r="X13" s="212">
        <v>8.7006196807999991</v>
      </c>
      <c r="Y13" s="212">
        <v>2.5265162958</v>
      </c>
      <c r="Z13" s="214"/>
      <c r="AA13" s="214">
        <v>-0.15</v>
      </c>
      <c r="AB13" s="214">
        <v>51.3349139412</v>
      </c>
      <c r="AC13" s="214">
        <v>10.495598476</v>
      </c>
      <c r="AN13" s="62">
        <f t="shared" si="0"/>
        <v>51.484913941199999</v>
      </c>
      <c r="AQ13" s="119">
        <v>6</v>
      </c>
    </row>
    <row r="14" spans="1:43">
      <c r="A14" s="124" t="s">
        <v>257</v>
      </c>
      <c r="B14" s="212">
        <v>0.28850907050000002</v>
      </c>
      <c r="C14" s="215">
        <v>0</v>
      </c>
      <c r="D14" s="212">
        <v>-4.9780198300000002E-2</v>
      </c>
      <c r="E14" s="212">
        <v>-0.13500358379999999</v>
      </c>
      <c r="F14" s="212">
        <v>-0.1625000707</v>
      </c>
      <c r="G14" s="212">
        <v>-0.17</v>
      </c>
      <c r="H14" s="212">
        <v>-0.1124401075</v>
      </c>
      <c r="I14" s="212">
        <v>-2.4489856000000001E-3</v>
      </c>
      <c r="J14" s="215">
        <v>0</v>
      </c>
      <c r="K14" s="212">
        <v>-2.5514729999999998E-3</v>
      </c>
      <c r="L14" s="212">
        <v>-4.2625890899999998E-2</v>
      </c>
      <c r="M14" s="212">
        <v>-0.1025030039</v>
      </c>
      <c r="N14" s="212">
        <v>-5.0143158600000001E-2</v>
      </c>
      <c r="O14" s="215">
        <v>0</v>
      </c>
      <c r="P14" s="212">
        <v>4.9763485999999996E-3</v>
      </c>
      <c r="Q14" s="212">
        <v>0.2459904372</v>
      </c>
      <c r="R14" s="212">
        <v>1.5408115346</v>
      </c>
      <c r="S14" s="212">
        <v>6.3737154712999997</v>
      </c>
      <c r="T14" s="184">
        <v>27.333556715499999</v>
      </c>
      <c r="U14" s="184">
        <v>35.660654704400002</v>
      </c>
      <c r="V14" s="184">
        <v>35.260516068000001</v>
      </c>
      <c r="W14" s="184">
        <v>35.015076958400002</v>
      </c>
      <c r="X14" s="212">
        <v>19.7874585022</v>
      </c>
      <c r="Y14" s="212">
        <v>3.9883981671000002</v>
      </c>
      <c r="Z14" s="214"/>
      <c r="AA14" s="214">
        <v>-0.17</v>
      </c>
      <c r="AB14" s="214">
        <v>35.660654704400002</v>
      </c>
      <c r="AC14" s="214">
        <v>7.4988634342999996</v>
      </c>
      <c r="AN14" s="62">
        <f t="shared" si="0"/>
        <v>35.830654704400004</v>
      </c>
      <c r="AQ14" s="119">
        <v>7</v>
      </c>
    </row>
    <row r="15" spans="1:43">
      <c r="A15" s="124" t="s">
        <v>258</v>
      </c>
      <c r="B15" s="212">
        <v>0.36843734239999998</v>
      </c>
      <c r="C15" s="215">
        <v>0</v>
      </c>
      <c r="D15" s="212">
        <v>-9.9273586999999996E-3</v>
      </c>
      <c r="E15" s="212">
        <v>-0.10248117599999999</v>
      </c>
      <c r="F15" s="212">
        <v>-0.1</v>
      </c>
      <c r="G15" s="212">
        <v>-6.7452201899999994E-2</v>
      </c>
      <c r="H15" s="212">
        <v>-2.47598E-3</v>
      </c>
      <c r="I15" s="212">
        <v>2.5300721E-3</v>
      </c>
      <c r="J15" s="212">
        <v>2.4735946000000002E-3</v>
      </c>
      <c r="K15" s="212">
        <v>-0.21903096320000001</v>
      </c>
      <c r="L15" s="212">
        <v>-1.2062940953000001</v>
      </c>
      <c r="M15" s="212">
        <v>-2.202364277</v>
      </c>
      <c r="N15" s="212">
        <v>-2.1</v>
      </c>
      <c r="O15" s="212">
        <v>-2.0074584193999998</v>
      </c>
      <c r="P15" s="212">
        <v>-2.0824378619999999</v>
      </c>
      <c r="Q15" s="212">
        <v>-2.0776165877000001</v>
      </c>
      <c r="R15" s="212">
        <v>-1.154067894</v>
      </c>
      <c r="S15" s="212">
        <v>-0.1227125047</v>
      </c>
      <c r="T15" s="212">
        <v>3.4440160142999998</v>
      </c>
      <c r="U15" s="184">
        <v>35.010112951300002</v>
      </c>
      <c r="V15" s="184">
        <v>42.393727097000003</v>
      </c>
      <c r="W15" s="184">
        <v>42.816460946900001</v>
      </c>
      <c r="X15" s="184">
        <v>26.048234587300001</v>
      </c>
      <c r="Y15" s="212">
        <v>5.7610828565999999</v>
      </c>
      <c r="Z15" s="214"/>
      <c r="AA15" s="214">
        <v>-2.202364277</v>
      </c>
      <c r="AB15" s="214">
        <v>42.816460946900001</v>
      </c>
      <c r="AC15" s="214">
        <v>6.8776287478000002</v>
      </c>
      <c r="AN15" s="62">
        <f t="shared" si="0"/>
        <v>45.018825223900002</v>
      </c>
      <c r="AQ15" s="119">
        <v>8</v>
      </c>
    </row>
    <row r="16" spans="1:43">
      <c r="A16" s="124" t="s">
        <v>259</v>
      </c>
      <c r="B16" s="212">
        <v>0.4810748125</v>
      </c>
      <c r="C16" s="212">
        <v>2.5458331E-3</v>
      </c>
      <c r="D16" s="212">
        <v>-2.4772560000000002E-3</v>
      </c>
      <c r="E16" s="212">
        <v>-2.25012276E-2</v>
      </c>
      <c r="F16" s="212">
        <v>-1.7465992999999999E-2</v>
      </c>
      <c r="G16" s="212">
        <v>2.5807413000000002E-3</v>
      </c>
      <c r="H16" s="212">
        <v>4.1902220791999998</v>
      </c>
      <c r="I16" s="184">
        <v>42.294035810799997</v>
      </c>
      <c r="J16" s="213">
        <v>85.873545431899998</v>
      </c>
      <c r="K16" s="184">
        <v>42.187041063999999</v>
      </c>
      <c r="L16" s="212">
        <v>12.3072632541</v>
      </c>
      <c r="M16" s="212">
        <v>3.2268949158</v>
      </c>
      <c r="N16" s="212">
        <v>0.71200748469999997</v>
      </c>
      <c r="O16" s="212">
        <v>9.5007903099999999E-2</v>
      </c>
      <c r="P16" s="212">
        <v>2.24985082E-2</v>
      </c>
      <c r="Q16" s="212">
        <v>7.976076E-2</v>
      </c>
      <c r="R16" s="212">
        <v>0.97062524719999999</v>
      </c>
      <c r="S16" s="212">
        <v>4.2912482969000001</v>
      </c>
      <c r="T16" s="184">
        <v>31.171029494399999</v>
      </c>
      <c r="U16" s="213">
        <v>94.6181573888</v>
      </c>
      <c r="V16" s="213">
        <v>91.392066000100002</v>
      </c>
      <c r="W16" s="213">
        <v>67.982124224299994</v>
      </c>
      <c r="X16" s="212">
        <v>18.452407698999998</v>
      </c>
      <c r="Y16" s="212">
        <v>2.2197364413999998</v>
      </c>
      <c r="Z16" s="214"/>
      <c r="AA16" s="214">
        <v>-2.25012276E-2</v>
      </c>
      <c r="AB16" s="214">
        <v>94.6181573888</v>
      </c>
      <c r="AC16" s="214">
        <v>22.4234332244</v>
      </c>
      <c r="AN16" s="62">
        <f t="shared" si="0"/>
        <v>94.640658616400003</v>
      </c>
      <c r="AQ16" s="119">
        <v>9</v>
      </c>
    </row>
    <row r="17" spans="1:43">
      <c r="A17" s="124" t="s">
        <v>260</v>
      </c>
      <c r="B17" s="212">
        <v>0.57296431950000004</v>
      </c>
      <c r="C17" s="212">
        <v>4.5536107499999999E-2</v>
      </c>
      <c r="D17" s="215">
        <v>0</v>
      </c>
      <c r="E17" s="215">
        <v>0</v>
      </c>
      <c r="F17" s="215">
        <v>0</v>
      </c>
      <c r="G17" s="215">
        <v>0</v>
      </c>
      <c r="H17" s="212">
        <v>3.1275801200000002E-2</v>
      </c>
      <c r="I17" s="212">
        <v>2.6903789614</v>
      </c>
      <c r="J17" s="212">
        <v>6.1885607651000001</v>
      </c>
      <c r="K17" s="212">
        <v>2.6038894317999999</v>
      </c>
      <c r="L17" s="212">
        <v>2.4407822392999998</v>
      </c>
      <c r="M17" s="212">
        <v>0.80846682569999995</v>
      </c>
      <c r="N17" s="212">
        <v>0.306686395</v>
      </c>
      <c r="O17" s="212">
        <v>7.2473239499999995E-2</v>
      </c>
      <c r="P17" s="212">
        <v>1.74940915E-2</v>
      </c>
      <c r="Q17" s="212">
        <v>6.7018582500000007E-2</v>
      </c>
      <c r="R17" s="212">
        <v>0.49881259999999999</v>
      </c>
      <c r="S17" s="212">
        <v>2.0503969766000001</v>
      </c>
      <c r="T17" s="212">
        <v>4.4717677988000002</v>
      </c>
      <c r="U17" s="184">
        <v>31.956024914099999</v>
      </c>
      <c r="V17" s="184">
        <v>35</v>
      </c>
      <c r="W17" s="212">
        <v>19.573865980099999</v>
      </c>
      <c r="X17" s="212">
        <v>2.6286720354000002</v>
      </c>
      <c r="Y17" s="212">
        <v>0.96273830360000001</v>
      </c>
      <c r="Z17" s="214"/>
      <c r="AA17" s="214">
        <v>0</v>
      </c>
      <c r="AB17" s="214">
        <v>35</v>
      </c>
      <c r="AC17" s="214">
        <v>5.2423671226000002</v>
      </c>
      <c r="AN17" s="62">
        <f t="shared" si="0"/>
        <v>35</v>
      </c>
      <c r="AQ17" s="119">
        <v>10</v>
      </c>
    </row>
    <row r="18" spans="1:43">
      <c r="A18" s="124" t="s">
        <v>261</v>
      </c>
      <c r="B18" s="212">
        <v>5.0950231999999998E-3</v>
      </c>
      <c r="C18" s="212">
        <v>-2.4547079999999999E-3</v>
      </c>
      <c r="D18" s="212">
        <v>-0.33908654630000001</v>
      </c>
      <c r="E18" s="212">
        <v>-0.42</v>
      </c>
      <c r="F18" s="212">
        <v>-0.42</v>
      </c>
      <c r="G18" s="212">
        <v>-0.31519476130000001</v>
      </c>
      <c r="H18" s="212">
        <v>9.2838712300000001E-2</v>
      </c>
      <c r="I18" s="212">
        <v>3.3516410955999998</v>
      </c>
      <c r="J18" s="212">
        <v>3.78</v>
      </c>
      <c r="K18" s="212">
        <v>3.0896259084</v>
      </c>
      <c r="L18" s="212">
        <v>0.90406147670000003</v>
      </c>
      <c r="M18" s="212">
        <v>0.27884000199999998</v>
      </c>
      <c r="N18" s="212">
        <v>0.01</v>
      </c>
      <c r="O18" s="215">
        <v>0</v>
      </c>
      <c r="P18" s="212">
        <v>1.5026097E-2</v>
      </c>
      <c r="Q18" s="212">
        <v>0.33221183900000001</v>
      </c>
      <c r="R18" s="212">
        <v>0.89946204220000003</v>
      </c>
      <c r="S18" s="212">
        <v>3.3389646369000001</v>
      </c>
      <c r="T18" s="212">
        <v>10.194179330800001</v>
      </c>
      <c r="U18" s="184">
        <v>32.711623221000004</v>
      </c>
      <c r="V18" s="184">
        <v>30.628774141600001</v>
      </c>
      <c r="W18" s="212">
        <v>8.6993139475000003</v>
      </c>
      <c r="X18" s="212">
        <v>4.1023198403999999</v>
      </c>
      <c r="Y18" s="212">
        <v>0.82535066970000004</v>
      </c>
      <c r="Z18" s="214"/>
      <c r="AA18" s="214">
        <v>-0.42</v>
      </c>
      <c r="AB18" s="214">
        <v>32.711623221000004</v>
      </c>
      <c r="AC18" s="214">
        <v>4.8508658021000004</v>
      </c>
      <c r="AN18" s="62">
        <f t="shared" si="0"/>
        <v>33.131623221000005</v>
      </c>
      <c r="AQ18" s="119">
        <v>11</v>
      </c>
    </row>
    <row r="19" spans="1:43">
      <c r="A19" s="124" t="s">
        <v>262</v>
      </c>
      <c r="B19" s="212">
        <v>5.09509E-3</v>
      </c>
      <c r="C19" s="212">
        <v>-2.4512432000000002E-3</v>
      </c>
      <c r="D19" s="212">
        <v>-0.23586976270000001</v>
      </c>
      <c r="E19" s="212">
        <v>-0.42</v>
      </c>
      <c r="F19" s="212">
        <v>-0.42</v>
      </c>
      <c r="G19" s="212">
        <v>-0.21507974469999999</v>
      </c>
      <c r="H19" s="212">
        <v>2.6541564000000001E-3</v>
      </c>
      <c r="I19" s="212">
        <v>2.2808539878</v>
      </c>
      <c r="J19" s="212">
        <v>2.9697073550000002</v>
      </c>
      <c r="K19" s="212">
        <v>0.44329590000000002</v>
      </c>
      <c r="L19" s="212">
        <v>-0.37818435160000002</v>
      </c>
      <c r="M19" s="212">
        <v>-0.81</v>
      </c>
      <c r="N19" s="212">
        <v>-0.97486959770000003</v>
      </c>
      <c r="O19" s="212">
        <v>-1</v>
      </c>
      <c r="P19" s="212">
        <v>-1</v>
      </c>
      <c r="Q19" s="212">
        <v>-0.94750182260000004</v>
      </c>
      <c r="R19" s="212">
        <v>-0.52922634700000004</v>
      </c>
      <c r="S19" s="212">
        <v>0.5673802268</v>
      </c>
      <c r="T19" s="212">
        <v>11.1955784314</v>
      </c>
      <c r="U19" s="184">
        <v>32.603563834399999</v>
      </c>
      <c r="V19" s="184">
        <v>35.002503896999997</v>
      </c>
      <c r="W19" s="184">
        <v>29.248018758499999</v>
      </c>
      <c r="X19" s="212">
        <v>21.776067501100002</v>
      </c>
      <c r="Y19" s="212">
        <v>7.9785727258000003</v>
      </c>
      <c r="Z19" s="214"/>
      <c r="AA19" s="214">
        <v>-1</v>
      </c>
      <c r="AB19" s="214">
        <v>35.002503896999997</v>
      </c>
      <c r="AC19" s="214">
        <v>6.3290083281999996</v>
      </c>
      <c r="AN19" s="62">
        <f t="shared" si="0"/>
        <v>36.002503896999997</v>
      </c>
      <c r="AQ19" s="119">
        <v>12</v>
      </c>
    </row>
    <row r="20" spans="1:43">
      <c r="A20" s="124" t="s">
        <v>263</v>
      </c>
      <c r="B20" s="212">
        <v>3.3490425740999998</v>
      </c>
      <c r="C20" s="212">
        <v>0.94692984690000004</v>
      </c>
      <c r="D20" s="212">
        <v>0.15869436479999999</v>
      </c>
      <c r="E20" s="212">
        <v>0.24885874350000001</v>
      </c>
      <c r="F20" s="212">
        <v>0.65985144380000005</v>
      </c>
      <c r="G20" s="212">
        <v>2.1685174255000002</v>
      </c>
      <c r="H20" s="212">
        <v>6.8647971853999996</v>
      </c>
      <c r="I20" s="184">
        <v>26.3098698005</v>
      </c>
      <c r="J20" s="184">
        <v>27.664767921300001</v>
      </c>
      <c r="K20" s="212">
        <v>9.3637102368999994</v>
      </c>
      <c r="L20" s="212">
        <v>1.1440892865000001</v>
      </c>
      <c r="M20" s="212">
        <v>8.3165315899999995E-2</v>
      </c>
      <c r="N20" s="215">
        <v>0</v>
      </c>
      <c r="O20" s="215">
        <v>0</v>
      </c>
      <c r="P20" s="212">
        <v>-2.4923230999999999E-3</v>
      </c>
      <c r="Q20" s="212">
        <v>-1.9993551200000001E-2</v>
      </c>
      <c r="R20" s="212">
        <v>-1.4926013599999999E-2</v>
      </c>
      <c r="S20" s="212">
        <v>7.5872932000000002E-3</v>
      </c>
      <c r="T20" s="212">
        <v>1.7036324271000001</v>
      </c>
      <c r="U20" s="212">
        <v>7.1994016920000004</v>
      </c>
      <c r="V20" s="212">
        <v>10.1413596117</v>
      </c>
      <c r="W20" s="212">
        <v>6.0287390126</v>
      </c>
      <c r="X20" s="212">
        <v>2.2431998558999999</v>
      </c>
      <c r="Y20" s="212">
        <v>0.1375080819</v>
      </c>
      <c r="Z20" s="214"/>
      <c r="AA20" s="214">
        <v>-1.9993551200000001E-2</v>
      </c>
      <c r="AB20" s="214">
        <v>27.664767921300001</v>
      </c>
      <c r="AC20" s="214">
        <v>4.7106220031000001</v>
      </c>
      <c r="AN20" s="62">
        <f t="shared" si="0"/>
        <v>27.6847614725</v>
      </c>
      <c r="AQ20" s="119">
        <v>13</v>
      </c>
    </row>
    <row r="21" spans="1:43">
      <c r="A21" s="124" t="s">
        <v>264</v>
      </c>
      <c r="B21" s="212">
        <v>3.8078236799999998E-2</v>
      </c>
      <c r="C21" s="215">
        <v>0</v>
      </c>
      <c r="D21" s="212">
        <v>-2.9738569199999999E-2</v>
      </c>
      <c r="E21" s="212">
        <v>-0.27602811669999999</v>
      </c>
      <c r="F21" s="212">
        <v>-0.42</v>
      </c>
      <c r="G21" s="212">
        <v>-0.42</v>
      </c>
      <c r="H21" s="212">
        <v>-5.4716108399999998E-2</v>
      </c>
      <c r="I21" s="215">
        <v>0</v>
      </c>
      <c r="J21" s="212">
        <v>-2.7764399799999999E-2</v>
      </c>
      <c r="K21" s="212">
        <v>-0.7310112326</v>
      </c>
      <c r="L21" s="212">
        <v>-2.1763964369000002</v>
      </c>
      <c r="M21" s="212">
        <v>-3.3985291201000001</v>
      </c>
      <c r="N21" s="212">
        <v>-4</v>
      </c>
      <c r="O21" s="212">
        <v>-4</v>
      </c>
      <c r="P21" s="212">
        <v>-4</v>
      </c>
      <c r="Q21" s="212">
        <v>-4</v>
      </c>
      <c r="R21" s="212">
        <v>-3.1510726741999999</v>
      </c>
      <c r="S21" s="212">
        <v>-0.86388237980000004</v>
      </c>
      <c r="T21" s="212">
        <v>1.4755871679999999</v>
      </c>
      <c r="U21" s="212">
        <v>15.841893773800001</v>
      </c>
      <c r="V21" s="212">
        <v>22</v>
      </c>
      <c r="W21" s="212">
        <v>22</v>
      </c>
      <c r="X21" s="212">
        <v>13.177796046299999</v>
      </c>
      <c r="Y21" s="212">
        <v>4.3643440658000001</v>
      </c>
      <c r="Z21" s="214"/>
      <c r="AA21" s="214">
        <v>-4</v>
      </c>
      <c r="AB21" s="214">
        <v>22</v>
      </c>
      <c r="AC21" s="214">
        <v>2.5737857400999999</v>
      </c>
      <c r="AN21" s="62">
        <f t="shared" si="0"/>
        <v>26</v>
      </c>
      <c r="AQ21" s="119">
        <v>14</v>
      </c>
    </row>
    <row r="22" spans="1:43">
      <c r="A22" s="124" t="s">
        <v>265</v>
      </c>
      <c r="B22" s="212">
        <v>4.8564869786999996</v>
      </c>
      <c r="C22" s="212">
        <v>1.6551051412</v>
      </c>
      <c r="D22" s="212">
        <v>0.2368205297</v>
      </c>
      <c r="E22" s="212">
        <v>5.0207406999999999E-3</v>
      </c>
      <c r="F22" s="215">
        <v>0</v>
      </c>
      <c r="G22" s="215">
        <v>0</v>
      </c>
      <c r="H22" s="212">
        <v>0.01</v>
      </c>
      <c r="I22" s="212">
        <v>6.2757747500000002E-2</v>
      </c>
      <c r="J22" s="212">
        <v>-2.8317016212611501E-5</v>
      </c>
      <c r="K22" s="212">
        <v>-0.63109464959999995</v>
      </c>
      <c r="L22" s="212">
        <v>-1.1926101018999999</v>
      </c>
      <c r="M22" s="212">
        <v>-1.9750107271999999</v>
      </c>
      <c r="N22" s="212">
        <v>-2.1</v>
      </c>
      <c r="O22" s="212">
        <v>-2.1</v>
      </c>
      <c r="P22" s="212">
        <v>-2.2010035236999999</v>
      </c>
      <c r="Q22" s="212">
        <v>-2.4076819796</v>
      </c>
      <c r="R22" s="212">
        <v>-1.7019488501</v>
      </c>
      <c r="S22" s="212">
        <v>-0.46567986729999999</v>
      </c>
      <c r="T22" s="212">
        <v>2.1120004839000002</v>
      </c>
      <c r="U22" s="212">
        <v>12.505410149299999</v>
      </c>
      <c r="V22" s="212">
        <v>10.725867862499999</v>
      </c>
      <c r="W22" s="212">
        <v>11.8009066933</v>
      </c>
      <c r="X22" s="212">
        <v>6.3518025184000004</v>
      </c>
      <c r="Y22" s="212">
        <v>1.9635936796</v>
      </c>
      <c r="Z22" s="214"/>
      <c r="AA22" s="214">
        <v>-2.4076819796</v>
      </c>
      <c r="AB22" s="214">
        <v>12.505410149299999</v>
      </c>
      <c r="AC22" s="214">
        <v>1.7815821378000001</v>
      </c>
      <c r="AN22" s="62">
        <f t="shared" si="0"/>
        <v>14.913092128899999</v>
      </c>
      <c r="AQ22" s="119">
        <v>15</v>
      </c>
    </row>
    <row r="23" spans="1:43">
      <c r="A23" s="124" t="s">
        <v>266</v>
      </c>
      <c r="B23" s="212">
        <v>7.7399857999999998E-3</v>
      </c>
      <c r="C23" s="215">
        <v>0</v>
      </c>
      <c r="D23" s="212">
        <v>-7.3412221999999997E-3</v>
      </c>
      <c r="E23" s="212">
        <v>-1.49813408E-2</v>
      </c>
      <c r="F23" s="212">
        <v>-3.2468588299999997E-2</v>
      </c>
      <c r="G23" s="212">
        <v>-7.2684218999999996E-3</v>
      </c>
      <c r="H23" s="212">
        <v>0.41973343239999999</v>
      </c>
      <c r="I23" s="212">
        <v>6.6857972509000003</v>
      </c>
      <c r="J23" s="212">
        <v>9.9366343236999999</v>
      </c>
      <c r="K23" s="212">
        <v>2.1615930133000001</v>
      </c>
      <c r="L23" s="212">
        <v>9.96987176E-2</v>
      </c>
      <c r="M23" s="215">
        <v>0</v>
      </c>
      <c r="N23" s="212">
        <v>-2.4836567000000001E-3</v>
      </c>
      <c r="O23" s="212">
        <v>-4.9662932999999998E-3</v>
      </c>
      <c r="P23" s="212">
        <v>-2.5121994999999999E-3</v>
      </c>
      <c r="Q23" s="215">
        <v>0</v>
      </c>
      <c r="R23" s="212">
        <v>2.5421483999999999E-3</v>
      </c>
      <c r="S23" s="212">
        <v>1.4834012422</v>
      </c>
      <c r="T23" s="212">
        <v>8.7731119090000007</v>
      </c>
      <c r="U23" s="184">
        <v>25.3481183094</v>
      </c>
      <c r="V23" s="212">
        <v>24.7489598274</v>
      </c>
      <c r="W23" s="212">
        <v>13.8765686757</v>
      </c>
      <c r="X23" s="212">
        <v>10.1642938233</v>
      </c>
      <c r="Y23" s="212">
        <v>2.2251038967999999</v>
      </c>
      <c r="Z23" s="214"/>
      <c r="AA23" s="214">
        <v>-3.2468588299999997E-2</v>
      </c>
      <c r="AB23" s="214">
        <v>25.3481183094</v>
      </c>
      <c r="AC23" s="214">
        <v>4.6227797567</v>
      </c>
      <c r="AN23" s="62">
        <f t="shared" si="0"/>
        <v>25.380586897699999</v>
      </c>
      <c r="AQ23" s="119">
        <v>16</v>
      </c>
    </row>
    <row r="24" spans="1:43">
      <c r="A24" s="124" t="s">
        <v>267</v>
      </c>
      <c r="B24" s="212">
        <v>4.1106074452000003</v>
      </c>
      <c r="C24" s="212">
        <v>2.6363374283000001</v>
      </c>
      <c r="D24" s="212">
        <v>0.98212801309999997</v>
      </c>
      <c r="E24" s="212">
        <v>0.1727020584</v>
      </c>
      <c r="F24" s="212">
        <v>0.11996570030000001</v>
      </c>
      <c r="G24" s="212">
        <v>1.9488352983999999</v>
      </c>
      <c r="H24" s="212">
        <v>9.7827633994000003</v>
      </c>
      <c r="I24" s="184">
        <v>29.957382346900001</v>
      </c>
      <c r="J24" s="184">
        <v>32.663573259700001</v>
      </c>
      <c r="K24" s="212">
        <v>14.9095279825</v>
      </c>
      <c r="L24" s="212">
        <v>1.7545335715999999</v>
      </c>
      <c r="M24" s="212">
        <v>0.13878614219999999</v>
      </c>
      <c r="N24" s="212">
        <v>2.5101744000000001E-3</v>
      </c>
      <c r="O24" s="215">
        <v>0</v>
      </c>
      <c r="P24" s="212">
        <v>-2.4859935999999999E-3</v>
      </c>
      <c r="Q24" s="212">
        <v>-7.4948185E-3</v>
      </c>
      <c r="R24" s="212">
        <v>5.0173510400000003E-2</v>
      </c>
      <c r="S24" s="212">
        <v>9.6637091581999996</v>
      </c>
      <c r="T24" s="213">
        <v>67.226277198099993</v>
      </c>
      <c r="U24" s="213">
        <v>129.75871730649999</v>
      </c>
      <c r="V24" s="213">
        <v>114.3994893767</v>
      </c>
      <c r="W24" s="213">
        <v>101.3001818253</v>
      </c>
      <c r="X24" s="213">
        <v>83.522393843100005</v>
      </c>
      <c r="Y24" s="184">
        <v>36.3146510913</v>
      </c>
      <c r="Z24" s="214"/>
      <c r="AA24" s="214">
        <v>-7.4948185E-3</v>
      </c>
      <c r="AB24" s="214">
        <v>129.75871730649999</v>
      </c>
      <c r="AC24" s="214">
        <v>25.392697116800001</v>
      </c>
      <c r="AN24" s="62">
        <f t="shared" si="0"/>
        <v>129.76621212499998</v>
      </c>
      <c r="AQ24" s="119">
        <v>17</v>
      </c>
    </row>
    <row r="25" spans="1:43">
      <c r="A25" s="124" t="s">
        <v>268</v>
      </c>
      <c r="B25" s="184">
        <v>35.012785818600001</v>
      </c>
      <c r="C25" s="184">
        <v>28.373958686600002</v>
      </c>
      <c r="D25" s="212">
        <v>24.6167789595</v>
      </c>
      <c r="E25" s="212">
        <v>23.304350916800001</v>
      </c>
      <c r="F25" s="212">
        <v>21.6580022976</v>
      </c>
      <c r="G25" s="212">
        <v>23.016238342099999</v>
      </c>
      <c r="H25" s="184">
        <v>27.5846559443</v>
      </c>
      <c r="I25" s="213">
        <v>60.013353423399998</v>
      </c>
      <c r="J25" s="213">
        <v>71.601033192200006</v>
      </c>
      <c r="K25" s="212">
        <v>23.7063748068</v>
      </c>
      <c r="L25" s="212">
        <v>5.6747179279999997</v>
      </c>
      <c r="M25" s="212">
        <v>1.6650298151</v>
      </c>
      <c r="N25" s="212">
        <v>0.18609545320000001</v>
      </c>
      <c r="O25" s="215">
        <v>0</v>
      </c>
      <c r="P25" s="215">
        <v>0</v>
      </c>
      <c r="Q25" s="215">
        <v>0</v>
      </c>
      <c r="R25" s="212">
        <v>0.25251058110000002</v>
      </c>
      <c r="S25" s="212">
        <v>2.5380068185</v>
      </c>
      <c r="T25" s="212">
        <v>10.688775272199999</v>
      </c>
      <c r="U25" s="212">
        <v>24.951479074000002</v>
      </c>
      <c r="V25" s="184">
        <v>25.538370649600001</v>
      </c>
      <c r="W25" s="212">
        <v>20.1415915356</v>
      </c>
      <c r="X25" s="212">
        <v>6.2165528613000003</v>
      </c>
      <c r="Y25" s="212">
        <v>1.3992494188</v>
      </c>
      <c r="Z25" s="214"/>
      <c r="AA25" s="214">
        <v>0</v>
      </c>
      <c r="AB25" s="214">
        <v>71.601033192200006</v>
      </c>
      <c r="AC25" s="214">
        <v>17.337770339799999</v>
      </c>
      <c r="AN25" s="62">
        <f t="shared" si="0"/>
        <v>71.601033192200006</v>
      </c>
      <c r="AQ25" s="119">
        <v>18</v>
      </c>
    </row>
    <row r="26" spans="1:43">
      <c r="A26" s="124" t="s">
        <v>269</v>
      </c>
      <c r="B26" s="212">
        <v>2.6831764707999999</v>
      </c>
      <c r="C26" s="212">
        <v>0.39939544220000001</v>
      </c>
      <c r="D26" s="212">
        <v>5.4972463399999998E-2</v>
      </c>
      <c r="E26" s="215">
        <v>0</v>
      </c>
      <c r="F26" s="212">
        <v>2.5274331E-3</v>
      </c>
      <c r="G26" s="212">
        <v>0.36006306910000002</v>
      </c>
      <c r="H26" s="212">
        <v>2.6573421977999998</v>
      </c>
      <c r="I26" s="212">
        <v>16.2283409263</v>
      </c>
      <c r="J26" s="212">
        <v>13.398231083100001</v>
      </c>
      <c r="K26" s="212">
        <v>1.4739316852</v>
      </c>
      <c r="L26" s="212">
        <v>-0.23581515</v>
      </c>
      <c r="M26" s="212">
        <v>-0.53248577119999996</v>
      </c>
      <c r="N26" s="212">
        <v>-0.75493725069999995</v>
      </c>
      <c r="O26" s="212">
        <v>-0.81</v>
      </c>
      <c r="P26" s="212">
        <v>-0.81</v>
      </c>
      <c r="Q26" s="212">
        <v>-0.79499435860000001</v>
      </c>
      <c r="R26" s="212">
        <v>-0.2994266948</v>
      </c>
      <c r="S26" s="212">
        <v>1.4878645260000001</v>
      </c>
      <c r="T26" s="212">
        <v>23.002195078500002</v>
      </c>
      <c r="U26" s="213">
        <v>74.258350858599997</v>
      </c>
      <c r="V26" s="213">
        <v>81.336796339599999</v>
      </c>
      <c r="W26" s="213">
        <v>63.207390319200002</v>
      </c>
      <c r="X26" s="213">
        <v>46.443505159399997</v>
      </c>
      <c r="Y26" s="184">
        <v>33.492069347200001</v>
      </c>
      <c r="Z26" s="214"/>
      <c r="AA26" s="214">
        <v>-0.81</v>
      </c>
      <c r="AB26" s="214">
        <v>81.336796339599999</v>
      </c>
      <c r="AC26" s="214">
        <v>13.9670921377</v>
      </c>
      <c r="AN26" s="62">
        <f t="shared" si="0"/>
        <v>82.146796339600002</v>
      </c>
      <c r="AQ26" s="119">
        <v>19</v>
      </c>
    </row>
    <row r="27" spans="1:43">
      <c r="A27" s="124" t="s">
        <v>270</v>
      </c>
      <c r="B27" s="184">
        <v>25.010128294800001</v>
      </c>
      <c r="C27" s="212">
        <v>20.405878014599999</v>
      </c>
      <c r="D27" s="212">
        <v>12.461557471600001</v>
      </c>
      <c r="E27" s="212">
        <v>7.2570435209999999</v>
      </c>
      <c r="F27" s="212">
        <v>6.89</v>
      </c>
      <c r="G27" s="212">
        <v>9.8237218111000004</v>
      </c>
      <c r="H27" s="212">
        <v>24.137502274399999</v>
      </c>
      <c r="I27" s="213">
        <v>61.183316067500002</v>
      </c>
      <c r="J27" s="213">
        <v>54.186751883200003</v>
      </c>
      <c r="K27" s="212">
        <v>7.2725953069999996</v>
      </c>
      <c r="L27" s="212">
        <v>-0.14952184499999999</v>
      </c>
      <c r="M27" s="212">
        <v>-0.68137065890000004</v>
      </c>
      <c r="N27" s="212">
        <v>-0.92473448609999997</v>
      </c>
      <c r="O27" s="212">
        <v>-0.99499684830000001</v>
      </c>
      <c r="P27" s="212">
        <v>-0.99250877130000004</v>
      </c>
      <c r="Q27" s="212">
        <v>-0.92762429660000001</v>
      </c>
      <c r="R27" s="212">
        <v>-0.28948741140000001</v>
      </c>
      <c r="S27" s="212">
        <v>9.2997370685000007</v>
      </c>
      <c r="T27" s="213">
        <v>56.6680953503</v>
      </c>
      <c r="U27" s="213">
        <v>93.498836085999997</v>
      </c>
      <c r="V27" s="213">
        <v>100.54251276700001</v>
      </c>
      <c r="W27" s="213">
        <v>96.055987744399999</v>
      </c>
      <c r="X27" s="213">
        <v>60.293954430699998</v>
      </c>
      <c r="Y27" s="184">
        <v>38.544183461400003</v>
      </c>
      <c r="Z27" s="214"/>
      <c r="AA27" s="214">
        <v>-0.99499684830000001</v>
      </c>
      <c r="AB27" s="214">
        <v>100.54251276700001</v>
      </c>
      <c r="AC27" s="214">
        <v>25.226853470199998</v>
      </c>
      <c r="AN27" s="62">
        <f t="shared" si="0"/>
        <v>101.53750961530001</v>
      </c>
      <c r="AQ27" s="119">
        <v>20</v>
      </c>
    </row>
    <row r="28" spans="1:43">
      <c r="A28" s="124" t="s">
        <v>271</v>
      </c>
      <c r="B28" s="184">
        <v>33.0146107777</v>
      </c>
      <c r="C28" s="184">
        <v>27.768344511999999</v>
      </c>
      <c r="D28" s="212">
        <v>24.1121939925</v>
      </c>
      <c r="E28" s="212">
        <v>23</v>
      </c>
      <c r="F28" s="212">
        <v>20.005000043599999</v>
      </c>
      <c r="G28" s="212">
        <v>23</v>
      </c>
      <c r="H28" s="184">
        <v>27.4839956022</v>
      </c>
      <c r="I28" s="184">
        <v>31.490346635400002</v>
      </c>
      <c r="J28" s="184">
        <v>27.846446676799999</v>
      </c>
      <c r="K28" s="212">
        <v>9.6244323209000004</v>
      </c>
      <c r="L28" s="212">
        <v>0.58188335000000002</v>
      </c>
      <c r="M28" s="215">
        <v>0</v>
      </c>
      <c r="N28" s="212">
        <v>-2.4892028000000001E-3</v>
      </c>
      <c r="O28" s="212">
        <v>-4.9624593000000003E-3</v>
      </c>
      <c r="P28" s="212">
        <v>-0.01</v>
      </c>
      <c r="Q28" s="212">
        <v>-0.01</v>
      </c>
      <c r="R28" s="215">
        <v>0</v>
      </c>
      <c r="S28" s="212">
        <v>7.5440820187000002</v>
      </c>
      <c r="T28" s="213">
        <v>45.489814048</v>
      </c>
      <c r="U28" s="213">
        <v>93.793881572000004</v>
      </c>
      <c r="V28" s="213">
        <v>101.4067522089</v>
      </c>
      <c r="W28" s="213">
        <v>98.371947297999995</v>
      </c>
      <c r="X28" s="213">
        <v>65.938043281500001</v>
      </c>
      <c r="Y28" s="184">
        <v>36.5508932268</v>
      </c>
      <c r="Z28" s="214"/>
      <c r="AA28" s="214">
        <v>-0.01</v>
      </c>
      <c r="AB28" s="214">
        <v>101.4067522089</v>
      </c>
      <c r="AC28" s="214">
        <v>25.445602426800001</v>
      </c>
      <c r="AN28" s="62">
        <f t="shared" si="0"/>
        <v>101.41675220890001</v>
      </c>
      <c r="AQ28" s="119">
        <v>21</v>
      </c>
    </row>
    <row r="29" spans="1:43">
      <c r="A29" s="124" t="s">
        <v>272</v>
      </c>
      <c r="B29" s="184">
        <v>33.764151919200003</v>
      </c>
      <c r="C29" s="184">
        <v>27.232359453400001</v>
      </c>
      <c r="D29" s="212">
        <v>22.718279446499999</v>
      </c>
      <c r="E29" s="212">
        <v>15.265052643400001</v>
      </c>
      <c r="F29" s="212">
        <v>9.3859655685999996</v>
      </c>
      <c r="G29" s="212">
        <v>9.18</v>
      </c>
      <c r="H29" s="212">
        <v>11.744600309699999</v>
      </c>
      <c r="I29" s="212">
        <v>19.5798224756</v>
      </c>
      <c r="J29" s="212">
        <v>5.7508259533999997</v>
      </c>
      <c r="K29" s="212">
        <v>0.90808751129999998</v>
      </c>
      <c r="L29" s="212">
        <v>-0.25711597619999998</v>
      </c>
      <c r="M29" s="212">
        <v>-0.58979972179999995</v>
      </c>
      <c r="N29" s="212">
        <v>-0.96500480700000002</v>
      </c>
      <c r="O29" s="212">
        <v>-0.74734720379999997</v>
      </c>
      <c r="P29" s="212">
        <v>-0.6</v>
      </c>
      <c r="Q29" s="212">
        <v>-0.65256865770000005</v>
      </c>
      <c r="R29" s="212">
        <v>-0.14077989099999999</v>
      </c>
      <c r="S29" s="212">
        <v>5.3211475652000004</v>
      </c>
      <c r="T29" s="212">
        <v>21.6471370541</v>
      </c>
      <c r="U29" s="213">
        <v>68.3626938301</v>
      </c>
      <c r="V29" s="213">
        <v>99.333699870000004</v>
      </c>
      <c r="W29" s="213">
        <v>93.9408517926</v>
      </c>
      <c r="X29" s="213">
        <v>55.943863146299996</v>
      </c>
      <c r="Y29" s="184">
        <v>35.267788279199998</v>
      </c>
      <c r="Z29" s="214"/>
      <c r="AA29" s="214">
        <v>-0.96500480700000002</v>
      </c>
      <c r="AB29" s="214">
        <v>99.333699870000004</v>
      </c>
      <c r="AC29" s="214">
        <v>20.509402532199999</v>
      </c>
      <c r="AN29" s="62">
        <f t="shared" si="0"/>
        <v>100.298704677</v>
      </c>
      <c r="AQ29" s="119">
        <v>22</v>
      </c>
    </row>
    <row r="30" spans="1:43">
      <c r="A30" s="124" t="s">
        <v>273</v>
      </c>
      <c r="B30" s="212">
        <v>23.910014126699998</v>
      </c>
      <c r="C30" s="212">
        <v>19.634523353399999</v>
      </c>
      <c r="D30" s="212">
        <v>17.6099073478</v>
      </c>
      <c r="E30" s="212">
        <v>11.6538549588</v>
      </c>
      <c r="F30" s="212">
        <v>9.8124208089000007</v>
      </c>
      <c r="G30" s="212">
        <v>18.0293550395</v>
      </c>
      <c r="H30" s="212">
        <v>24.256392133599999</v>
      </c>
      <c r="I30" s="213">
        <v>59.801393970600003</v>
      </c>
      <c r="J30" s="213">
        <v>59.0901428815</v>
      </c>
      <c r="K30" s="212">
        <v>12.524313856199999</v>
      </c>
      <c r="L30" s="212">
        <v>0.22748629670000001</v>
      </c>
      <c r="M30" s="212">
        <v>-0.37040670879999998</v>
      </c>
      <c r="N30" s="212">
        <v>-1.1457539971999999</v>
      </c>
      <c r="O30" s="212">
        <v>-1.0763904514</v>
      </c>
      <c r="P30" s="212">
        <v>-1.0024876303000001</v>
      </c>
      <c r="Q30" s="212">
        <v>-0.74992934749999995</v>
      </c>
      <c r="R30" s="212">
        <v>-4.9328579599999998E-2</v>
      </c>
      <c r="S30" s="212">
        <v>17.535324039900001</v>
      </c>
      <c r="T30" s="213">
        <v>70.016551942899994</v>
      </c>
      <c r="U30" s="213">
        <v>120.2157971516</v>
      </c>
      <c r="V30" s="213">
        <v>175.14206864369999</v>
      </c>
      <c r="W30" s="213">
        <v>111.1509072242</v>
      </c>
      <c r="X30" s="213">
        <v>54.330987219900003</v>
      </c>
      <c r="Y30" s="184">
        <v>31.5884462896</v>
      </c>
      <c r="Z30" s="214"/>
      <c r="AA30" s="214">
        <v>-1.1457539971999999</v>
      </c>
      <c r="AB30" s="214">
        <v>175.14206864369999</v>
      </c>
      <c r="AC30" s="214">
        <v>31.193557491300002</v>
      </c>
      <c r="AN30" s="62">
        <f t="shared" si="0"/>
        <v>176.28782264089998</v>
      </c>
      <c r="AQ30" s="119">
        <v>23</v>
      </c>
    </row>
    <row r="31" spans="1:43">
      <c r="A31" s="124" t="s">
        <v>274</v>
      </c>
      <c r="B31" s="184">
        <v>32.0139703846</v>
      </c>
      <c r="C31" s="212">
        <v>23.408609480799999</v>
      </c>
      <c r="D31" s="212">
        <v>21.310369838900002</v>
      </c>
      <c r="E31" s="212">
        <v>20.291480531000001</v>
      </c>
      <c r="F31" s="212">
        <v>19.035560131299999</v>
      </c>
      <c r="G31" s="212">
        <v>22.377945194399999</v>
      </c>
      <c r="H31" s="184">
        <v>36.428518405600002</v>
      </c>
      <c r="I31" s="213">
        <v>85.935978556799995</v>
      </c>
      <c r="J31" s="213">
        <v>62.398511112800001</v>
      </c>
      <c r="K31" s="212">
        <v>17.976123555400001</v>
      </c>
      <c r="L31" s="212">
        <v>0.22699725379999999</v>
      </c>
      <c r="M31" s="212">
        <v>-0.40336150700000001</v>
      </c>
      <c r="N31" s="212">
        <v>-0.772314418</v>
      </c>
      <c r="O31" s="212">
        <v>-0.83238010780000005</v>
      </c>
      <c r="P31" s="212">
        <v>-0.92240649139999997</v>
      </c>
      <c r="Q31" s="212">
        <v>-0.87747093669999998</v>
      </c>
      <c r="R31" s="212">
        <v>-5.1861628999999999E-2</v>
      </c>
      <c r="S31" s="212">
        <v>13.286985424299999</v>
      </c>
      <c r="T31" s="213">
        <v>46.9096091551</v>
      </c>
      <c r="U31" s="213">
        <v>98.089670952000006</v>
      </c>
      <c r="V31" s="213">
        <v>74.440389007500002</v>
      </c>
      <c r="W31" s="184">
        <v>39.356985705299998</v>
      </c>
      <c r="X31" s="184">
        <v>34.373610436900002</v>
      </c>
      <c r="Y31" s="184">
        <v>31.167252163899999</v>
      </c>
      <c r="Z31" s="214"/>
      <c r="AA31" s="214">
        <v>-0.92240649139999997</v>
      </c>
      <c r="AB31" s="214">
        <v>98.089670952000006</v>
      </c>
      <c r="AC31" s="214">
        <v>26.316024078200002</v>
      </c>
      <c r="AN31" s="62">
        <f t="shared" si="0"/>
        <v>99.012077443400003</v>
      </c>
      <c r="AQ31" s="119">
        <v>24</v>
      </c>
    </row>
    <row r="32" spans="1:43">
      <c r="A32" s="124" t="s">
        <v>275</v>
      </c>
      <c r="B32" s="212">
        <v>19.014350867400001</v>
      </c>
      <c r="C32" s="212">
        <v>14.550075701800001</v>
      </c>
      <c r="D32" s="212">
        <v>11.308041723100001</v>
      </c>
      <c r="E32" s="212">
        <v>7.6022268929000001</v>
      </c>
      <c r="F32" s="212">
        <v>7.6726420687000001</v>
      </c>
      <c r="G32" s="212">
        <v>10.7078332056</v>
      </c>
      <c r="H32" s="184">
        <v>25.071182886799999</v>
      </c>
      <c r="I32" s="213">
        <v>66.545636468300003</v>
      </c>
      <c r="J32" s="213">
        <v>64.528662599599997</v>
      </c>
      <c r="K32" s="212">
        <v>14.215110101700001</v>
      </c>
      <c r="L32" s="212">
        <v>0.21223190289999999</v>
      </c>
      <c r="M32" s="212">
        <v>-0.15595838240000001</v>
      </c>
      <c r="N32" s="212">
        <v>-0.55471587249999998</v>
      </c>
      <c r="O32" s="212">
        <v>-0.81</v>
      </c>
      <c r="P32" s="212">
        <v>-0.54985943449999997</v>
      </c>
      <c r="Q32" s="212">
        <v>-0.3947755993</v>
      </c>
      <c r="R32" s="212">
        <v>1.1864012608000001</v>
      </c>
      <c r="S32" s="212">
        <v>18.215988480699998</v>
      </c>
      <c r="T32" s="213">
        <v>64.824309554799996</v>
      </c>
      <c r="U32" s="213">
        <v>104.4230186688</v>
      </c>
      <c r="V32" s="213">
        <v>104.09384546290001</v>
      </c>
      <c r="W32" s="213">
        <v>95.805468530900001</v>
      </c>
      <c r="X32" s="213">
        <v>53.867727486500002</v>
      </c>
      <c r="Y32" s="184">
        <v>30.6643263084</v>
      </c>
      <c r="Z32" s="214"/>
      <c r="AA32" s="214">
        <v>-0.81</v>
      </c>
      <c r="AB32" s="214">
        <v>104.4230186688</v>
      </c>
      <c r="AC32" s="214">
        <v>27.402467301000001</v>
      </c>
      <c r="AN32" s="62">
        <f t="shared" si="0"/>
        <v>105.2330186688</v>
      </c>
      <c r="AQ32" s="119">
        <v>25</v>
      </c>
    </row>
    <row r="33" spans="1:43">
      <c r="A33" s="124" t="s">
        <v>276</v>
      </c>
      <c r="B33" s="184">
        <v>28.805340292499999</v>
      </c>
      <c r="C33" s="212">
        <v>23.0641647898</v>
      </c>
      <c r="D33" s="212">
        <v>17.270270529099999</v>
      </c>
      <c r="E33" s="212">
        <v>11.740659945799999</v>
      </c>
      <c r="F33" s="212">
        <v>11.800010025400001</v>
      </c>
      <c r="G33" s="212">
        <v>19.972239685000002</v>
      </c>
      <c r="H33" s="184">
        <v>28.3977302435</v>
      </c>
      <c r="I33" s="213">
        <v>70.680696498200007</v>
      </c>
      <c r="J33" s="213">
        <v>53.200086986800002</v>
      </c>
      <c r="K33" s="212">
        <v>14.2711854235</v>
      </c>
      <c r="L33" s="212">
        <v>-0.1961917919</v>
      </c>
      <c r="M33" s="212">
        <v>-1.7461934454000001</v>
      </c>
      <c r="N33" s="212">
        <v>-2.1</v>
      </c>
      <c r="O33" s="212">
        <v>-2.1</v>
      </c>
      <c r="P33" s="212">
        <v>-2.1</v>
      </c>
      <c r="Q33" s="212">
        <v>-2.1</v>
      </c>
      <c r="R33" s="212">
        <v>-0.74528424959999995</v>
      </c>
      <c r="S33" s="212">
        <v>7.3235009454000002</v>
      </c>
      <c r="T33" s="184">
        <v>36.993045307400003</v>
      </c>
      <c r="U33" s="213">
        <v>94.517203335900007</v>
      </c>
      <c r="V33" s="213">
        <v>102.2785342288</v>
      </c>
      <c r="W33" s="213">
        <v>84.660763233799997</v>
      </c>
      <c r="X33" s="184">
        <v>37.001903100100002</v>
      </c>
      <c r="Y33" s="212">
        <v>21.969601414100001</v>
      </c>
      <c r="Z33" s="214"/>
      <c r="AA33" s="214">
        <v>-2.1</v>
      </c>
      <c r="AB33" s="214">
        <v>102.2785342288</v>
      </c>
      <c r="AC33" s="214">
        <v>24.819815827799999</v>
      </c>
      <c r="AN33" s="62">
        <f t="shared" si="0"/>
        <v>104.37853422879999</v>
      </c>
      <c r="AQ33" s="119">
        <v>26</v>
      </c>
    </row>
    <row r="34" spans="1:43">
      <c r="A34" s="124" t="s">
        <v>277</v>
      </c>
      <c r="B34" s="212">
        <v>20.136547114599999</v>
      </c>
      <c r="C34" s="212">
        <v>10.9160553669</v>
      </c>
      <c r="D34" s="212">
        <v>11.613235572700001</v>
      </c>
      <c r="E34" s="212">
        <v>10.4871180121</v>
      </c>
      <c r="F34" s="212">
        <v>9.7015404877999991</v>
      </c>
      <c r="G34" s="212">
        <v>11.344663068499999</v>
      </c>
      <c r="H34" s="212">
        <v>22.913945980099999</v>
      </c>
      <c r="I34" s="184">
        <v>33.8173701248</v>
      </c>
      <c r="J34" s="184">
        <v>29.206423179600002</v>
      </c>
      <c r="K34" s="212">
        <v>14.373585727</v>
      </c>
      <c r="L34" s="212">
        <v>2.8937575002</v>
      </c>
      <c r="M34" s="212">
        <v>5.6752532710254599E-5</v>
      </c>
      <c r="N34" s="212">
        <v>-2.4898553000000001E-3</v>
      </c>
      <c r="O34" s="212">
        <v>-7.4821799999999997E-3</v>
      </c>
      <c r="P34" s="212">
        <v>-2.4550162E-3</v>
      </c>
      <c r="Q34" s="212">
        <v>0.23746885009999999</v>
      </c>
      <c r="R34" s="212">
        <v>5.7970043674999996</v>
      </c>
      <c r="S34" s="212">
        <v>16.284139789099999</v>
      </c>
      <c r="T34" s="184">
        <v>31.653212403600001</v>
      </c>
      <c r="U34" s="213">
        <v>62.625186635200002</v>
      </c>
      <c r="V34" s="213">
        <v>73.582529026700001</v>
      </c>
      <c r="W34" s="213">
        <v>54.804584007899997</v>
      </c>
      <c r="X34" s="184">
        <v>33.856278870200001</v>
      </c>
      <c r="Y34" s="184">
        <v>25.576666386199999</v>
      </c>
      <c r="Z34" s="214"/>
      <c r="AA34" s="214">
        <v>-7.4821799999999997E-3</v>
      </c>
      <c r="AB34" s="214">
        <v>73.582529026700001</v>
      </c>
      <c r="AC34" s="214">
        <v>19.045008212799999</v>
      </c>
      <c r="AN34" s="62">
        <f t="shared" si="0"/>
        <v>73.590011206699998</v>
      </c>
      <c r="AQ34" s="119">
        <v>27</v>
      </c>
    </row>
    <row r="35" spans="1:43">
      <c r="A35" s="124" t="s">
        <v>278</v>
      </c>
      <c r="B35" s="212">
        <v>16.471465878699998</v>
      </c>
      <c r="C35" s="212">
        <v>6.8022497593000004</v>
      </c>
      <c r="D35" s="212">
        <v>8.7725782872</v>
      </c>
      <c r="E35" s="212">
        <v>4.1493865203000002</v>
      </c>
      <c r="F35" s="212">
        <v>3.5246381918999998</v>
      </c>
      <c r="G35" s="212">
        <v>3.8252902643</v>
      </c>
      <c r="H35" s="212">
        <v>4.4747647288000003</v>
      </c>
      <c r="I35" s="212">
        <v>3.9109000421000002</v>
      </c>
      <c r="J35" s="212">
        <v>3.5437474812</v>
      </c>
      <c r="K35" s="212">
        <v>1.7448532097</v>
      </c>
      <c r="L35" s="212">
        <v>2.1958169999999999E-4</v>
      </c>
      <c r="M35" s="212">
        <v>-1.9844669499999999E-2</v>
      </c>
      <c r="N35" s="212">
        <v>-0.01</v>
      </c>
      <c r="O35" s="212">
        <v>-1.25088678E-2</v>
      </c>
      <c r="P35" s="212">
        <v>-7.4186991000000004E-3</v>
      </c>
      <c r="Q35" s="215">
        <v>0</v>
      </c>
      <c r="R35" s="212">
        <v>0.17043795049999999</v>
      </c>
      <c r="S35" s="212">
        <v>2.6861863805000001</v>
      </c>
      <c r="T35" s="212">
        <v>21.986163459099998</v>
      </c>
      <c r="U35" s="213">
        <v>72.951552431799996</v>
      </c>
      <c r="V35" s="213">
        <v>63.715887755200001</v>
      </c>
      <c r="W35" s="213">
        <v>51.705557869800003</v>
      </c>
      <c r="X35" s="184">
        <v>41.692334462200002</v>
      </c>
      <c r="Y35" s="184">
        <v>35.012582785500001</v>
      </c>
      <c r="Z35" s="214"/>
      <c r="AA35" s="214">
        <v>-1.9844669499999999E-2</v>
      </c>
      <c r="AB35" s="214">
        <v>72.951552431799996</v>
      </c>
      <c r="AC35" s="214">
        <v>14.102579632199999</v>
      </c>
      <c r="AE35" s="62"/>
      <c r="AN35" s="62">
        <f t="shared" si="0"/>
        <v>72.971397101299999</v>
      </c>
      <c r="AQ35" s="119">
        <v>28</v>
      </c>
    </row>
    <row r="36" spans="1:43">
      <c r="AN36" s="62">
        <f t="shared" si="0"/>
        <v>0</v>
      </c>
      <c r="AQ36" s="119">
        <v>29</v>
      </c>
    </row>
    <row r="37" spans="1:43">
      <c r="AN37" s="62">
        <f t="shared" si="0"/>
        <v>0</v>
      </c>
      <c r="AQ37" s="119">
        <v>30</v>
      </c>
    </row>
    <row r="38" spans="1:43">
      <c r="AN38" s="62">
        <f>AB38-AA38</f>
        <v>0</v>
      </c>
      <c r="AQ38" s="119">
        <v>31</v>
      </c>
    </row>
    <row r="41" spans="1:43">
      <c r="A41" s="122" t="s">
        <v>27</v>
      </c>
      <c r="B41" s="227" t="s">
        <v>45</v>
      </c>
      <c r="C41" s="228"/>
      <c r="D41" s="228"/>
      <c r="E41" s="228"/>
      <c r="F41" s="228"/>
      <c r="G41" s="228"/>
      <c r="H41" s="228"/>
      <c r="I41" s="228"/>
      <c r="J41" s="228"/>
      <c r="K41" s="228"/>
      <c r="L41" s="228"/>
      <c r="M41" s="228"/>
      <c r="N41" s="228"/>
    </row>
    <row r="42" spans="1:43">
      <c r="A42" s="122" t="s">
        <v>115</v>
      </c>
      <c r="B42" s="143">
        <v>202502</v>
      </c>
      <c r="C42" s="143">
        <v>202503</v>
      </c>
      <c r="D42" s="143">
        <v>202504</v>
      </c>
      <c r="E42" s="143">
        <v>202505</v>
      </c>
      <c r="F42" s="143">
        <v>202506</v>
      </c>
      <c r="G42" s="143">
        <v>202507</v>
      </c>
      <c r="H42" s="143">
        <v>202508</v>
      </c>
      <c r="I42" s="143">
        <v>202509</v>
      </c>
      <c r="J42" s="143">
        <v>202510</v>
      </c>
      <c r="K42" s="143">
        <v>202511</v>
      </c>
      <c r="L42" s="143">
        <v>202512</v>
      </c>
      <c r="M42" s="143">
        <v>202601</v>
      </c>
      <c r="N42" s="143">
        <v>202602</v>
      </c>
    </row>
    <row r="43" spans="1:43">
      <c r="A43" s="122" t="s">
        <v>86</v>
      </c>
      <c r="B43" s="145" t="s">
        <v>207</v>
      </c>
      <c r="C43" s="145" t="s">
        <v>210</v>
      </c>
      <c r="D43" s="145" t="s">
        <v>220</v>
      </c>
      <c r="E43" s="145" t="s">
        <v>223</v>
      </c>
      <c r="F43" s="145" t="s">
        <v>225</v>
      </c>
      <c r="G43" s="145" t="s">
        <v>227</v>
      </c>
      <c r="H43" s="145" t="s">
        <v>230</v>
      </c>
      <c r="I43" s="145" t="s">
        <v>233</v>
      </c>
      <c r="J43" s="145" t="s">
        <v>237</v>
      </c>
      <c r="K43" s="145" t="s">
        <v>242</v>
      </c>
      <c r="L43" s="145" t="s">
        <v>245</v>
      </c>
      <c r="M43" s="145" t="s">
        <v>247</v>
      </c>
      <c r="N43" s="145" t="s">
        <v>279</v>
      </c>
    </row>
    <row r="44" spans="1:43">
      <c r="A44" s="122" t="s">
        <v>116</v>
      </c>
      <c r="B44" s="143"/>
      <c r="C44" s="143"/>
      <c r="D44" s="143"/>
      <c r="E44" s="143"/>
      <c r="F44" s="143"/>
      <c r="G44" s="143"/>
      <c r="H44" s="143"/>
      <c r="I44" s="143"/>
      <c r="J44" s="143"/>
      <c r="K44" s="143"/>
      <c r="L44" s="143"/>
      <c r="M44" s="143"/>
      <c r="N44" s="143"/>
    </row>
    <row r="45" spans="1:43">
      <c r="A45" s="124" t="s">
        <v>46</v>
      </c>
      <c r="B45" s="197">
        <v>19242913.862</v>
      </c>
      <c r="C45" s="197">
        <v>20819390.217</v>
      </c>
      <c r="D45" s="197">
        <v>17848004.853999998</v>
      </c>
      <c r="E45" s="197">
        <v>18599189.252</v>
      </c>
      <c r="F45" s="197">
        <v>20730203.096999999</v>
      </c>
      <c r="G45" s="197">
        <v>22211148.853</v>
      </c>
      <c r="H45" s="197">
        <v>20935693.186999999</v>
      </c>
      <c r="I45" s="197">
        <v>19542167.316</v>
      </c>
      <c r="J45" s="197">
        <v>19196589.440000001</v>
      </c>
      <c r="K45" s="197">
        <v>19892075.153000001</v>
      </c>
      <c r="L45" s="197">
        <v>21396364.585999999</v>
      </c>
      <c r="M45" s="197">
        <v>22656740.901999999</v>
      </c>
      <c r="N45" s="197">
        <v>19386375.870000001</v>
      </c>
      <c r="O45" s="62"/>
      <c r="P45" s="188"/>
      <c r="Q45" s="124"/>
    </row>
    <row r="46" spans="1:43">
      <c r="A46" s="124" t="s">
        <v>47</v>
      </c>
      <c r="B46" s="203">
        <v>100</v>
      </c>
      <c r="C46" s="203">
        <v>100</v>
      </c>
      <c r="D46" s="203">
        <v>100</v>
      </c>
      <c r="E46" s="203">
        <v>100</v>
      </c>
      <c r="F46" s="203">
        <v>100</v>
      </c>
      <c r="G46" s="203">
        <v>100</v>
      </c>
      <c r="H46" s="203">
        <v>100</v>
      </c>
      <c r="I46" s="203">
        <v>100</v>
      </c>
      <c r="J46" s="203">
        <v>100</v>
      </c>
      <c r="K46" s="203">
        <v>100</v>
      </c>
      <c r="L46" s="203">
        <v>100</v>
      </c>
      <c r="M46" s="203">
        <v>100</v>
      </c>
      <c r="N46" s="203">
        <v>100</v>
      </c>
      <c r="Q46" s="124"/>
    </row>
    <row r="47" spans="1:43">
      <c r="A47" s="124" t="s">
        <v>48</v>
      </c>
      <c r="B47" s="204">
        <v>110.71</v>
      </c>
      <c r="C47" s="204">
        <v>55.52</v>
      </c>
      <c r="D47" s="204">
        <v>27.66</v>
      </c>
      <c r="E47" s="204">
        <v>17.43</v>
      </c>
      <c r="F47" s="204">
        <v>72.468000000000004</v>
      </c>
      <c r="G47" s="204">
        <v>70.442999999999998</v>
      </c>
      <c r="H47" s="204">
        <v>67.98</v>
      </c>
      <c r="I47" s="204">
        <v>60.85</v>
      </c>
      <c r="J47" s="204">
        <v>76.650000000000006</v>
      </c>
      <c r="K47" s="204">
        <v>60.523000000000003</v>
      </c>
      <c r="L47" s="204">
        <v>80.186000000000007</v>
      </c>
      <c r="M47" s="204">
        <v>73.596000000000004</v>
      </c>
      <c r="N47" s="204">
        <v>18.09</v>
      </c>
      <c r="Q47" s="179"/>
    </row>
    <row r="48" spans="1:43">
      <c r="A48" s="124" t="s">
        <v>49</v>
      </c>
      <c r="B48" s="204">
        <v>4.07</v>
      </c>
      <c r="C48" s="204">
        <v>6.64</v>
      </c>
      <c r="D48" s="204">
        <v>11.26</v>
      </c>
      <c r="E48" s="204">
        <v>21.57</v>
      </c>
      <c r="F48" s="204">
        <v>9.6820000000000004</v>
      </c>
      <c r="G48" s="204">
        <v>8.4209999999999994</v>
      </c>
      <c r="H48" s="204">
        <v>8.34</v>
      </c>
      <c r="I48" s="204">
        <v>10.050000000000001</v>
      </c>
      <c r="J48" s="204">
        <v>11.09</v>
      </c>
      <c r="K48" s="204">
        <v>13.153</v>
      </c>
      <c r="L48" s="204">
        <v>11.436</v>
      </c>
      <c r="M48" s="204">
        <v>12.038</v>
      </c>
      <c r="N48" s="204">
        <v>22.05</v>
      </c>
      <c r="Q48" s="124"/>
    </row>
    <row r="49" spans="1:17">
      <c r="A49" s="124" t="s">
        <v>50</v>
      </c>
      <c r="B49" s="204">
        <v>7.08</v>
      </c>
      <c r="C49" s="204">
        <v>5.85</v>
      </c>
      <c r="D49" s="204">
        <v>4.2830000000000004</v>
      </c>
      <c r="E49" s="204">
        <v>2.88</v>
      </c>
      <c r="F49" s="204">
        <v>4.5199999999999996</v>
      </c>
      <c r="G49" s="204">
        <v>4.8019999999999996</v>
      </c>
      <c r="H49" s="204">
        <v>3.04</v>
      </c>
      <c r="I49" s="204">
        <v>4.45</v>
      </c>
      <c r="J49" s="204">
        <v>4.79</v>
      </c>
      <c r="K49" s="204">
        <v>1.27</v>
      </c>
      <c r="L49" s="204">
        <v>1.26</v>
      </c>
      <c r="M49" s="204">
        <v>1.87</v>
      </c>
      <c r="N49" s="204">
        <v>1.45</v>
      </c>
      <c r="Q49" s="179"/>
    </row>
    <row r="50" spans="1:17">
      <c r="A50" s="124" t="s">
        <v>51</v>
      </c>
      <c r="B50" s="204">
        <v>-0.1</v>
      </c>
      <c r="C50" s="204">
        <v>-0.1</v>
      </c>
      <c r="D50" s="204">
        <v>-0.01</v>
      </c>
      <c r="E50" s="204">
        <v>-7.0000000000000007E-2</v>
      </c>
      <c r="F50" s="204">
        <v>-0.13</v>
      </c>
      <c r="G50" s="204">
        <v>-0.15</v>
      </c>
      <c r="H50" s="204">
        <v>-0.1</v>
      </c>
      <c r="I50" s="204">
        <v>-0.14000000000000001</v>
      </c>
      <c r="J50" s="204">
        <v>-0.21</v>
      </c>
      <c r="K50" s="204">
        <v>-0.21</v>
      </c>
      <c r="L50" s="204">
        <v>-0.2</v>
      </c>
      <c r="M50" s="204">
        <v>-0.13</v>
      </c>
      <c r="N50" s="204">
        <v>-0.17</v>
      </c>
      <c r="Q50" s="124"/>
    </row>
    <row r="51" spans="1:17">
      <c r="A51" s="124" t="s">
        <v>52</v>
      </c>
      <c r="B51" s="204">
        <v>0</v>
      </c>
      <c r="C51" s="204">
        <v>0</v>
      </c>
      <c r="D51" s="204">
        <v>0</v>
      </c>
      <c r="E51" s="204">
        <v>0</v>
      </c>
      <c r="F51" s="204">
        <v>0</v>
      </c>
      <c r="G51" s="204">
        <v>0</v>
      </c>
      <c r="H51" s="204">
        <v>0</v>
      </c>
      <c r="I51" s="204">
        <v>0</v>
      </c>
      <c r="J51" s="204">
        <v>0</v>
      </c>
      <c r="K51" s="204">
        <v>0</v>
      </c>
      <c r="L51" s="204">
        <v>0</v>
      </c>
      <c r="M51" s="218"/>
      <c r="N51" s="218"/>
      <c r="Q51" s="179"/>
    </row>
    <row r="52" spans="1:17">
      <c r="A52" s="124" t="s">
        <v>53</v>
      </c>
      <c r="B52" s="204">
        <v>0</v>
      </c>
      <c r="C52" s="204">
        <v>0</v>
      </c>
      <c r="D52" s="204">
        <v>0</v>
      </c>
      <c r="E52" s="204">
        <v>0</v>
      </c>
      <c r="F52" s="204">
        <v>0</v>
      </c>
      <c r="G52" s="204">
        <v>0</v>
      </c>
      <c r="H52" s="204">
        <v>0</v>
      </c>
      <c r="I52" s="204">
        <v>0</v>
      </c>
      <c r="J52" s="204">
        <v>0</v>
      </c>
      <c r="K52" s="204">
        <v>0</v>
      </c>
      <c r="L52" s="204">
        <v>0</v>
      </c>
      <c r="M52" s="218"/>
      <c r="N52" s="218"/>
      <c r="Q52" s="124"/>
    </row>
    <row r="53" spans="1:17">
      <c r="A53" s="87" t="s">
        <v>289</v>
      </c>
      <c r="B53" s="204">
        <v>4.63</v>
      </c>
      <c r="C53" s="204">
        <v>3.6</v>
      </c>
      <c r="D53" s="204">
        <v>2.79</v>
      </c>
      <c r="E53" s="204">
        <v>0</v>
      </c>
      <c r="F53" s="204">
        <v>2.33</v>
      </c>
      <c r="G53" s="204">
        <v>2.85</v>
      </c>
      <c r="H53" s="204">
        <v>3.13</v>
      </c>
      <c r="I53" s="204">
        <v>3.4999999999999996</v>
      </c>
      <c r="J53" s="204">
        <v>3.5159999999999996</v>
      </c>
      <c r="K53" s="204">
        <v>2.85</v>
      </c>
      <c r="L53" s="204">
        <v>2.1800000000000002</v>
      </c>
      <c r="M53" s="204">
        <v>2.95</v>
      </c>
      <c r="N53" s="204">
        <v>3.04</v>
      </c>
      <c r="Q53" s="179"/>
    </row>
    <row r="54" spans="1:17">
      <c r="A54" s="124" t="s">
        <v>54</v>
      </c>
      <c r="B54" s="204">
        <v>-0.8</v>
      </c>
      <c r="C54" s="204">
        <v>-0.6</v>
      </c>
      <c r="D54" s="204">
        <v>-0.42</v>
      </c>
      <c r="E54" s="204">
        <v>-0.19</v>
      </c>
      <c r="F54" s="204">
        <v>-0.49</v>
      </c>
      <c r="G54" s="204">
        <v>-0.39</v>
      </c>
      <c r="H54" s="204">
        <v>-0.4</v>
      </c>
      <c r="I54" s="204">
        <v>-0.4</v>
      </c>
      <c r="J54" s="204">
        <v>-0.42</v>
      </c>
      <c r="K54" s="204">
        <v>-0.26</v>
      </c>
      <c r="L54" s="204">
        <v>-0.28000000000000003</v>
      </c>
      <c r="M54" s="204">
        <v>-0.36</v>
      </c>
      <c r="N54" s="204">
        <v>-0.16</v>
      </c>
      <c r="Q54" s="208"/>
    </row>
    <row r="55" spans="1:17">
      <c r="A55" s="124" t="s">
        <v>55</v>
      </c>
      <c r="B55" s="204">
        <v>0.45</v>
      </c>
      <c r="C55" s="204">
        <v>0.48</v>
      </c>
      <c r="D55" s="204">
        <v>0.48299999999999998</v>
      </c>
      <c r="E55" s="204">
        <v>0.28999999999999998</v>
      </c>
      <c r="F55" s="204">
        <v>0.42</v>
      </c>
      <c r="G55" s="204">
        <v>0.49</v>
      </c>
      <c r="H55" s="204">
        <v>0.38</v>
      </c>
      <c r="I55" s="204">
        <v>0.43</v>
      </c>
      <c r="J55" s="204">
        <v>0.26</v>
      </c>
      <c r="K55" s="204">
        <v>0.37</v>
      </c>
      <c r="L55" s="204">
        <v>0.25</v>
      </c>
      <c r="M55" s="204">
        <v>0.42</v>
      </c>
      <c r="N55" s="204">
        <v>0.44</v>
      </c>
      <c r="Q55" s="124"/>
    </row>
    <row r="56" spans="1:17">
      <c r="A56" s="124" t="s">
        <v>56</v>
      </c>
      <c r="B56" s="204">
        <v>1.58</v>
      </c>
      <c r="C56" s="204">
        <v>0.65</v>
      </c>
      <c r="D56" s="204">
        <v>0.11</v>
      </c>
      <c r="E56" s="204">
        <v>-0.34</v>
      </c>
      <c r="F56" s="204">
        <v>-0.67</v>
      </c>
      <c r="G56" s="204">
        <v>-0.57999999999999996</v>
      </c>
      <c r="H56" s="204">
        <v>-0.28999999999999998</v>
      </c>
      <c r="I56" s="204">
        <v>-0.33</v>
      </c>
      <c r="J56" s="204">
        <v>-0.52</v>
      </c>
      <c r="K56" s="204">
        <v>-0.25</v>
      </c>
      <c r="L56" s="204">
        <v>-0.24</v>
      </c>
      <c r="M56" s="204">
        <v>-0.51</v>
      </c>
      <c r="N56" s="204">
        <v>-0.33</v>
      </c>
      <c r="Q56" s="179"/>
    </row>
    <row r="57" spans="1:17">
      <c r="A57" s="124" t="s">
        <v>22</v>
      </c>
      <c r="B57" s="204">
        <v>-0.09</v>
      </c>
      <c r="C57" s="204">
        <v>-0.1</v>
      </c>
      <c r="D57" s="204">
        <v>-0.11</v>
      </c>
      <c r="E57" s="204">
        <v>-0.11</v>
      </c>
      <c r="F57" s="204">
        <v>-0.09</v>
      </c>
      <c r="G57" s="204">
        <v>-0.09</v>
      </c>
      <c r="H57" s="204">
        <v>-0.09</v>
      </c>
      <c r="I57" s="204">
        <v>-0.1</v>
      </c>
      <c r="J57" s="204">
        <v>-0.1</v>
      </c>
      <c r="K57" s="204">
        <v>-0.02</v>
      </c>
      <c r="L57" s="204">
        <v>-0.02</v>
      </c>
      <c r="M57" s="204">
        <v>-0.02</v>
      </c>
      <c r="N57" s="204">
        <v>-0.01</v>
      </c>
      <c r="Q57" s="124"/>
    </row>
    <row r="58" spans="1:17">
      <c r="A58" s="124" t="s">
        <v>57</v>
      </c>
      <c r="B58" s="204">
        <v>0.27</v>
      </c>
      <c r="C58" s="204">
        <v>0.18</v>
      </c>
      <c r="D58" s="204">
        <v>0.14000000000000001</v>
      </c>
      <c r="E58" s="204">
        <v>0.13</v>
      </c>
      <c r="F58" s="204">
        <v>0.15</v>
      </c>
      <c r="G58" s="204">
        <v>0.28000000000000003</v>
      </c>
      <c r="H58" s="204">
        <v>0.14000000000000001</v>
      </c>
      <c r="I58" s="204">
        <v>0.15</v>
      </c>
      <c r="J58" s="204">
        <v>0.14000000000000001</v>
      </c>
      <c r="K58" s="204">
        <v>0.18</v>
      </c>
      <c r="L58" s="204">
        <v>0.27</v>
      </c>
      <c r="M58" s="204">
        <v>0.24</v>
      </c>
      <c r="N58" s="204">
        <v>0.25</v>
      </c>
      <c r="Q58" s="179"/>
    </row>
    <row r="59" spans="1:17">
      <c r="A59" s="124" t="s">
        <v>196</v>
      </c>
      <c r="B59" s="204">
        <v>0</v>
      </c>
      <c r="C59" s="204">
        <v>0</v>
      </c>
      <c r="D59" s="204">
        <v>0</v>
      </c>
      <c r="E59" s="204">
        <v>0</v>
      </c>
      <c r="F59" s="204">
        <v>0</v>
      </c>
      <c r="G59" s="204">
        <v>0</v>
      </c>
      <c r="H59" s="204">
        <v>0</v>
      </c>
      <c r="I59" s="204">
        <v>0</v>
      </c>
      <c r="J59" s="204">
        <v>0</v>
      </c>
      <c r="K59" s="204">
        <v>0</v>
      </c>
      <c r="L59" s="204">
        <v>0</v>
      </c>
      <c r="M59" s="218"/>
      <c r="N59" s="218"/>
      <c r="Q59" s="124"/>
    </row>
    <row r="60" spans="1:17">
      <c r="A60" s="124" t="s">
        <v>58</v>
      </c>
      <c r="B60" s="204">
        <v>0.05</v>
      </c>
      <c r="C60" s="204">
        <v>0.05</v>
      </c>
      <c r="D60" s="204">
        <v>0.04</v>
      </c>
      <c r="E60" s="204">
        <v>0.04</v>
      </c>
      <c r="F60" s="204">
        <v>0.05</v>
      </c>
      <c r="G60" s="204">
        <v>0.04</v>
      </c>
      <c r="H60" s="204">
        <v>0.05</v>
      </c>
      <c r="I60" s="204">
        <v>0.05</v>
      </c>
      <c r="J60" s="204">
        <v>0.06</v>
      </c>
      <c r="K60" s="204">
        <v>0.04</v>
      </c>
      <c r="L60" s="204">
        <v>0.05</v>
      </c>
      <c r="M60" s="204">
        <v>0.05</v>
      </c>
      <c r="N60" s="204">
        <v>0.05</v>
      </c>
      <c r="Q60" s="179"/>
    </row>
    <row r="61" spans="1:17">
      <c r="A61" s="124" t="s">
        <v>194</v>
      </c>
      <c r="B61" s="204">
        <v>0</v>
      </c>
      <c r="C61" s="204">
        <v>0</v>
      </c>
      <c r="D61" s="204">
        <v>0</v>
      </c>
      <c r="E61" s="204">
        <v>0</v>
      </c>
      <c r="F61" s="204">
        <v>0</v>
      </c>
      <c r="G61" s="204">
        <v>0</v>
      </c>
      <c r="H61" s="204">
        <v>0</v>
      </c>
      <c r="I61" s="204">
        <v>0</v>
      </c>
      <c r="J61" s="204">
        <v>0</v>
      </c>
      <c r="K61" s="204">
        <v>0</v>
      </c>
      <c r="L61" s="204">
        <v>0</v>
      </c>
      <c r="M61" s="218"/>
      <c r="N61" s="218"/>
      <c r="Q61" s="124"/>
    </row>
    <row r="62" spans="1:17">
      <c r="A62" s="124" t="s">
        <v>182</v>
      </c>
      <c r="B62" s="204">
        <v>0</v>
      </c>
      <c r="C62" s="184">
        <v>0</v>
      </c>
      <c r="D62" s="184">
        <v>0</v>
      </c>
      <c r="E62" s="184">
        <v>0</v>
      </c>
      <c r="F62" s="205">
        <v>0</v>
      </c>
      <c r="G62" s="204">
        <v>0</v>
      </c>
      <c r="H62" s="204">
        <v>0</v>
      </c>
      <c r="I62" s="204">
        <v>0</v>
      </c>
      <c r="J62" s="184">
        <v>0</v>
      </c>
      <c r="K62" s="184">
        <v>0</v>
      </c>
      <c r="L62" s="207">
        <v>0</v>
      </c>
      <c r="M62" s="207"/>
      <c r="N62" s="207"/>
      <c r="Q62" s="179"/>
    </row>
    <row r="63" spans="1:17">
      <c r="A63" s="124" t="s">
        <v>183</v>
      </c>
      <c r="B63" s="204">
        <v>0</v>
      </c>
      <c r="C63" s="184">
        <v>0</v>
      </c>
      <c r="D63" s="184">
        <v>0</v>
      </c>
      <c r="E63" s="184">
        <v>0</v>
      </c>
      <c r="F63" s="205">
        <v>0</v>
      </c>
      <c r="G63" s="204">
        <v>0</v>
      </c>
      <c r="H63" s="204">
        <v>0</v>
      </c>
      <c r="I63" s="204">
        <v>0</v>
      </c>
      <c r="J63" s="184">
        <v>0</v>
      </c>
      <c r="K63" s="184">
        <v>0</v>
      </c>
      <c r="L63" s="207">
        <v>0</v>
      </c>
      <c r="M63" s="207"/>
      <c r="N63" s="207"/>
      <c r="Q63" s="179"/>
    </row>
    <row r="64" spans="1:17">
      <c r="A64" s="124" t="s">
        <v>184</v>
      </c>
      <c r="B64" s="204">
        <v>0</v>
      </c>
      <c r="C64" s="184">
        <v>0</v>
      </c>
      <c r="D64" s="184">
        <v>0</v>
      </c>
      <c r="E64" s="184">
        <v>0</v>
      </c>
      <c r="F64" s="205">
        <v>0</v>
      </c>
      <c r="G64" s="204">
        <v>0</v>
      </c>
      <c r="H64" s="204">
        <v>0</v>
      </c>
      <c r="I64" s="204">
        <v>0</v>
      </c>
      <c r="J64" s="184">
        <v>0</v>
      </c>
      <c r="K64" s="184">
        <v>0</v>
      </c>
      <c r="L64" s="207">
        <v>0</v>
      </c>
      <c r="M64" s="207"/>
      <c r="N64" s="207"/>
      <c r="O64" s="139">
        <f>(N67/M67-1)</f>
        <v>-0.5172944933970598</v>
      </c>
      <c r="P64" s="139">
        <f>(N67/B67-1)</f>
        <v>-0.66358828636830058</v>
      </c>
      <c r="Q64" s="179"/>
    </row>
    <row r="65" spans="1:17">
      <c r="A65" s="124" t="s">
        <v>185</v>
      </c>
      <c r="B65" s="204">
        <v>-1.1499999999999999</v>
      </c>
      <c r="C65" s="204">
        <v>-1.1299999999999999</v>
      </c>
      <c r="D65" s="204">
        <v>-1.17</v>
      </c>
      <c r="E65" s="204">
        <v>0</v>
      </c>
      <c r="F65" s="204">
        <v>-1.0999999999999999</v>
      </c>
      <c r="G65" s="204">
        <v>-1.08</v>
      </c>
      <c r="H65" s="204">
        <v>-1.04</v>
      </c>
      <c r="I65" s="204">
        <v>-1.21</v>
      </c>
      <c r="J65" s="204">
        <v>-1.29</v>
      </c>
      <c r="K65" s="204">
        <v>-1.1200000000000001</v>
      </c>
      <c r="L65" s="204">
        <v>-0.96</v>
      </c>
      <c r="M65" s="204">
        <v>-1.84</v>
      </c>
      <c r="N65" s="204">
        <v>-2.073</v>
      </c>
      <c r="Q65" s="179"/>
    </row>
    <row r="66" spans="1:17">
      <c r="A66" s="124" t="s">
        <v>241</v>
      </c>
      <c r="B66" s="204">
        <v>-0.01</v>
      </c>
      <c r="C66" s="201">
        <v>-0.01</v>
      </c>
      <c r="D66" s="206">
        <v>-0.01</v>
      </c>
      <c r="E66" s="206">
        <v>-0.01</v>
      </c>
      <c r="F66" s="206">
        <v>0</v>
      </c>
      <c r="G66" s="204">
        <v>-0.01</v>
      </c>
      <c r="H66" s="204">
        <v>-0.01</v>
      </c>
      <c r="I66" s="204">
        <v>-0.01</v>
      </c>
      <c r="J66" s="204">
        <v>-0.01</v>
      </c>
      <c r="K66" s="204">
        <v>-0.01</v>
      </c>
      <c r="L66" s="204">
        <v>-0.01</v>
      </c>
      <c r="M66" s="218">
        <v>-0.01</v>
      </c>
      <c r="N66" s="218">
        <v>-0.01</v>
      </c>
      <c r="Q66" s="179"/>
    </row>
    <row r="67" spans="1:17">
      <c r="A67" s="202" t="s">
        <v>59</v>
      </c>
      <c r="B67" s="219">
        <v>126.69</v>
      </c>
      <c r="C67" s="219">
        <v>71.03</v>
      </c>
      <c r="D67" s="219">
        <v>45.05</v>
      </c>
      <c r="E67" s="219">
        <v>42.81</v>
      </c>
      <c r="F67" s="219">
        <v>87.14</v>
      </c>
      <c r="G67" s="219">
        <v>85.03</v>
      </c>
      <c r="H67" s="219">
        <v>81.13</v>
      </c>
      <c r="I67" s="219">
        <v>77.290000000000006</v>
      </c>
      <c r="J67" s="219">
        <v>93.96</v>
      </c>
      <c r="K67" s="219">
        <v>76.516000000000005</v>
      </c>
      <c r="L67" s="219">
        <v>93.92</v>
      </c>
      <c r="M67" s="219">
        <v>88.293999999999997</v>
      </c>
      <c r="N67" s="219">
        <v>42.62</v>
      </c>
    </row>
    <row r="68" spans="1:17">
      <c r="A68" s="62"/>
      <c r="B68" s="62"/>
      <c r="C68" s="62"/>
      <c r="E68" s="62"/>
      <c r="F68" s="62"/>
      <c r="G68" s="62"/>
      <c r="H68" s="62"/>
      <c r="I68" s="62"/>
      <c r="J68" s="62"/>
      <c r="K68" s="62"/>
      <c r="L68" s="62"/>
      <c r="M68" s="62"/>
      <c r="N68" s="62"/>
    </row>
    <row r="69" spans="1:17">
      <c r="D69" s="62"/>
      <c r="N69" s="139">
        <f>N67/M67-1</f>
        <v>-0.5172944933970598</v>
      </c>
    </row>
    <row r="70" spans="1:17">
      <c r="D70" s="62"/>
      <c r="N70" s="139"/>
    </row>
    <row r="71" spans="1:17">
      <c r="D71" s="62"/>
      <c r="N71" s="139"/>
    </row>
    <row r="72" spans="1:17">
      <c r="D72" s="62"/>
      <c r="N72" s="139"/>
    </row>
    <row r="73" spans="1:17">
      <c r="N73" s="139"/>
    </row>
    <row r="74" spans="1:17">
      <c r="N74" s="139">
        <f>N67/B67-1</f>
        <v>-0.66358828636830058</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 t="shared" ref="B81:N81" si="1">MID(B43,6,1)</f>
        <v>F</v>
      </c>
      <c r="C81" s="91" t="str">
        <f t="shared" si="1"/>
        <v>M</v>
      </c>
      <c r="D81" s="91" t="str">
        <f t="shared" si="1"/>
        <v>A</v>
      </c>
      <c r="E81" s="91" t="str">
        <f t="shared" si="1"/>
        <v>M</v>
      </c>
      <c r="F81" s="91" t="str">
        <f t="shared" si="1"/>
        <v>J</v>
      </c>
      <c r="G81" s="91" t="str">
        <f t="shared" si="1"/>
        <v>J</v>
      </c>
      <c r="H81" s="91" t="str">
        <f t="shared" si="1"/>
        <v>A</v>
      </c>
      <c r="I81" s="91" t="str">
        <f t="shared" si="1"/>
        <v>S</v>
      </c>
      <c r="J81" s="91" t="str">
        <f t="shared" si="1"/>
        <v>O</v>
      </c>
      <c r="K81" s="91" t="str">
        <f t="shared" si="1"/>
        <v>N</v>
      </c>
      <c r="L81" s="91" t="str">
        <f t="shared" si="1"/>
        <v>D</v>
      </c>
      <c r="M81" s="91" t="str">
        <f t="shared" si="1"/>
        <v>E</v>
      </c>
      <c r="N81" s="91" t="str">
        <f t="shared" si="1"/>
        <v>F</v>
      </c>
    </row>
    <row r="82" spans="1:16">
      <c r="A82" s="87" t="s">
        <v>20</v>
      </c>
      <c r="B82" s="92">
        <f>VLOOKUP("Restricciones PBF",$A$45:$N$67,2,FALSE)</f>
        <v>4.07</v>
      </c>
      <c r="C82" s="92">
        <f>VLOOKUP("Restricciones PBF",$A$45:$N$67,3,FALSE)</f>
        <v>6.64</v>
      </c>
      <c r="D82" s="92">
        <f>VLOOKUP("Restricciones PBF",$A$45:$N$67,4,FALSE)</f>
        <v>11.26</v>
      </c>
      <c r="E82" s="92">
        <f>VLOOKUP("Restricciones PBF",$A$45:$N$67,5,FALSE)</f>
        <v>21.57</v>
      </c>
      <c r="F82" s="92">
        <f>VLOOKUP("Restricciones PBF",$A$45:$N$67,6,FALSE)</f>
        <v>9.6820000000000004</v>
      </c>
      <c r="G82" s="92">
        <f>VLOOKUP("Restricciones PBF",$A$45:$N$67,7,FALSE)</f>
        <v>8.4209999999999994</v>
      </c>
      <c r="H82" s="92">
        <f>VLOOKUP("Restricciones PBF",$A$45:$N$67,8,FALSE)</f>
        <v>8.34</v>
      </c>
      <c r="I82" s="92">
        <f>VLOOKUP("Restricciones PBF",$A$45:$N$67,9,FALSE)</f>
        <v>10.050000000000001</v>
      </c>
      <c r="J82" s="92">
        <f>VLOOKUP("Restricciones PBF",$A$45:$N$67,10,FALSE)</f>
        <v>11.09</v>
      </c>
      <c r="K82" s="92">
        <f>VLOOKUP("Restricciones PBF",$A$45:$N$67,11,FALSE)</f>
        <v>13.153</v>
      </c>
      <c r="L82" s="92">
        <f>VLOOKUP("Restricciones PBF",$A$45:$N$67,12,FALSE)</f>
        <v>11.436</v>
      </c>
      <c r="M82" s="92">
        <f>VLOOKUP("Restricciones PBF",$A$45:$N$67,13,FALSE)</f>
        <v>12.038</v>
      </c>
      <c r="N82" s="92">
        <f>VLOOKUP("Restricciones PBF",$A$45:$N$67,14,FALSE)</f>
        <v>22.05</v>
      </c>
    </row>
    <row r="83" spans="1:16">
      <c r="A83" s="87" t="s">
        <v>24</v>
      </c>
      <c r="B83" s="92">
        <f>VLOOKUP("Restricciones TR",$A$45:$N$67,2,FALSE)</f>
        <v>7.08</v>
      </c>
      <c r="C83" s="92">
        <f>VLOOKUP("Restricciones TR",$A$45:$N$67,3,FALSE)</f>
        <v>5.85</v>
      </c>
      <c r="D83" s="92">
        <f>VLOOKUP("Restricciones TR",$A$45:$N$67,4,FALSE)</f>
        <v>4.2830000000000004</v>
      </c>
      <c r="E83" s="92">
        <f>VLOOKUP("Restricciones TR",$A$45:$N$67,5,FALSE)</f>
        <v>2.88</v>
      </c>
      <c r="F83" s="92">
        <f>VLOOKUP("Restricciones TR",$A$45:$N$67,6,FALSE)</f>
        <v>4.5199999999999996</v>
      </c>
      <c r="G83" s="92">
        <f>VLOOKUP("Restricciones TR",$A$45:$N$67,7,FALSE)</f>
        <v>4.8019999999999996</v>
      </c>
      <c r="H83" s="92">
        <f>VLOOKUP("Restricciones TR",$A$45:$N$67,8,FALSE)</f>
        <v>3.04</v>
      </c>
      <c r="I83" s="92">
        <f>VLOOKUP("Restricciones TR",$A$45:$N$67,9,FALSE)</f>
        <v>4.45</v>
      </c>
      <c r="J83" s="92">
        <f>VLOOKUP("Restricciones TR",$A$45:$N$67,10,FALSE)</f>
        <v>4.79</v>
      </c>
      <c r="K83" s="92">
        <f>VLOOKUP("Restricciones TR",$A$45:$N$67,11,FALSE)</f>
        <v>1.27</v>
      </c>
      <c r="L83" s="92">
        <f>VLOOKUP("Restricciones TR",$A$45:$N$67,12,FALSE)</f>
        <v>1.26</v>
      </c>
      <c r="M83" s="92">
        <f>VLOOKUP("Restricciones TR",$A$45:$N$67,13,FALSE)</f>
        <v>1.87</v>
      </c>
      <c r="N83" s="92">
        <f>VLOOKUP("Restricciones TR",$A$45:$N$67,14,FALSE)</f>
        <v>1.45</v>
      </c>
    </row>
    <row r="84" spans="1:16">
      <c r="A84" s="87" t="s">
        <v>289</v>
      </c>
      <c r="B84" s="92">
        <f>B53</f>
        <v>4.63</v>
      </c>
      <c r="C84" s="92">
        <f t="shared" ref="C84:N84" si="2">C53</f>
        <v>3.6</v>
      </c>
      <c r="D84" s="92">
        <f t="shared" si="2"/>
        <v>2.79</v>
      </c>
      <c r="E84" s="92">
        <f t="shared" si="2"/>
        <v>0</v>
      </c>
      <c r="F84" s="92">
        <f t="shared" si="2"/>
        <v>2.33</v>
      </c>
      <c r="G84" s="92">
        <f t="shared" si="2"/>
        <v>2.85</v>
      </c>
      <c r="H84" s="92">
        <f t="shared" si="2"/>
        <v>3.13</v>
      </c>
      <c r="I84" s="92">
        <f t="shared" si="2"/>
        <v>3.4999999999999996</v>
      </c>
      <c r="J84" s="92">
        <f t="shared" si="2"/>
        <v>3.5159999999999996</v>
      </c>
      <c r="K84" s="92">
        <f t="shared" si="2"/>
        <v>2.85</v>
      </c>
      <c r="L84" s="92">
        <f t="shared" si="2"/>
        <v>2.1800000000000002</v>
      </c>
      <c r="M84" s="92">
        <f t="shared" si="2"/>
        <v>2.95</v>
      </c>
      <c r="N84" s="92">
        <f t="shared" si="2"/>
        <v>3.04</v>
      </c>
    </row>
    <row r="85" spans="1:16">
      <c r="A85" s="87" t="s">
        <v>54</v>
      </c>
      <c r="B85" s="92">
        <f>VLOOKUP("Incumplimiento energía balance",$A$45:$N$67,2,FALSE)</f>
        <v>-0.8</v>
      </c>
      <c r="C85" s="92">
        <f>VLOOKUP("Incumplimiento energía balance",$A$45:$N$67,3,FALSE)</f>
        <v>-0.6</v>
      </c>
      <c r="D85" s="92">
        <f>VLOOKUP("Incumplimiento energía balance",$A$45:$N$67,4,FALSE)</f>
        <v>-0.42</v>
      </c>
      <c r="E85" s="92">
        <f>VLOOKUP("Incumplimiento energía balance",$A$45:$N$67,5,FALSE)</f>
        <v>-0.19</v>
      </c>
      <c r="F85" s="92">
        <f>VLOOKUP("Incumplimiento energía balance",$A$45:$N$67,6,FALSE)</f>
        <v>-0.49</v>
      </c>
      <c r="G85" s="92">
        <f>VLOOKUP("Incumplimiento energía balance",$A$45:$N$67,7,FALSE)</f>
        <v>-0.39</v>
      </c>
      <c r="H85" s="92">
        <f>VLOOKUP("Incumplimiento energía balance",$A$45:$N$67,8,FALSE)</f>
        <v>-0.4</v>
      </c>
      <c r="I85" s="92">
        <f>VLOOKUP("Incumplimiento energía balance",$A$45:$N$67,9,FALSE)</f>
        <v>-0.4</v>
      </c>
      <c r="J85" s="92">
        <f>VLOOKUP("Incumplimiento energía balance",$A$45:$N$67,10,FALSE)</f>
        <v>-0.42</v>
      </c>
      <c r="K85" s="92">
        <f>VLOOKUP("Incumplimiento energía balance",$A$45:$N$67,11,FALSE)</f>
        <v>-0.26</v>
      </c>
      <c r="L85" s="92">
        <f>VLOOKUP("Incumplimiento energía balance",$A$45:$N$67,12,FALSE)</f>
        <v>-0.28000000000000003</v>
      </c>
      <c r="M85" s="92">
        <f>VLOOKUP("Incumplimiento energía balance",$A$45:$N$67,13,FALSE)</f>
        <v>-0.36</v>
      </c>
      <c r="N85" s="92">
        <f>VLOOKUP("Incumplimiento energía balance",$A$45:$N$67,14,FALSE)</f>
        <v>-0.16</v>
      </c>
    </row>
    <row r="86" spans="1:16">
      <c r="A86" s="87" t="s">
        <v>55</v>
      </c>
      <c r="B86" s="92">
        <f>VLOOKUP("Coste desvíos",$A$45:$N$67,2,FALSE)</f>
        <v>0.45</v>
      </c>
      <c r="C86" s="92">
        <f>VLOOKUP("Coste desvíos",$A$45:$N$67,3,FALSE)</f>
        <v>0.48</v>
      </c>
      <c r="D86" s="92">
        <f>VLOOKUP("Coste desvíos",$A$45:$N$67,4,FALSE)</f>
        <v>0.48299999999999998</v>
      </c>
      <c r="E86" s="92">
        <f>VLOOKUP("Coste desvíos",$A$45:$N$67,5,FALSE)</f>
        <v>0.28999999999999998</v>
      </c>
      <c r="F86" s="92">
        <f>VLOOKUP("Coste desvíos",$A$45:$N$67,6,FALSE)</f>
        <v>0.42</v>
      </c>
      <c r="G86" s="92">
        <f>VLOOKUP("Coste desvíos",$A$45:$N$67,7,FALSE)</f>
        <v>0.49</v>
      </c>
      <c r="H86" s="92">
        <f>VLOOKUP("Coste desvíos",$A$45:$N$67,8,FALSE)</f>
        <v>0.38</v>
      </c>
      <c r="I86" s="92">
        <f>VLOOKUP("Coste desvíos",$A$45:$N$67,9,FALSE)</f>
        <v>0.43</v>
      </c>
      <c r="J86" s="92">
        <f>VLOOKUP("Coste desvíos",$A$45:$N$67,10,FALSE)</f>
        <v>0.26</v>
      </c>
      <c r="K86" s="92">
        <f>VLOOKUP("Coste desvíos",$A$45:$N$67,11,FALSE)</f>
        <v>0.37</v>
      </c>
      <c r="L86" s="92">
        <f>VLOOKUP("Coste desvíos",$A$45:$N$67,12,FALSE)</f>
        <v>0.25</v>
      </c>
      <c r="M86" s="92">
        <f>VLOOKUP("Coste desvíos",$A$45:$N$67,13,FALSE)</f>
        <v>0.42</v>
      </c>
      <c r="N86" s="92">
        <f>VLOOKUP("Coste desvíos",$A$45:$N$67,14,FALSE)</f>
        <v>0.44</v>
      </c>
    </row>
    <row r="87" spans="1:16">
      <c r="A87" s="87" t="s">
        <v>56</v>
      </c>
      <c r="B87" s="92">
        <f>VLOOKUP("Saldo desvíos",$A$45:$N$67,2,FALSE)</f>
        <v>1.58</v>
      </c>
      <c r="C87" s="92">
        <f>VLOOKUP("Saldo desvíos",$A$45:$N$67,3,FALSE)</f>
        <v>0.65</v>
      </c>
      <c r="D87" s="92">
        <f>VLOOKUP("Saldo desvíos",$A$45:$N$67,4,FALSE)</f>
        <v>0.11</v>
      </c>
      <c r="E87" s="92">
        <f>VLOOKUP("Saldo desvíos",$A$45:$N$67,5,FALSE)</f>
        <v>-0.34</v>
      </c>
      <c r="F87" s="92">
        <f>VLOOKUP("Saldo desvíos",$A$45:$N$67,6,FALSE)</f>
        <v>-0.67</v>
      </c>
      <c r="G87" s="92">
        <f>VLOOKUP("Saldo desvíos",$A$45:$N$67,7,FALSE)</f>
        <v>-0.57999999999999996</v>
      </c>
      <c r="H87" s="92">
        <f>VLOOKUP("Saldo desvíos",$A$45:$N$67,8,FALSE)</f>
        <v>-0.28999999999999998</v>
      </c>
      <c r="I87" s="92">
        <f>VLOOKUP("Saldo desvíos",$A$45:$N$67,9,FALSE)</f>
        <v>-0.33</v>
      </c>
      <c r="J87" s="92">
        <f>VLOOKUP("Saldo desvíos",$A$45:$N$67,10,FALSE)</f>
        <v>-0.52</v>
      </c>
      <c r="K87" s="92">
        <f>VLOOKUP("Saldo desvíos",$A$45:$N$67,11,FALSE)</f>
        <v>-0.25</v>
      </c>
      <c r="L87" s="92">
        <f>VLOOKUP("Saldo desvíos",$A$45:$N$67,12,FALSE)</f>
        <v>-0.24</v>
      </c>
      <c r="M87" s="92">
        <f>VLOOKUP("Saldo desvíos",$A$45:$N$67,13,FALSE)</f>
        <v>-0.51</v>
      </c>
      <c r="N87" s="92">
        <f>VLOOKUP("Saldo desvíos",$A$45:$N$67,14,FALSE)</f>
        <v>-0.33</v>
      </c>
    </row>
    <row r="88" spans="1:16">
      <c r="A88" s="87" t="s">
        <v>22</v>
      </c>
      <c r="B88" s="92">
        <f>VLOOKUP("Control del factor de potencia",$A$45:$N$67,2,FALSE)</f>
        <v>-0.09</v>
      </c>
      <c r="C88" s="92">
        <f>VLOOKUP("Control del factor de potencia",$A$45:$N$67,3,FALSE)</f>
        <v>-0.1</v>
      </c>
      <c r="D88" s="92">
        <f>VLOOKUP("Control del factor de potencia",$A$45:$N$67,4,FALSE)</f>
        <v>-0.11</v>
      </c>
      <c r="E88" s="92">
        <f>VLOOKUP("Control del factor de potencia",$A$45:$N$67,5,FALSE)</f>
        <v>-0.11</v>
      </c>
      <c r="F88" s="92">
        <f>VLOOKUP("Control del factor de potencia",$A$45:$N$67,6,FALSE)</f>
        <v>-0.09</v>
      </c>
      <c r="G88" s="92">
        <f>VLOOKUP("Control del factor de potencia",$A$45:$N$67,7,FALSE)</f>
        <v>-0.09</v>
      </c>
      <c r="H88" s="92">
        <f>VLOOKUP("Control del factor de potencia",$A$45:$N$67,8,FALSE)</f>
        <v>-0.09</v>
      </c>
      <c r="I88" s="92">
        <f>VLOOKUP("Control del factor de potencia",$A$45:$N$67,9,FALSE)</f>
        <v>-0.1</v>
      </c>
      <c r="J88" s="92">
        <f>VLOOKUP("Control del factor de potencia",$A$45:$N$67,10,FALSE)</f>
        <v>-0.1</v>
      </c>
      <c r="K88" s="92">
        <f>VLOOKUP("Control del factor de potencia",$A$45:$N$67,11,FALSE)</f>
        <v>-0.02</v>
      </c>
      <c r="L88" s="92">
        <f>VLOOKUP("Control del factor de potencia",$A$45:$N$67,12,FALSE)</f>
        <v>-0.02</v>
      </c>
      <c r="M88" s="92">
        <f>VLOOKUP("Control del factor de potencia",$A$45:$N$67,13,FALSE)</f>
        <v>-0.02</v>
      </c>
      <c r="N88" s="92">
        <f>VLOOKUP("Control del factor de potencia",$A$45:$N$67,14,FALSE)</f>
        <v>-0.01</v>
      </c>
    </row>
    <row r="89" spans="1:16">
      <c r="A89" s="87" t="s">
        <v>201</v>
      </c>
      <c r="B89" s="92">
        <f>VLOOKUP("Servicio RAD",$A$45:$N$67,2,FALSE)+VLOOKUP("Ingreso control de tensión",$A$45:$N$67,2,FALSE)</f>
        <v>-1.1599999999999999</v>
      </c>
      <c r="C89" s="92">
        <f>VLOOKUP("Servicio RAD",$A$45:$N$67,3,FALSE)+VLOOKUP("Ingreso control de tensión",$A$45:$N$67,3,FALSE)</f>
        <v>-1.1399999999999999</v>
      </c>
      <c r="D89" s="92">
        <f>VLOOKUP("Servicio RAD",$A$45:$N$67,4,FALSE)+VLOOKUP("Ingreso control de tensión",$A$45:$N$67,4,FALSE)</f>
        <v>-1.18</v>
      </c>
      <c r="E89" s="92">
        <f>VLOOKUP("Servicio RAD",$A$45:$N$67,5,FALSE)+VLOOKUP("Ingreso control de tensión",$A$45:$N$67,5,FALSE)</f>
        <v>-0.01</v>
      </c>
      <c r="F89" s="92">
        <f>VLOOKUP("Servicio RAD",$A$45:$N$67,6,FALSE)+VLOOKUP("Ingreso control de tensión",$A$45:$N$67,6,FALSE)</f>
        <v>-1.0999999999999999</v>
      </c>
      <c r="G89" s="92">
        <f>VLOOKUP("Servicio RAD",$A$45:$N$67,7,FALSE)+VLOOKUP("Ingreso control de tensión",$A$45:$N$67,7,FALSE)</f>
        <v>-1.0900000000000001</v>
      </c>
      <c r="H89" s="92">
        <f>VLOOKUP("Servicio RAD",$A$45:$N$67,8,FALSE)+VLOOKUP("Ingreso control de tensión",$A$45:$N$67,8,FALSE)</f>
        <v>-1.05</v>
      </c>
      <c r="I89" s="92">
        <f>VLOOKUP("Servicio RAD",$A$45:$N$67,9,FALSE)+VLOOKUP("Ingreso control de tensión",$A$45:$N$67,9,FALSE)</f>
        <v>-1.22</v>
      </c>
      <c r="J89" s="92">
        <f>VLOOKUP("Servicio RAD",$A$45:$N$67,10,FALSE)+VLOOKUP("Ingreso control de tensión",$A$45:$N$67,10,FALSE)</f>
        <v>-1.3</v>
      </c>
      <c r="K89" s="92">
        <f>VLOOKUP("Servicio RAD",$A$45:$N$67,11,FALSE)+VLOOKUP("Ingreso control de tensión",$A$45:$N$67,11,FALSE)</f>
        <v>-1.1300000000000001</v>
      </c>
      <c r="L89" s="92">
        <f>VLOOKUP("Servicio RAD",$A$45:$N$67,12,FALSE)+VLOOKUP("Ingreso control de tensión",$A$45:$N$67,12,FALSE)</f>
        <v>-0.97</v>
      </c>
      <c r="M89" s="92">
        <f>VLOOKUP("Servicio RAD",$A$45:$N$67,13,FALSE)+VLOOKUP("Ingreso control de tensión",$A$45:$N$67,13,FALSE)</f>
        <v>-1.85</v>
      </c>
      <c r="N89" s="92">
        <f>VLOOKUP("Servicio RAD",$A$45:$N$67,14,FALSE)+VLOOKUP("Ingreso control de tensión",$A$45:$N$67,14,FALSE)</f>
        <v>-2.0829999999999997</v>
      </c>
    </row>
    <row r="90" spans="1:16" ht="12" customHeight="1">
      <c r="A90" s="88" t="s">
        <v>58</v>
      </c>
      <c r="B90" s="93">
        <f>VLOOKUP("Saldo PO 14.6",$A$45:$N$67,2,FALSE)</f>
        <v>0.05</v>
      </c>
      <c r="C90" s="93">
        <f>VLOOKUP("Saldo PO 14.6",$A$45:$N$67,3,FALSE)</f>
        <v>0.05</v>
      </c>
      <c r="D90" s="93">
        <f>VLOOKUP("Saldo PO 14.6",$A$45:$N$67,4,FALSE)</f>
        <v>0.04</v>
      </c>
      <c r="E90" s="93">
        <f>VLOOKUP("Saldo PO 14.6",$A$45:$N$67,5,FALSE)</f>
        <v>0.04</v>
      </c>
      <c r="F90" s="93">
        <f>VLOOKUP("Saldo PO 14.6",$A$45:$N$67,6,FALSE)</f>
        <v>0.05</v>
      </c>
      <c r="G90" s="93">
        <f>VLOOKUP("Saldo PO 14.6",$A$45:$N$67,7,FALSE)</f>
        <v>0.04</v>
      </c>
      <c r="H90" s="93">
        <f>VLOOKUP("Saldo PO 14.6",$A$45:$N$67,8,FALSE)</f>
        <v>0.05</v>
      </c>
      <c r="I90" s="93">
        <f>VLOOKUP("Saldo PO 14.6",$A$45:$N$67,9,FALSE)</f>
        <v>0.05</v>
      </c>
      <c r="J90" s="93">
        <f>VLOOKUP("Saldo PO 14.6",$A$45:$N$67,10,FALSE)</f>
        <v>0.06</v>
      </c>
      <c r="K90" s="93">
        <f>VLOOKUP("Saldo PO 14.6",$A$45:$N$67,11,FALSE)</f>
        <v>0.04</v>
      </c>
      <c r="L90" s="93">
        <f>VLOOKUP("Saldo PO 14.6",$A$45:$N$67,12,FALSE)</f>
        <v>0.05</v>
      </c>
      <c r="M90" s="93">
        <f>VLOOKUP("Saldo PO 14.6",$A$45:$N$67,13,FALSE)</f>
        <v>0.05</v>
      </c>
      <c r="N90" s="93">
        <f>VLOOKUP("Saldo PO 14.6",$A$45:$N$67,14,FALSE)</f>
        <v>0.05</v>
      </c>
      <c r="O90" s="139">
        <f>(SUM(N82:N90)/SUM(B82:B90)-1)</f>
        <v>0.54629981024667962</v>
      </c>
      <c r="P90" s="149">
        <f>O90*100</f>
        <v>54.629981024667963</v>
      </c>
    </row>
    <row r="91" spans="1:16">
      <c r="L91" s="62"/>
      <c r="M91" s="62"/>
      <c r="N91" s="62">
        <f>SUM(N82:N90)</f>
        <v>24.447000000000003</v>
      </c>
    </row>
    <row r="92" spans="1:16">
      <c r="A92" s="106" t="s">
        <v>38</v>
      </c>
      <c r="B92" s="85"/>
      <c r="C92" s="85"/>
      <c r="D92" s="85"/>
      <c r="E92" s="85"/>
      <c r="F92" s="85"/>
      <c r="G92" s="85"/>
      <c r="H92" s="85"/>
      <c r="I92" s="85"/>
      <c r="J92" s="85"/>
      <c r="K92" s="85"/>
      <c r="L92" s="85"/>
      <c r="N92" s="139"/>
    </row>
    <row r="93" spans="1:16" ht="39.65"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Diario",$A$45:$N$60,14,FALSE)</f>
        <v>18.09</v>
      </c>
      <c r="C94" s="104">
        <f>VLOOKUP("Mercado Intradiario",$A$45:$N$60,14,FALSE)</f>
        <v>-0.17</v>
      </c>
      <c r="D94" s="104">
        <f>SUM(B94:C94)</f>
        <v>17.919999999999998</v>
      </c>
      <c r="E94" s="104">
        <f>VLOOKUP("Pago capacidad",$A$45:$N$60,14,FALSE)</f>
        <v>0.25</v>
      </c>
      <c r="F94" s="104">
        <f>VLOOKUP("Mecanismo Ajuste RD-L10/2022 Coste OM",$A$45:$N$67,14,FALSE)+VLOOKUP("Mecanismo Ajuste RD-L10/2022 Coste OS",$A$45:$N$67,14,FALSE)+VLOOKUP("Mecanismo Ajuste RD-L10/2022 Ajuste OS",$A$45:$N$67,14,FALSE)</f>
        <v>0</v>
      </c>
      <c r="G94" s="104">
        <f>E465</f>
        <v>24.447000000000003</v>
      </c>
      <c r="H94" s="104">
        <f>VLOOKUP("Restricciones PBF",$A$45:$N$60,14,FALSE)</f>
        <v>22.05</v>
      </c>
      <c r="I94" s="104">
        <f>N84</f>
        <v>3.04</v>
      </c>
      <c r="J94" s="104">
        <f>N83+N85+N86+N87+N88+N89+N90</f>
        <v>-0.64299999999999979</v>
      </c>
      <c r="K94" s="104">
        <f>N67</f>
        <v>42.62</v>
      </c>
      <c r="L94" s="110">
        <f>K94-SUM(D94:G94)</f>
        <v>2.9999999999930083E-3</v>
      </c>
    </row>
    <row r="95" spans="1:16">
      <c r="A95" s="84"/>
      <c r="B95" s="84"/>
      <c r="C95" s="84"/>
      <c r="D95" s="174">
        <f>D94/$K$94</f>
        <v>0.42045987799155327</v>
      </c>
      <c r="E95" s="174">
        <f>E94/$K$94</f>
        <v>5.8657907085875177E-3</v>
      </c>
      <c r="F95" s="174">
        <f>F94/$K$94</f>
        <v>0</v>
      </c>
      <c r="G95" s="189">
        <f>G94/$K$94</f>
        <v>0.57360394181135632</v>
      </c>
    </row>
    <row r="96" spans="1:16">
      <c r="A96" s="84" t="s">
        <v>124</v>
      </c>
      <c r="B96" s="84"/>
      <c r="C96" s="84"/>
      <c r="D96" s="84"/>
      <c r="E96" s="84"/>
      <c r="F96" s="84"/>
      <c r="G96" s="84"/>
    </row>
    <row r="97" spans="1:7">
      <c r="A97" s="156"/>
      <c r="B97" s="157"/>
      <c r="C97" s="176" t="str">
        <f>N43</f>
        <v>2026 Febrero</v>
      </c>
      <c r="D97" s="145"/>
      <c r="E97" s="156"/>
      <c r="F97" s="157"/>
      <c r="G97" s="150" t="str">
        <f>B43</f>
        <v>2025 Febrero</v>
      </c>
    </row>
    <row r="98" spans="1:7">
      <c r="A98" s="121" t="s">
        <v>49</v>
      </c>
      <c r="B98" s="92"/>
      <c r="C98" s="92">
        <f>IF(VLOOKUP(A98,Dat_01!$A$46:$N$67,14,FALSE)=0,"-",VLOOKUP(A98,Dat_01!$A$46:$N$67,14,FALSE)*Dat_01!$N$45)</f>
        <v>427469587.93350005</v>
      </c>
      <c r="D98" s="92"/>
      <c r="E98" s="121" t="s">
        <v>49</v>
      </c>
      <c r="F98" s="92"/>
      <c r="G98" s="92">
        <f>IF(VLOOKUP(E98,Dat_01!$A$45:$N$67,2,FALSE)=0,"-",VLOOKUP(E98,Dat_01!$A$45:$N$67,2,FALSE)*Dat_01!$B$45)</f>
        <v>78318659.418339998</v>
      </c>
    </row>
    <row r="99" spans="1:7">
      <c r="A99" s="121" t="s">
        <v>50</v>
      </c>
      <c r="B99" s="92"/>
      <c r="C99" s="92">
        <f>IF(VLOOKUP(A99,Dat_01!$A$45:$N$67,14,FALSE)=0,"-",VLOOKUP(A99,Dat_01!$A$45:$N$67,14,FALSE)*Dat_01!$N$45)</f>
        <v>28110245.011500001</v>
      </c>
      <c r="D99" s="92"/>
      <c r="E99" s="121" t="s">
        <v>50</v>
      </c>
      <c r="F99" s="92"/>
      <c r="G99" s="92">
        <f>IF(VLOOKUP(E99,Dat_01!$A$45:$N$67,2,FALSE)=0,"-",VLOOKUP(E99,Dat_01!$A$45:$N$67,2,FALSE)*Dat_01!$B$45)</f>
        <v>136239830.14296001</v>
      </c>
    </row>
    <row r="100" spans="1:7">
      <c r="A100" s="121" t="s">
        <v>53</v>
      </c>
      <c r="B100" s="92"/>
      <c r="C100" s="92" t="str">
        <f>IF(VLOOKUP(A100,Dat_01!$A$45:$N$67,14,FALSE)=0,"-",VLOOKUP(A100,Dat_01!$A$45:$N$67,14,FALSE)*Dat_01!$N$45)</f>
        <v>-</v>
      </c>
      <c r="D100" s="92"/>
      <c r="E100" s="121" t="s">
        <v>53</v>
      </c>
      <c r="F100" s="92"/>
      <c r="G100" s="92" t="str">
        <f>IF(VLOOKUP(E100,Dat_01!$A$45:$N$67,2,FALSE)=0,"-",VLOOKUP(E100,Dat_01!$A$45:$N$67,2,FALSE)*Dat_01!$B$45)</f>
        <v>-</v>
      </c>
    </row>
    <row r="101" spans="1:7">
      <c r="A101" s="87" t="s">
        <v>289</v>
      </c>
      <c r="B101" s="92"/>
      <c r="C101" s="92">
        <f>IF(VLOOKUP(A101,Dat_01!$A$45:$N$67,14,FALSE)=0,"-",VLOOKUP(A101,Dat_01!$A$45:$N$67,14,FALSE)*Dat_01!$N$45)</f>
        <v>58934582.644800007</v>
      </c>
      <c r="D101" s="92"/>
      <c r="E101" s="87" t="s">
        <v>289</v>
      </c>
      <c r="F101" s="92"/>
      <c r="G101" s="92">
        <f>IF(VLOOKUP(E101,Dat_01!$A$45:$N$67,2,FALSE)=0,"-",VLOOKUP(E101,Dat_01!$A$45:$N$67,2,FALSE)*Dat_01!$B$45)</f>
        <v>89094691.181060001</v>
      </c>
    </row>
    <row r="102" spans="1:7">
      <c r="A102" s="121" t="s">
        <v>55</v>
      </c>
      <c r="B102" s="92"/>
      <c r="C102" s="92">
        <f>IF(VLOOKUP(A102,Dat_01!$A$45:$N$67,14,FALSE)=0,"-",VLOOKUP(A102,Dat_01!$A$45:$N$67,14,FALSE)*Dat_01!$N$45)</f>
        <v>8530005.3827999998</v>
      </c>
      <c r="D102" s="92"/>
      <c r="E102" s="121" t="s">
        <v>55</v>
      </c>
      <c r="F102" s="92"/>
      <c r="G102" s="92">
        <f>IF(VLOOKUP(E102,Dat_01!$A$45:$N$67,2,FALSE)=0,"-",VLOOKUP(E102,Dat_01!$A$45:$N$67,2,FALSE)*Dat_01!$B$45)</f>
        <v>8659311.2379000001</v>
      </c>
    </row>
    <row r="103" spans="1:7">
      <c r="A103" s="121" t="s">
        <v>54</v>
      </c>
      <c r="B103" s="92"/>
      <c r="C103" s="92">
        <f>IF(VLOOKUP(A103,Dat_01!$A$45:$N$67,14,FALSE)=0,"-",VLOOKUP(A103,Dat_01!$A$45:$N$67,14,FALSE)*Dat_01!$N$45)</f>
        <v>-3101820.1392000001</v>
      </c>
      <c r="D103" s="92"/>
      <c r="E103" s="121" t="s">
        <v>54</v>
      </c>
      <c r="F103" s="92"/>
      <c r="G103" s="92">
        <f>IF(VLOOKUP(E103,Dat_01!$A$45:$N$67,2,FALSE)=0,"-",VLOOKUP(E103,Dat_01!$A$45:$N$67,2,FALSE)*Dat_01!$B$45)</f>
        <v>-15394331.089600001</v>
      </c>
    </row>
    <row r="104" spans="1:7">
      <c r="A104" s="121" t="s">
        <v>56</v>
      </c>
      <c r="B104" s="92"/>
      <c r="C104" s="92">
        <f>IF(VLOOKUP(A104,Dat_01!$A$45:$N$67,14,FALSE)=0,"-",VLOOKUP(A104,Dat_01!$A$45:$N$67,14,FALSE)*Dat_01!$N$45)</f>
        <v>-6397504.0371000003</v>
      </c>
      <c r="D104" s="92"/>
      <c r="E104" s="121" t="s">
        <v>56</v>
      </c>
      <c r="F104" s="92"/>
      <c r="G104" s="92">
        <f>IF(VLOOKUP(E104,Dat_01!$A$45:$N$67,2,FALSE)=0,"-",VLOOKUP(E104,Dat_01!$A$45:$N$67,2,FALSE)*Dat_01!$B$45)</f>
        <v>30403803.90196</v>
      </c>
    </row>
    <row r="105" spans="1:7">
      <c r="A105" s="121" t="s">
        <v>58</v>
      </c>
      <c r="B105" s="92"/>
      <c r="C105" s="92">
        <f>IF(VLOOKUP(A105,Dat_01!$A$45:$N$67,14,FALSE)=0,"-",VLOOKUP(A105,Dat_01!$A$45:$N$67,14,FALSE)*Dat_01!$N$45)</f>
        <v>969318.79350000015</v>
      </c>
      <c r="D105" s="92"/>
      <c r="E105" s="121" t="s">
        <v>58</v>
      </c>
      <c r="F105" s="92"/>
      <c r="G105" s="92">
        <f>IF(VLOOKUP(E105,Dat_01!$A$45:$N$67,2,FALSE)=0,"-",VLOOKUP(E105,Dat_01!$A$45:$N$67,2,FALSE)*Dat_01!$B$45)</f>
        <v>962145.69310000003</v>
      </c>
    </row>
    <row r="106" spans="1:7">
      <c r="A106" s="121" t="s">
        <v>201</v>
      </c>
      <c r="B106" s="92"/>
      <c r="C106" s="92">
        <f>IF(VLOOKUP($A$114,Dat_01!$A$45:$N$67,14,FALSE)+VLOOKUP($A$115,Dat_01!$A$45:$N$67,14,FALSE)=0,"-",(VLOOKUP($A$114,Dat_01!$A$45:$N$67,14,FALSE)+VLOOKUP($A$115,Dat_01!$A$45:$N$67,14,FALSE))*Dat_01!$N$45)</f>
        <v>-40381820.937209994</v>
      </c>
      <c r="D106" s="92"/>
      <c r="E106" s="121" t="s">
        <v>201</v>
      </c>
      <c r="F106" s="92"/>
      <c r="G106" s="92">
        <f>IF(VLOOKUP($A$114,Dat_01!$A$45:$N$67,2,FALSE)+VLOOKUP($A$115,Dat_01!$A$45:$N$67,2,FALSE)=0,"-",(VLOOKUP($A$114,Dat_01!$A$45:$N$67,2,FALSE)+VLOOKUP($A$115,Dat_01!$A$45:$N$67,2,FALSE))*Dat_01!$B$45)</f>
        <v>-22321780.079919998</v>
      </c>
    </row>
    <row r="107" spans="1:7">
      <c r="A107" s="88" t="s">
        <v>22</v>
      </c>
      <c r="B107" s="120"/>
      <c r="C107" s="131">
        <f>IF(VLOOKUP(A107,Dat_01!$A$45:$N$67,14,FALSE)=0,"-",VLOOKUP(A107,Dat_01!$A$45:$N$67,14,FALSE)*Dat_01!$N$45)</f>
        <v>-193863.75870000001</v>
      </c>
      <c r="D107" s="88"/>
      <c r="E107" s="88" t="s">
        <v>22</v>
      </c>
      <c r="F107" s="88"/>
      <c r="G107" s="131">
        <f>IF(VLOOKUP(E107,Dat_01!$A$45:$N$67,2,FALSE)=0,"-",VLOOKUP(E107,Dat_01!$A$45:$N$67,2,FALSE)*Dat_01!$B$45)</f>
        <v>-1731862.24758</v>
      </c>
    </row>
    <row r="109" spans="1:7" ht="12.65" customHeight="1">
      <c r="A109" s="209"/>
    </row>
    <row r="110" spans="1:7" ht="12.65" customHeight="1">
      <c r="A110" s="187" t="s">
        <v>195</v>
      </c>
    </row>
    <row r="111" spans="1:7" ht="12.65" customHeight="1">
      <c r="A111" s="187" t="s">
        <v>193</v>
      </c>
    </row>
    <row r="112" spans="1:7" ht="12.65" customHeight="1">
      <c r="A112" s="187" t="s">
        <v>197</v>
      </c>
    </row>
    <row r="113" spans="1:9" ht="12.65" customHeight="1">
      <c r="A113" s="187" t="s">
        <v>198</v>
      </c>
    </row>
    <row r="114" spans="1:9" ht="12.65" customHeight="1">
      <c r="A114" s="187" t="str">
        <f>A65</f>
        <v>Servicio RAD</v>
      </c>
    </row>
    <row r="115" spans="1:9" ht="12.65" customHeight="1">
      <c r="A115" s="187" t="str">
        <f>A66</f>
        <v>Ingreso control de tensión</v>
      </c>
    </row>
    <row r="116" spans="1:9" ht="12.65" customHeight="1"/>
    <row r="117" spans="1:9">
      <c r="A117" s="84" t="s">
        <v>168</v>
      </c>
      <c r="B117" s="144"/>
      <c r="C117" s="144"/>
    </row>
    <row r="118" spans="1:9">
      <c r="A118" s="122" t="s">
        <v>27</v>
      </c>
      <c r="B118" s="231"/>
      <c r="C118" s="232"/>
    </row>
    <row r="119" spans="1:9">
      <c r="A119" s="123" t="s">
        <v>86</v>
      </c>
      <c r="B119" s="145" t="s">
        <v>207</v>
      </c>
      <c r="C119" s="145" t="s">
        <v>279</v>
      </c>
    </row>
    <row r="120" spans="1:9">
      <c r="A120" s="122" t="s">
        <v>136</v>
      </c>
      <c r="B120" s="143"/>
      <c r="C120" s="143"/>
    </row>
    <row r="121" spans="1:9">
      <c r="A121" s="124" t="s">
        <v>69</v>
      </c>
      <c r="B121" s="126">
        <v>868.24030000000005</v>
      </c>
      <c r="C121" s="126">
        <v>3479.5853750000001</v>
      </c>
      <c r="D121" t="str">
        <f>A121</f>
        <v>Restricciones Técnicas al PBF</v>
      </c>
      <c r="F121" s="140" t="s">
        <v>153</v>
      </c>
      <c r="H121" s="146">
        <f>SUM(B121:B122)</f>
        <v>1699.183822</v>
      </c>
      <c r="I121" s="146">
        <f>SUM(C121:C122)</f>
        <v>3614.0924370000002</v>
      </c>
    </row>
    <row r="122" spans="1:9">
      <c r="A122" s="124" t="s">
        <v>70</v>
      </c>
      <c r="B122" s="126">
        <v>830.94352200000003</v>
      </c>
      <c r="C122" s="126">
        <v>134.50706199999999</v>
      </c>
      <c r="D122" t="s">
        <v>132</v>
      </c>
      <c r="F122" s="141" t="s">
        <v>154</v>
      </c>
      <c r="H122" s="146">
        <f>SUM(B123:B126)</f>
        <v>1198.5558859999999</v>
      </c>
      <c r="I122" s="146">
        <f>SUM(C123:C126)</f>
        <v>965.04910600000005</v>
      </c>
    </row>
    <row r="123" spans="1:9">
      <c r="A123" s="124" t="s">
        <v>64</v>
      </c>
      <c r="B123" s="126">
        <v>144.43384499999999</v>
      </c>
      <c r="C123" s="126">
        <v>166.10911899999999</v>
      </c>
      <c r="D123" t="str">
        <f>A123</f>
        <v>Regulación secundaria</v>
      </c>
    </row>
    <row r="124" spans="1:9">
      <c r="A124" s="124" t="s">
        <v>3</v>
      </c>
      <c r="B124" s="126">
        <v>518.28494999999998</v>
      </c>
      <c r="C124" s="126">
        <v>770.36935500000004</v>
      </c>
      <c r="D124" t="str">
        <f>A124</f>
        <v>Regulación terciaria</v>
      </c>
    </row>
    <row r="125" spans="1:9">
      <c r="A125" s="124" t="s">
        <v>148</v>
      </c>
      <c r="B125" s="126">
        <f>B317/1000</f>
        <v>441.92275000000001</v>
      </c>
      <c r="C125" s="126">
        <f>N317/1000</f>
        <v>0</v>
      </c>
      <c r="D125" t="s">
        <v>148</v>
      </c>
    </row>
    <row r="126" spans="1:9">
      <c r="A126" s="124" t="s">
        <v>155</v>
      </c>
      <c r="B126" s="126">
        <f>B394/1000</f>
        <v>93.914341000000007</v>
      </c>
      <c r="C126" s="126">
        <f>N394/1000</f>
        <v>28.570632</v>
      </c>
      <c r="D126" t="s">
        <v>157</v>
      </c>
    </row>
    <row r="127" spans="1:9">
      <c r="B127" s="167"/>
      <c r="C127" s="167"/>
    </row>
    <row r="128" spans="1:9">
      <c r="A128" s="84"/>
    </row>
    <row r="130" spans="1:17">
      <c r="A130" s="84" t="s">
        <v>161</v>
      </c>
      <c r="C130" s="142" t="str">
        <f>MID(C132,6,1)</f>
        <v>F</v>
      </c>
      <c r="D130" s="142" t="str">
        <f t="shared" ref="D130:O130" si="3">MID(D132,6,1)</f>
        <v>M</v>
      </c>
      <c r="E130" s="142" t="str">
        <f t="shared" si="3"/>
        <v>A</v>
      </c>
      <c r="F130" s="142" t="str">
        <f t="shared" si="3"/>
        <v>M</v>
      </c>
      <c r="G130" s="142" t="str">
        <f t="shared" si="3"/>
        <v>J</v>
      </c>
      <c r="H130" s="142" t="str">
        <f t="shared" si="3"/>
        <v>J</v>
      </c>
      <c r="I130" s="142" t="str">
        <f t="shared" si="3"/>
        <v>A</v>
      </c>
      <c r="J130" s="142" t="str">
        <f t="shared" si="3"/>
        <v>S</v>
      </c>
      <c r="K130" s="142" t="str">
        <f t="shared" si="3"/>
        <v>O</v>
      </c>
      <c r="L130" s="142" t="str">
        <f t="shared" si="3"/>
        <v>N</v>
      </c>
      <c r="M130" s="142" t="str">
        <f t="shared" si="3"/>
        <v>D</v>
      </c>
      <c r="N130" s="142" t="str">
        <f t="shared" si="3"/>
        <v>E</v>
      </c>
      <c r="O130" s="142" t="str">
        <f t="shared" si="3"/>
        <v>F</v>
      </c>
      <c r="P130" s="119"/>
      <c r="Q130" s="119"/>
    </row>
    <row r="131" spans="1:17">
      <c r="A131" s="122"/>
      <c r="B131" s="122" t="s">
        <v>27</v>
      </c>
      <c r="C131" s="235" t="s">
        <v>121</v>
      </c>
      <c r="D131" s="236"/>
      <c r="E131" s="236"/>
      <c r="F131" s="236"/>
      <c r="G131" s="236"/>
      <c r="H131" s="236"/>
      <c r="I131" s="236"/>
      <c r="J131" s="236"/>
      <c r="K131" s="236"/>
      <c r="L131" s="236"/>
      <c r="M131" s="236"/>
      <c r="N131" s="236"/>
      <c r="O131" s="236"/>
      <c r="P131" s="119"/>
      <c r="Q131" s="119"/>
    </row>
    <row r="132" spans="1:17">
      <c r="A132" s="122"/>
      <c r="B132" s="123" t="s">
        <v>86</v>
      </c>
      <c r="C132" s="145" t="s">
        <v>207</v>
      </c>
      <c r="D132" s="145" t="s">
        <v>210</v>
      </c>
      <c r="E132" s="145" t="s">
        <v>220</v>
      </c>
      <c r="F132" s="145" t="s">
        <v>223</v>
      </c>
      <c r="G132" s="145" t="s">
        <v>225</v>
      </c>
      <c r="H132" s="145" t="s">
        <v>227</v>
      </c>
      <c r="I132" s="145" t="s">
        <v>230</v>
      </c>
      <c r="J132" s="145" t="s">
        <v>233</v>
      </c>
      <c r="K132" s="145" t="s">
        <v>237</v>
      </c>
      <c r="L132" s="145" t="s">
        <v>242</v>
      </c>
      <c r="M132" s="145" t="s">
        <v>245</v>
      </c>
      <c r="N132" s="145" t="s">
        <v>247</v>
      </c>
      <c r="O132" s="145" t="s">
        <v>279</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43"/>
      <c r="B134" s="124" t="s">
        <v>19</v>
      </c>
      <c r="C134" s="111">
        <v>0</v>
      </c>
      <c r="D134" s="111">
        <v>0</v>
      </c>
      <c r="E134" s="111">
        <v>20382.3</v>
      </c>
      <c r="F134" s="111">
        <v>0</v>
      </c>
      <c r="G134" s="111">
        <v>150</v>
      </c>
      <c r="H134" s="111">
        <v>3396</v>
      </c>
      <c r="I134" s="111">
        <v>6200</v>
      </c>
      <c r="J134" s="111">
        <v>0</v>
      </c>
      <c r="K134" s="111">
        <v>0</v>
      </c>
      <c r="L134" s="111">
        <v>350</v>
      </c>
      <c r="M134" s="111">
        <v>325</v>
      </c>
      <c r="N134" s="111">
        <v>0</v>
      </c>
      <c r="O134" s="111">
        <v>0</v>
      </c>
      <c r="P134" s="180"/>
      <c r="Q134" s="181"/>
    </row>
    <row r="135" spans="1:17">
      <c r="A135" s="243"/>
      <c r="B135" s="124" t="s">
        <v>76</v>
      </c>
      <c r="C135" s="111">
        <v>0</v>
      </c>
      <c r="D135" s="111">
        <v>0</v>
      </c>
      <c r="E135" s="111">
        <v>0</v>
      </c>
      <c r="F135" s="111">
        <v>0</v>
      </c>
      <c r="G135" s="111">
        <v>60.7</v>
      </c>
      <c r="H135" s="111">
        <v>700</v>
      </c>
      <c r="I135" s="111">
        <v>0</v>
      </c>
      <c r="J135" s="111">
        <v>0</v>
      </c>
      <c r="K135" s="111">
        <v>0</v>
      </c>
      <c r="L135" s="111">
        <v>4180</v>
      </c>
      <c r="M135" s="111">
        <v>20</v>
      </c>
      <c r="N135" s="111">
        <v>6400</v>
      </c>
      <c r="O135" s="111">
        <v>0</v>
      </c>
      <c r="P135" s="180"/>
      <c r="Q135" s="181"/>
    </row>
    <row r="136" spans="1:17">
      <c r="A136" s="243"/>
      <c r="B136" s="124" t="s">
        <v>72</v>
      </c>
      <c r="C136" s="111">
        <v>0</v>
      </c>
      <c r="D136" s="111">
        <v>260114.1</v>
      </c>
      <c r="E136" s="111">
        <v>267559.5</v>
      </c>
      <c r="F136" s="111">
        <v>363944.9</v>
      </c>
      <c r="G136" s="111">
        <v>25407.8</v>
      </c>
      <c r="H136" s="111">
        <v>19303.400000000001</v>
      </c>
      <c r="I136" s="111">
        <v>3428.3</v>
      </c>
      <c r="J136" s="111">
        <v>35476.800000000003</v>
      </c>
      <c r="K136" s="111">
        <v>116112.4</v>
      </c>
      <c r="L136" s="111">
        <v>47755.224999999999</v>
      </c>
      <c r="M136" s="111">
        <v>22947.875</v>
      </c>
      <c r="N136" s="111">
        <v>276494.25</v>
      </c>
      <c r="O136" s="111">
        <v>1412402.7749999999</v>
      </c>
      <c r="P136" s="180"/>
      <c r="Q136" s="181"/>
    </row>
    <row r="137" spans="1:17">
      <c r="A137" s="243"/>
      <c r="B137" s="124" t="s">
        <v>73</v>
      </c>
      <c r="C137" s="111">
        <v>176818</v>
      </c>
      <c r="D137" s="111">
        <v>161347</v>
      </c>
      <c r="E137" s="111">
        <v>128080</v>
      </c>
      <c r="F137" s="111">
        <v>122215</v>
      </c>
      <c r="G137" s="111">
        <v>110098</v>
      </c>
      <c r="H137" s="111">
        <v>71343</v>
      </c>
      <c r="I137" s="111">
        <v>0</v>
      </c>
      <c r="J137" s="111">
        <v>0</v>
      </c>
      <c r="K137" s="111">
        <v>1113.75</v>
      </c>
      <c r="L137" s="111">
        <v>1856.25</v>
      </c>
      <c r="M137" s="111">
        <v>28208.75</v>
      </c>
      <c r="N137" s="111">
        <v>16238.75</v>
      </c>
      <c r="O137" s="111">
        <v>0</v>
      </c>
      <c r="P137" s="180"/>
      <c r="Q137" s="181"/>
    </row>
    <row r="138" spans="1:17">
      <c r="A138" s="243"/>
      <c r="B138" s="124" t="s">
        <v>229</v>
      </c>
      <c r="C138" s="111">
        <v>0</v>
      </c>
      <c r="D138" s="111">
        <v>0</v>
      </c>
      <c r="E138" s="111">
        <v>0</v>
      </c>
      <c r="F138" s="111">
        <v>0</v>
      </c>
      <c r="G138" s="111">
        <v>0</v>
      </c>
      <c r="H138" s="111">
        <v>91146</v>
      </c>
      <c r="I138" s="111">
        <v>121642</v>
      </c>
      <c r="J138" s="111">
        <v>152270</v>
      </c>
      <c r="K138" s="111">
        <v>177310</v>
      </c>
      <c r="L138" s="111">
        <v>182152.5</v>
      </c>
      <c r="M138" s="111">
        <v>214170</v>
      </c>
      <c r="N138" s="111">
        <v>164145</v>
      </c>
      <c r="O138" s="111">
        <v>183987.5</v>
      </c>
      <c r="P138" s="180"/>
      <c r="Q138" s="181"/>
    </row>
    <row r="139" spans="1:17">
      <c r="A139" s="243"/>
      <c r="B139" s="124" t="s">
        <v>23</v>
      </c>
      <c r="C139" s="111">
        <v>653295.19999999995</v>
      </c>
      <c r="D139" s="111">
        <v>793527.4</v>
      </c>
      <c r="E139" s="111">
        <v>1154419.5</v>
      </c>
      <c r="F139" s="111">
        <v>2188300.1</v>
      </c>
      <c r="G139" s="111">
        <v>1759263.5</v>
      </c>
      <c r="H139" s="111">
        <v>1466909.1</v>
      </c>
      <c r="I139" s="111">
        <v>1579291.4</v>
      </c>
      <c r="J139" s="111">
        <v>1564029</v>
      </c>
      <c r="K139" s="111">
        <v>1759136.875</v>
      </c>
      <c r="L139" s="111">
        <v>2229306.125</v>
      </c>
      <c r="M139" s="111">
        <v>2288776.85</v>
      </c>
      <c r="N139" s="111">
        <v>1972270.0249999999</v>
      </c>
      <c r="O139" s="111">
        <v>1802866.25</v>
      </c>
      <c r="P139" s="180"/>
      <c r="Q139" s="181"/>
    </row>
    <row r="140" spans="1:17">
      <c r="A140" s="243"/>
      <c r="B140" s="124" t="s">
        <v>77</v>
      </c>
      <c r="C140" s="111">
        <v>0</v>
      </c>
      <c r="D140" s="111">
        <v>31.6</v>
      </c>
      <c r="E140" s="111">
        <v>1.3</v>
      </c>
      <c r="F140" s="111">
        <v>0</v>
      </c>
      <c r="G140" s="111">
        <v>0</v>
      </c>
      <c r="H140" s="111">
        <v>0</v>
      </c>
      <c r="I140" s="111">
        <v>0</v>
      </c>
      <c r="J140" s="111">
        <v>0</v>
      </c>
      <c r="K140" s="111">
        <v>0</v>
      </c>
      <c r="L140" s="111">
        <v>0</v>
      </c>
      <c r="M140" s="111">
        <v>1.95</v>
      </c>
      <c r="N140" s="111">
        <v>0</v>
      </c>
      <c r="O140" s="111">
        <v>45.975000000000001</v>
      </c>
      <c r="P140" s="180"/>
      <c r="Q140" s="181"/>
    </row>
    <row r="141" spans="1:17">
      <c r="A141" s="243"/>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43"/>
      <c r="B142" s="124" t="s">
        <v>79</v>
      </c>
      <c r="C142" s="111">
        <v>0</v>
      </c>
      <c r="D142" s="111">
        <v>0</v>
      </c>
      <c r="E142" s="111">
        <v>0</v>
      </c>
      <c r="F142" s="111">
        <v>0</v>
      </c>
      <c r="G142" s="111">
        <v>0</v>
      </c>
      <c r="H142" s="111">
        <v>229.2</v>
      </c>
      <c r="I142" s="111">
        <v>0</v>
      </c>
      <c r="J142" s="111">
        <v>0</v>
      </c>
      <c r="K142" s="111">
        <v>0</v>
      </c>
      <c r="L142" s="111">
        <v>0</v>
      </c>
      <c r="M142" s="111">
        <v>0</v>
      </c>
      <c r="N142" s="111">
        <v>0</v>
      </c>
      <c r="O142" s="111">
        <v>0</v>
      </c>
      <c r="P142" s="180"/>
      <c r="Q142" s="181"/>
    </row>
    <row r="143" spans="1:17">
      <c r="A143" s="243"/>
      <c r="B143" s="124" t="s">
        <v>80</v>
      </c>
      <c r="C143" s="111">
        <v>0</v>
      </c>
      <c r="D143" s="111">
        <v>18750.8</v>
      </c>
      <c r="E143" s="111">
        <v>10370.9</v>
      </c>
      <c r="F143" s="111">
        <v>17487.5</v>
      </c>
      <c r="G143" s="111">
        <v>20621.599999999999</v>
      </c>
      <c r="H143" s="111">
        <v>1904.1</v>
      </c>
      <c r="I143" s="111">
        <v>0</v>
      </c>
      <c r="J143" s="111">
        <v>3926.6</v>
      </c>
      <c r="K143" s="111">
        <v>3783.1750000000002</v>
      </c>
      <c r="L143" s="111">
        <v>510</v>
      </c>
      <c r="M143" s="111">
        <v>1691.4</v>
      </c>
      <c r="N143" s="111">
        <v>0</v>
      </c>
      <c r="O143" s="111">
        <v>484.6</v>
      </c>
      <c r="P143" s="180"/>
      <c r="Q143" s="181"/>
    </row>
    <row r="144" spans="1:17">
      <c r="A144" s="243"/>
      <c r="B144" s="124" t="s">
        <v>81</v>
      </c>
      <c r="C144" s="111">
        <v>0</v>
      </c>
      <c r="D144" s="111">
        <v>1176.5999999999999</v>
      </c>
      <c r="E144" s="111">
        <v>2988</v>
      </c>
      <c r="F144" s="111">
        <v>3603.7</v>
      </c>
      <c r="G144" s="111">
        <v>1579.6</v>
      </c>
      <c r="H144" s="111">
        <v>198.7</v>
      </c>
      <c r="I144" s="111">
        <v>0</v>
      </c>
      <c r="J144" s="111">
        <v>0</v>
      </c>
      <c r="K144" s="111">
        <v>0</v>
      </c>
      <c r="L144" s="111">
        <v>122</v>
      </c>
      <c r="M144" s="111">
        <v>0</v>
      </c>
      <c r="N144" s="111">
        <v>0</v>
      </c>
      <c r="O144" s="111">
        <v>0</v>
      </c>
      <c r="P144" s="180"/>
      <c r="Q144" s="181"/>
    </row>
    <row r="145" spans="1:17">
      <c r="A145" s="243"/>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43"/>
      <c r="B146" s="124" t="s">
        <v>74</v>
      </c>
      <c r="C146" s="111">
        <v>189</v>
      </c>
      <c r="D146" s="111">
        <v>146</v>
      </c>
      <c r="E146" s="111">
        <v>1600</v>
      </c>
      <c r="F146" s="111">
        <v>1600</v>
      </c>
      <c r="G146" s="111">
        <v>936</v>
      </c>
      <c r="H146" s="111">
        <v>2587.5</v>
      </c>
      <c r="I146" s="111">
        <v>6601</v>
      </c>
      <c r="J146" s="111">
        <v>184</v>
      </c>
      <c r="K146" s="111">
        <v>42602.3</v>
      </c>
      <c r="L146" s="111">
        <v>0</v>
      </c>
      <c r="M146" s="111">
        <v>0</v>
      </c>
      <c r="N146" s="111">
        <v>5827.6750000000002</v>
      </c>
      <c r="O146" s="111">
        <v>255.75</v>
      </c>
      <c r="P146" s="180"/>
      <c r="Q146" s="181"/>
    </row>
    <row r="147" spans="1:17">
      <c r="A147" s="243"/>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43"/>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43"/>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43"/>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43"/>
      <c r="B151" s="124" t="s">
        <v>203</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43"/>
      <c r="B152" s="124" t="s">
        <v>204</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42"/>
      <c r="B153" s="183" t="s">
        <v>0</v>
      </c>
      <c r="C153" s="193">
        <v>830302.2</v>
      </c>
      <c r="D153" s="193">
        <v>1235093.5</v>
      </c>
      <c r="E153" s="193">
        <v>1585401.5</v>
      </c>
      <c r="F153" s="193">
        <v>2697151.2</v>
      </c>
      <c r="G153" s="193">
        <v>1918117.2</v>
      </c>
      <c r="H153" s="193">
        <v>1657717</v>
      </c>
      <c r="I153" s="193">
        <v>1717162.7</v>
      </c>
      <c r="J153" s="193">
        <v>1755886.4</v>
      </c>
      <c r="K153" s="193">
        <v>2100058.5</v>
      </c>
      <c r="L153" s="193">
        <v>2466232.1</v>
      </c>
      <c r="M153" s="193">
        <v>2556141.8250000002</v>
      </c>
      <c r="N153" s="193">
        <v>2441375.7000000002</v>
      </c>
      <c r="O153" s="193">
        <v>3400042.85</v>
      </c>
      <c r="P153" s="180"/>
      <c r="Q153" s="153"/>
    </row>
    <row r="154" spans="1:17">
      <c r="A154" s="243"/>
      <c r="B154" s="124" t="s">
        <v>19</v>
      </c>
      <c r="C154" s="111">
        <v>143.30000000000001</v>
      </c>
      <c r="D154" s="111">
        <v>655.7</v>
      </c>
      <c r="E154" s="111">
        <v>2348.1</v>
      </c>
      <c r="F154" s="111">
        <v>9496.2999999999993</v>
      </c>
      <c r="G154" s="111">
        <v>8559.4</v>
      </c>
      <c r="H154" s="111">
        <v>5351.7</v>
      </c>
      <c r="I154" s="111">
        <v>5333.8</v>
      </c>
      <c r="J154" s="111">
        <v>590.20000000000005</v>
      </c>
      <c r="K154" s="111">
        <v>3512.0250000000001</v>
      </c>
      <c r="L154" s="111">
        <v>1413.4749999999999</v>
      </c>
      <c r="M154" s="111">
        <v>1024.3499999999999</v>
      </c>
      <c r="N154" s="111">
        <v>1795.875</v>
      </c>
      <c r="O154" s="111">
        <v>1039.625</v>
      </c>
      <c r="P154" s="180"/>
      <c r="Q154" s="153"/>
    </row>
    <row r="155" spans="1:17">
      <c r="A155" s="243"/>
      <c r="B155" s="124" t="s">
        <v>76</v>
      </c>
      <c r="C155" s="111">
        <v>0</v>
      </c>
      <c r="D155" s="111">
        <v>0</v>
      </c>
      <c r="E155" s="111">
        <v>0</v>
      </c>
      <c r="F155" s="111">
        <v>0</v>
      </c>
      <c r="G155" s="111">
        <v>0</v>
      </c>
      <c r="H155" s="111">
        <v>809</v>
      </c>
      <c r="I155" s="111">
        <v>2955</v>
      </c>
      <c r="J155" s="111">
        <v>300</v>
      </c>
      <c r="K155" s="111">
        <v>475.42500000000001</v>
      </c>
      <c r="L155" s="111">
        <v>0</v>
      </c>
      <c r="M155" s="111">
        <v>1120.6500000000001</v>
      </c>
      <c r="N155" s="111">
        <v>7136.4750000000004</v>
      </c>
      <c r="O155" s="111">
        <v>0</v>
      </c>
      <c r="P155" s="180"/>
      <c r="Q155" s="153"/>
    </row>
    <row r="156" spans="1:17">
      <c r="A156" s="243"/>
      <c r="B156" s="124" t="s">
        <v>72</v>
      </c>
      <c r="C156" s="111">
        <v>0</v>
      </c>
      <c r="D156" s="111">
        <v>0</v>
      </c>
      <c r="E156" s="111">
        <v>0</v>
      </c>
      <c r="F156" s="111">
        <v>0</v>
      </c>
      <c r="G156" s="111">
        <v>0</v>
      </c>
      <c r="H156" s="111">
        <v>6512</v>
      </c>
      <c r="I156" s="111">
        <v>0</v>
      </c>
      <c r="J156" s="111">
        <v>0</v>
      </c>
      <c r="K156" s="111">
        <v>0</v>
      </c>
      <c r="L156" s="111">
        <v>0</v>
      </c>
      <c r="M156" s="111">
        <v>0</v>
      </c>
      <c r="N156" s="111">
        <v>0</v>
      </c>
      <c r="O156" s="111">
        <v>0</v>
      </c>
      <c r="P156" s="180"/>
      <c r="Q156" s="153"/>
    </row>
    <row r="157" spans="1:17">
      <c r="A157" s="243"/>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43"/>
      <c r="B158" s="124" t="s">
        <v>229</v>
      </c>
      <c r="C158" s="111">
        <v>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43"/>
      <c r="B159" s="124" t="s">
        <v>23</v>
      </c>
      <c r="C159" s="111">
        <v>0</v>
      </c>
      <c r="D159" s="111">
        <v>0</v>
      </c>
      <c r="E159" s="111">
        <v>0</v>
      </c>
      <c r="F159" s="111">
        <v>0</v>
      </c>
      <c r="G159" s="111">
        <v>4</v>
      </c>
      <c r="H159" s="111">
        <v>1003.5</v>
      </c>
      <c r="I159" s="111">
        <v>50</v>
      </c>
      <c r="J159" s="111">
        <v>0</v>
      </c>
      <c r="K159" s="111">
        <v>2064.65</v>
      </c>
      <c r="L159" s="111">
        <v>0</v>
      </c>
      <c r="M159" s="111">
        <v>0</v>
      </c>
      <c r="N159" s="111">
        <v>0</v>
      </c>
      <c r="O159" s="111">
        <v>0</v>
      </c>
      <c r="P159" s="180"/>
      <c r="Q159" s="153"/>
    </row>
    <row r="160" spans="1:17">
      <c r="A160" s="243"/>
      <c r="B160" s="124" t="s">
        <v>77</v>
      </c>
      <c r="C160" s="111">
        <v>19851.3</v>
      </c>
      <c r="D160" s="111">
        <v>29282.9</v>
      </c>
      <c r="E160" s="111">
        <v>23186.2</v>
      </c>
      <c r="F160" s="111">
        <v>17699.400000000001</v>
      </c>
      <c r="G160" s="111">
        <v>18495.599999999999</v>
      </c>
      <c r="H160" s="111">
        <v>208879.1</v>
      </c>
      <c r="I160" s="111">
        <v>56148.9</v>
      </c>
      <c r="J160" s="111">
        <v>56799.5</v>
      </c>
      <c r="K160" s="111">
        <v>34956.199999999997</v>
      </c>
      <c r="L160" s="111">
        <v>97151.95</v>
      </c>
      <c r="M160" s="111">
        <v>29674</v>
      </c>
      <c r="N160" s="111">
        <v>99597.85</v>
      </c>
      <c r="O160" s="111">
        <v>43719</v>
      </c>
      <c r="P160" s="180"/>
      <c r="Q160" s="153"/>
    </row>
    <row r="161" spans="1:20">
      <c r="A161" s="243"/>
      <c r="B161" s="124" t="s">
        <v>78</v>
      </c>
      <c r="C161" s="111">
        <v>11181.5</v>
      </c>
      <c r="D161" s="111">
        <v>28184.799999999999</v>
      </c>
      <c r="E161" s="111">
        <v>17070.3</v>
      </c>
      <c r="F161" s="111">
        <v>74426.899999999994</v>
      </c>
      <c r="G161" s="111">
        <v>117687.5</v>
      </c>
      <c r="H161" s="111">
        <v>774289.5</v>
      </c>
      <c r="I161" s="111">
        <v>476231.7</v>
      </c>
      <c r="J161" s="111">
        <v>271516.40000000002</v>
      </c>
      <c r="K161" s="111">
        <v>213512.32500000001</v>
      </c>
      <c r="L161" s="111">
        <v>56866.375</v>
      </c>
      <c r="M161" s="111">
        <v>21074.125</v>
      </c>
      <c r="N161" s="111">
        <v>26307.4</v>
      </c>
      <c r="O161" s="111">
        <v>30605.775000000001</v>
      </c>
      <c r="P161" s="180"/>
      <c r="Q161" s="153"/>
      <c r="R161" s="160"/>
      <c r="S161" s="160"/>
      <c r="T161" s="160"/>
    </row>
    <row r="162" spans="1:20">
      <c r="A162" s="243"/>
      <c r="B162" s="124" t="s">
        <v>79</v>
      </c>
      <c r="C162" s="111">
        <v>6509.7</v>
      </c>
      <c r="D162" s="111">
        <v>18812.8</v>
      </c>
      <c r="E162" s="111">
        <v>4704.6000000000004</v>
      </c>
      <c r="F162" s="111">
        <v>35576.1</v>
      </c>
      <c r="G162" s="111">
        <v>41536</v>
      </c>
      <c r="H162" s="111">
        <v>120438.3</v>
      </c>
      <c r="I162" s="111">
        <v>162140.4</v>
      </c>
      <c r="J162" s="111">
        <v>141481</v>
      </c>
      <c r="K162" s="111">
        <v>62144.5</v>
      </c>
      <c r="L162" s="111">
        <v>3088</v>
      </c>
      <c r="M162" s="111">
        <v>45.174999999999997</v>
      </c>
      <c r="N162" s="111">
        <v>0</v>
      </c>
      <c r="O162" s="111">
        <v>2614.2249999999999</v>
      </c>
      <c r="P162" s="180"/>
      <c r="Q162" s="153"/>
      <c r="R162" s="160"/>
      <c r="S162" s="160"/>
      <c r="T162" s="160"/>
    </row>
    <row r="163" spans="1:20">
      <c r="A163" s="243"/>
      <c r="B163" s="124" t="s">
        <v>80</v>
      </c>
      <c r="C163" s="111">
        <v>111.1</v>
      </c>
      <c r="D163" s="111">
        <v>859.2</v>
      </c>
      <c r="E163" s="111">
        <v>4456.8999999999996</v>
      </c>
      <c r="F163" s="111">
        <v>4609.7</v>
      </c>
      <c r="G163" s="111">
        <v>6809.1</v>
      </c>
      <c r="H163" s="111">
        <v>32112.6</v>
      </c>
      <c r="I163" s="111">
        <v>6711.8</v>
      </c>
      <c r="J163" s="111">
        <v>4636.2</v>
      </c>
      <c r="K163" s="111">
        <v>5121.7749999999996</v>
      </c>
      <c r="L163" s="111">
        <v>2187.375</v>
      </c>
      <c r="M163" s="111">
        <v>2346</v>
      </c>
      <c r="N163" s="111">
        <v>1324.15</v>
      </c>
      <c r="O163" s="111">
        <v>797.95</v>
      </c>
      <c r="P163" s="180"/>
      <c r="Q163" s="153"/>
      <c r="R163" s="160"/>
      <c r="S163" s="160"/>
      <c r="T163" s="160"/>
    </row>
    <row r="164" spans="1:20">
      <c r="A164" s="243"/>
      <c r="B164" s="124" t="s">
        <v>81</v>
      </c>
      <c r="C164" s="111">
        <v>12</v>
      </c>
      <c r="D164" s="111">
        <v>485.5</v>
      </c>
      <c r="E164" s="111">
        <v>2920.3</v>
      </c>
      <c r="F164" s="111">
        <v>3843</v>
      </c>
      <c r="G164" s="111">
        <v>7273.5</v>
      </c>
      <c r="H164" s="111">
        <v>10545</v>
      </c>
      <c r="I164" s="111">
        <v>7511.7</v>
      </c>
      <c r="J164" s="111">
        <v>5732.6</v>
      </c>
      <c r="K164" s="111">
        <v>3899.8249999999998</v>
      </c>
      <c r="L164" s="111">
        <v>278.82499999999999</v>
      </c>
      <c r="M164" s="111">
        <v>63.45</v>
      </c>
      <c r="N164" s="111">
        <v>154.19999999999999</v>
      </c>
      <c r="O164" s="111">
        <v>194.35</v>
      </c>
      <c r="P164" s="180"/>
      <c r="Q164" s="153"/>
      <c r="R164" s="160"/>
      <c r="S164" s="160"/>
      <c r="T164" s="160"/>
    </row>
    <row r="165" spans="1:20">
      <c r="A165" s="243"/>
      <c r="B165" s="124" t="s">
        <v>85</v>
      </c>
      <c r="C165" s="111">
        <v>0</v>
      </c>
      <c r="D165" s="111">
        <v>0</v>
      </c>
      <c r="E165" s="111">
        <v>0</v>
      </c>
      <c r="F165" s="111">
        <v>0</v>
      </c>
      <c r="G165" s="111">
        <v>0</v>
      </c>
      <c r="H165" s="111">
        <v>3546</v>
      </c>
      <c r="I165" s="111">
        <v>118</v>
      </c>
      <c r="J165" s="111">
        <v>0</v>
      </c>
      <c r="K165" s="111">
        <v>411.55</v>
      </c>
      <c r="L165" s="111">
        <v>17</v>
      </c>
      <c r="M165" s="111">
        <v>98</v>
      </c>
      <c r="N165" s="111">
        <v>0</v>
      </c>
      <c r="O165" s="111">
        <v>0</v>
      </c>
      <c r="P165" s="180"/>
      <c r="Q165" s="153"/>
      <c r="R165" s="160"/>
      <c r="S165" s="160"/>
      <c r="T165" s="160"/>
    </row>
    <row r="166" spans="1:20">
      <c r="A166" s="243"/>
      <c r="B166" s="124" t="s">
        <v>74</v>
      </c>
      <c r="C166" s="111">
        <v>0</v>
      </c>
      <c r="D166" s="111">
        <v>190</v>
      </c>
      <c r="E166" s="111">
        <v>0</v>
      </c>
      <c r="F166" s="111">
        <v>0</v>
      </c>
      <c r="G166" s="111">
        <v>0</v>
      </c>
      <c r="H166" s="111">
        <v>0</v>
      </c>
      <c r="I166" s="111">
        <v>0</v>
      </c>
      <c r="J166" s="111">
        <v>0</v>
      </c>
      <c r="K166" s="111">
        <v>0</v>
      </c>
      <c r="L166" s="111">
        <v>142.5</v>
      </c>
      <c r="M166" s="111">
        <v>0</v>
      </c>
      <c r="N166" s="111">
        <v>0</v>
      </c>
      <c r="O166" s="111">
        <v>28.55</v>
      </c>
      <c r="P166" s="180"/>
      <c r="Q166" s="153"/>
      <c r="R166" s="160"/>
      <c r="S166" s="160"/>
      <c r="T166" s="160"/>
    </row>
    <row r="167" spans="1:20">
      <c r="A167" s="243"/>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43"/>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43"/>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43"/>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43"/>
      <c r="B171" s="124" t="s">
        <v>203</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43"/>
      <c r="B172" s="124" t="s">
        <v>204</v>
      </c>
      <c r="C172" s="111">
        <v>129.19999999999999</v>
      </c>
      <c r="D172" s="111">
        <v>1191.4000000000001</v>
      </c>
      <c r="E172" s="111">
        <v>512.9</v>
      </c>
      <c r="F172" s="111">
        <v>3501.6</v>
      </c>
      <c r="G172" s="111">
        <v>9288</v>
      </c>
      <c r="H172" s="111">
        <v>12956.4</v>
      </c>
      <c r="I172" s="111">
        <v>2597.3000000000002</v>
      </c>
      <c r="J172" s="111">
        <v>1616.4</v>
      </c>
      <c r="K172" s="111">
        <v>3975.2750000000001</v>
      </c>
      <c r="L172" s="111">
        <v>2081.5500000000002</v>
      </c>
      <c r="M172" s="111">
        <v>203.125</v>
      </c>
      <c r="N172" s="111">
        <v>335.75</v>
      </c>
      <c r="O172" s="111">
        <v>543.04999999999995</v>
      </c>
      <c r="P172" s="185"/>
      <c r="Q172" s="185"/>
      <c r="R172" s="160"/>
      <c r="S172" s="160"/>
      <c r="T172" s="160"/>
    </row>
    <row r="173" spans="1:20">
      <c r="A173" s="242"/>
      <c r="B173" s="183" t="s">
        <v>0</v>
      </c>
      <c r="C173" s="193">
        <v>37938.1</v>
      </c>
      <c r="D173" s="193">
        <v>79662.3</v>
      </c>
      <c r="E173" s="193">
        <v>55199.3</v>
      </c>
      <c r="F173" s="193">
        <v>149153</v>
      </c>
      <c r="G173" s="193">
        <v>209653.1</v>
      </c>
      <c r="H173" s="193">
        <v>1176443.1000000001</v>
      </c>
      <c r="I173" s="193">
        <v>719798.6</v>
      </c>
      <c r="J173" s="193">
        <v>482672.3</v>
      </c>
      <c r="K173" s="193">
        <v>330073.55</v>
      </c>
      <c r="L173" s="193">
        <v>163227.04999999999</v>
      </c>
      <c r="M173" s="193">
        <v>55648.875</v>
      </c>
      <c r="N173" s="193">
        <v>136651.70000000001</v>
      </c>
      <c r="O173" s="193">
        <v>79542.524999999994</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206</v>
      </c>
      <c r="B179" s="160"/>
    </row>
    <row r="180" spans="1:21">
      <c r="B180" s="163" t="str">
        <f>MID(B181,6,1)</f>
        <v>F</v>
      </c>
      <c r="C180" s="163" t="str">
        <f t="shared" ref="C180:N180" si="4">MID(C181,6,1)</f>
        <v>M</v>
      </c>
      <c r="D180" s="163" t="str">
        <f t="shared" si="4"/>
        <v>A</v>
      </c>
      <c r="E180" s="163" t="str">
        <f t="shared" si="4"/>
        <v>M</v>
      </c>
      <c r="F180" s="163" t="str">
        <f t="shared" si="4"/>
        <v>J</v>
      </c>
      <c r="G180" s="163" t="str">
        <f t="shared" si="4"/>
        <v>J</v>
      </c>
      <c r="H180" s="163" t="str">
        <f t="shared" si="4"/>
        <v>A</v>
      </c>
      <c r="I180" s="163" t="str">
        <f t="shared" si="4"/>
        <v>S</v>
      </c>
      <c r="J180" s="163" t="str">
        <f t="shared" si="4"/>
        <v>O</v>
      </c>
      <c r="K180" s="163" t="str">
        <f t="shared" si="4"/>
        <v>N</v>
      </c>
      <c r="L180" s="163" t="str">
        <f t="shared" si="4"/>
        <v>D</v>
      </c>
      <c r="M180" s="163" t="str">
        <f t="shared" si="4"/>
        <v>E</v>
      </c>
      <c r="N180" s="163" t="str">
        <f t="shared" si="4"/>
        <v>F</v>
      </c>
    </row>
    <row r="181" spans="1:21">
      <c r="A181" s="122" t="s">
        <v>86</v>
      </c>
      <c r="B181" s="145" t="s">
        <v>207</v>
      </c>
      <c r="C181" s="145" t="s">
        <v>210</v>
      </c>
      <c r="D181" s="145" t="s">
        <v>220</v>
      </c>
      <c r="E181" s="145" t="s">
        <v>223</v>
      </c>
      <c r="F181" s="145" t="s">
        <v>225</v>
      </c>
      <c r="G181" s="145" t="s">
        <v>227</v>
      </c>
      <c r="H181" s="145" t="s">
        <v>230</v>
      </c>
      <c r="I181" s="145" t="s">
        <v>233</v>
      </c>
      <c r="J181" s="145" t="s">
        <v>237</v>
      </c>
      <c r="K181" s="145" t="s">
        <v>242</v>
      </c>
      <c r="L181" s="145" t="s">
        <v>245</v>
      </c>
      <c r="M181" s="145" t="s">
        <v>247</v>
      </c>
      <c r="N181" s="145" t="s">
        <v>279</v>
      </c>
      <c r="P181" s="119"/>
    </row>
    <row r="182" spans="1:21">
      <c r="A182" s="122" t="s">
        <v>27</v>
      </c>
      <c r="B182" s="143">
        <v>0</v>
      </c>
      <c r="C182" s="143">
        <v>0</v>
      </c>
      <c r="D182" s="143">
        <v>0</v>
      </c>
      <c r="E182" s="143">
        <v>0</v>
      </c>
      <c r="F182" s="143">
        <v>0</v>
      </c>
      <c r="G182" s="143">
        <v>0</v>
      </c>
      <c r="H182" s="143">
        <v>0</v>
      </c>
      <c r="I182" s="143">
        <v>0</v>
      </c>
      <c r="J182" s="143">
        <v>0</v>
      </c>
      <c r="K182" s="143">
        <v>0</v>
      </c>
      <c r="L182" s="143">
        <v>0</v>
      </c>
      <c r="M182" s="143">
        <v>0</v>
      </c>
      <c r="N182" s="143">
        <v>0</v>
      </c>
      <c r="P182" s="119"/>
    </row>
    <row r="183" spans="1:21">
      <c r="A183" s="124" t="s">
        <v>60</v>
      </c>
      <c r="B183" s="126">
        <v>1147.5163690476249</v>
      </c>
      <c r="C183" s="126">
        <v>1173.7688425302749</v>
      </c>
      <c r="D183" s="126">
        <v>1181.7873427673001</v>
      </c>
      <c r="E183" s="126">
        <v>1193.7315188171999</v>
      </c>
      <c r="F183" s="126">
        <v>1196.727083333325</v>
      </c>
      <c r="G183" s="126">
        <v>1194.8914650537749</v>
      </c>
      <c r="H183" s="126">
        <v>1193.3899305555501</v>
      </c>
      <c r="I183" s="126">
        <v>1186.784375</v>
      </c>
      <c r="J183" s="126">
        <v>1187.643624161075</v>
      </c>
      <c r="K183" s="126">
        <v>1178.9524305555501</v>
      </c>
      <c r="L183" s="126">
        <v>1180.338709677425</v>
      </c>
      <c r="M183" s="126">
        <v>1193.5692204300999</v>
      </c>
      <c r="N183" s="126">
        <v>1178.05282738095</v>
      </c>
      <c r="O183" s="154">
        <f>N184/B184-1</f>
        <v>3.5022270687092183E-2</v>
      </c>
      <c r="P183" s="119"/>
    </row>
    <row r="184" spans="1:21">
      <c r="A184" s="124" t="s">
        <v>61</v>
      </c>
      <c r="B184" s="126">
        <v>1128.565476190475</v>
      </c>
      <c r="C184" s="126">
        <v>1181.15376850605</v>
      </c>
      <c r="D184" s="126">
        <v>1185.1831761006249</v>
      </c>
      <c r="E184" s="126">
        <v>1194.9334677419249</v>
      </c>
      <c r="F184" s="126">
        <v>1196.13055555555</v>
      </c>
      <c r="G184" s="126">
        <v>1196.6243279570001</v>
      </c>
      <c r="H184" s="126">
        <v>1193.9107638889</v>
      </c>
      <c r="I184" s="126">
        <v>1186.19756944445</v>
      </c>
      <c r="J184" s="126">
        <v>1174.1842281879251</v>
      </c>
      <c r="K184" s="126">
        <v>1169.1361111111</v>
      </c>
      <c r="L184" s="126">
        <v>1170.0030241935499</v>
      </c>
      <c r="M184" s="126">
        <v>1185.5510752688249</v>
      </c>
      <c r="N184" s="126">
        <v>1168.0904017857249</v>
      </c>
      <c r="O184" s="154"/>
      <c r="P184" s="119"/>
    </row>
    <row r="185" spans="1:21">
      <c r="B185" s="217">
        <f>B184</f>
        <v>1128.565476190475</v>
      </c>
      <c r="C185" s="217">
        <f t="shared" ref="C185:N185" si="5">C184</f>
        <v>1181.15376850605</v>
      </c>
      <c r="D185" s="217">
        <f t="shared" si="5"/>
        <v>1185.1831761006249</v>
      </c>
      <c r="E185" s="217">
        <f t="shared" si="5"/>
        <v>1194.9334677419249</v>
      </c>
      <c r="F185" s="217">
        <f t="shared" si="5"/>
        <v>1196.13055555555</v>
      </c>
      <c r="G185" s="217">
        <f t="shared" si="5"/>
        <v>1196.6243279570001</v>
      </c>
      <c r="H185" s="217">
        <f t="shared" si="5"/>
        <v>1193.9107638889</v>
      </c>
      <c r="I185" s="217">
        <f t="shared" si="5"/>
        <v>1186.19756944445</v>
      </c>
      <c r="J185" s="217">
        <f t="shared" si="5"/>
        <v>1174.1842281879251</v>
      </c>
      <c r="K185" s="217">
        <f t="shared" si="5"/>
        <v>1169.1361111111</v>
      </c>
      <c r="L185" s="217">
        <f t="shared" si="5"/>
        <v>1170.0030241935499</v>
      </c>
      <c r="M185" s="217">
        <f t="shared" si="5"/>
        <v>1185.5510752688249</v>
      </c>
      <c r="N185" s="217">
        <f t="shared" si="5"/>
        <v>1168.0904017857249</v>
      </c>
      <c r="P185" s="119"/>
    </row>
    <row r="186" spans="1:21">
      <c r="C186" s="111"/>
      <c r="P186" s="119"/>
    </row>
    <row r="187" spans="1:21">
      <c r="A187" s="84" t="s">
        <v>171</v>
      </c>
      <c r="B187" s="163" t="str">
        <f>MID(B189,6,1)</f>
        <v>F</v>
      </c>
      <c r="C187" s="163" t="str">
        <f t="shared" ref="C187:N187" si="6">MID(C189,6,1)</f>
        <v>M</v>
      </c>
      <c r="D187" s="163" t="str">
        <f t="shared" si="6"/>
        <v>A</v>
      </c>
      <c r="E187" s="163" t="str">
        <f t="shared" si="6"/>
        <v>M</v>
      </c>
      <c r="F187" s="163" t="str">
        <f t="shared" si="6"/>
        <v>J</v>
      </c>
      <c r="G187" s="163" t="str">
        <f t="shared" si="6"/>
        <v>J</v>
      </c>
      <c r="H187" s="163" t="str">
        <f t="shared" si="6"/>
        <v>A</v>
      </c>
      <c r="I187" s="163" t="str">
        <f t="shared" si="6"/>
        <v>S</v>
      </c>
      <c r="J187" s="163" t="str">
        <f t="shared" si="6"/>
        <v>O</v>
      </c>
      <c r="K187" s="163" t="str">
        <f t="shared" si="6"/>
        <v>N</v>
      </c>
      <c r="L187" s="163" t="str">
        <f t="shared" si="6"/>
        <v>D</v>
      </c>
      <c r="M187" s="163" t="str">
        <f t="shared" si="6"/>
        <v>E</v>
      </c>
      <c r="N187" s="163" t="str">
        <f t="shared" si="6"/>
        <v>F</v>
      </c>
      <c r="P187" s="152"/>
      <c r="Q187" s="152"/>
    </row>
    <row r="188" spans="1:21">
      <c r="A188" s="122" t="s">
        <v>27</v>
      </c>
      <c r="B188" s="237" t="s">
        <v>188</v>
      </c>
      <c r="C188" s="238"/>
      <c r="D188" s="238"/>
      <c r="E188" s="238"/>
      <c r="F188" s="238"/>
      <c r="G188" s="238"/>
      <c r="H188" s="238"/>
      <c r="I188" s="238"/>
      <c r="J188" s="238"/>
      <c r="K188" s="238"/>
      <c r="L188" s="238"/>
      <c r="M188" s="238"/>
      <c r="N188" s="238"/>
      <c r="P188" s="152"/>
      <c r="Q188" s="152"/>
    </row>
    <row r="189" spans="1:21">
      <c r="A189" s="122" t="s">
        <v>86</v>
      </c>
      <c r="B189" s="145" t="s">
        <v>207</v>
      </c>
      <c r="C189" s="145" t="s">
        <v>210</v>
      </c>
      <c r="D189" s="145" t="s">
        <v>220</v>
      </c>
      <c r="E189" s="145" t="s">
        <v>223</v>
      </c>
      <c r="F189" s="145" t="s">
        <v>225</v>
      </c>
      <c r="G189" s="145" t="s">
        <v>227</v>
      </c>
      <c r="H189" s="145" t="s">
        <v>230</v>
      </c>
      <c r="I189" s="145" t="s">
        <v>233</v>
      </c>
      <c r="J189" s="145" t="s">
        <v>237</v>
      </c>
      <c r="K189" s="145" t="s">
        <v>242</v>
      </c>
      <c r="L189" s="145" t="s">
        <v>245</v>
      </c>
      <c r="M189" s="145" t="s">
        <v>247</v>
      </c>
      <c r="N189" s="145" t="s">
        <v>279</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84.822263000000007</v>
      </c>
      <c r="C191" s="111">
        <v>105.459892</v>
      </c>
      <c r="D191" s="111">
        <v>92.657791000000003</v>
      </c>
      <c r="E191" s="111">
        <v>95.844481999999999</v>
      </c>
      <c r="F191" s="111">
        <v>72.700210999999996</v>
      </c>
      <c r="G191" s="111">
        <v>80.985911000000002</v>
      </c>
      <c r="H191" s="111">
        <v>71.164877000000004</v>
      </c>
      <c r="I191" s="111">
        <v>86.558627999999999</v>
      </c>
      <c r="J191" s="111">
        <v>64.755118999999993</v>
      </c>
      <c r="K191" s="111">
        <v>78.213511999999994</v>
      </c>
      <c r="L191" s="111">
        <v>49.694707000000001</v>
      </c>
      <c r="M191" s="111">
        <v>88.198836999999997</v>
      </c>
      <c r="N191" s="111">
        <v>96.958464000000006</v>
      </c>
      <c r="O191" s="154">
        <f>N191/B191-1</f>
        <v>0.14307801478958426</v>
      </c>
      <c r="P191" s="152"/>
      <c r="Q191" s="152"/>
      <c r="S191" s="111"/>
      <c r="T191" s="111"/>
      <c r="U191" s="111"/>
    </row>
    <row r="192" spans="1:21">
      <c r="A192" s="124" t="s">
        <v>71</v>
      </c>
      <c r="B192" s="111">
        <v>59.611581999999999</v>
      </c>
      <c r="C192" s="111">
        <v>81.554850999999999</v>
      </c>
      <c r="D192" s="111">
        <v>85.516738000000004</v>
      </c>
      <c r="E192" s="111">
        <v>100.845438</v>
      </c>
      <c r="F192" s="111">
        <v>88.146169</v>
      </c>
      <c r="G192" s="111">
        <v>58.699295999999997</v>
      </c>
      <c r="H192" s="111">
        <v>71.704355000000007</v>
      </c>
      <c r="I192" s="111">
        <v>68.034813999999997</v>
      </c>
      <c r="J192" s="111">
        <v>90.106879000000006</v>
      </c>
      <c r="K192" s="111">
        <v>88.275216</v>
      </c>
      <c r="L192" s="111">
        <v>92.510457000000002</v>
      </c>
      <c r="M192" s="111">
        <v>92.520251000000002</v>
      </c>
      <c r="N192" s="111">
        <v>69.668030000000002</v>
      </c>
      <c r="O192" s="154">
        <f>N192/B192-1</f>
        <v>0.16869956579914303</v>
      </c>
      <c r="P192" s="154">
        <f>(N191+N192)/(B191+B192)-1</f>
        <v>0.15365269130652859</v>
      </c>
      <c r="Q192" s="152"/>
      <c r="S192" s="111"/>
      <c r="T192" s="111"/>
      <c r="U192" s="111"/>
    </row>
    <row r="193" spans="1:17">
      <c r="B193" s="167"/>
      <c r="M193" s="167"/>
      <c r="N193" s="167"/>
    </row>
    <row r="194" spans="1:17">
      <c r="A194" s="84" t="s">
        <v>172</v>
      </c>
      <c r="C194" s="142" t="str">
        <f t="shared" ref="C194:O194" si="7">MID(C196,6,1)</f>
        <v>F</v>
      </c>
      <c r="D194" s="142" t="str">
        <f t="shared" si="7"/>
        <v>M</v>
      </c>
      <c r="E194" s="142" t="str">
        <f t="shared" si="7"/>
        <v>A</v>
      </c>
      <c r="F194" s="142" t="str">
        <f t="shared" si="7"/>
        <v>M</v>
      </c>
      <c r="G194" s="142" t="str">
        <f t="shared" si="7"/>
        <v>J</v>
      </c>
      <c r="H194" s="142" t="str">
        <f t="shared" si="7"/>
        <v>J</v>
      </c>
      <c r="I194" s="142" t="str">
        <f t="shared" si="7"/>
        <v>A</v>
      </c>
      <c r="J194" s="142" t="str">
        <f t="shared" si="7"/>
        <v>S</v>
      </c>
      <c r="K194" s="142" t="str">
        <f t="shared" si="7"/>
        <v>O</v>
      </c>
      <c r="L194" s="142" t="str">
        <f t="shared" si="7"/>
        <v>N</v>
      </c>
      <c r="M194" s="142" t="str">
        <f t="shared" si="7"/>
        <v>D</v>
      </c>
      <c r="N194" s="142" t="str">
        <f t="shared" si="7"/>
        <v>E</v>
      </c>
      <c r="O194" s="142" t="str">
        <f t="shared" si="7"/>
        <v>F</v>
      </c>
    </row>
    <row r="195" spans="1:17">
      <c r="A195" s="122"/>
      <c r="B195" s="122" t="s">
        <v>27</v>
      </c>
      <c r="C195" s="233" t="s">
        <v>156</v>
      </c>
      <c r="D195" s="234"/>
      <c r="E195" s="234"/>
      <c r="F195" s="234"/>
      <c r="G195" s="234"/>
      <c r="H195" s="234"/>
      <c r="I195" s="234"/>
      <c r="J195" s="234"/>
      <c r="K195" s="234"/>
      <c r="L195" s="234"/>
      <c r="M195" s="234"/>
      <c r="N195" s="234"/>
      <c r="O195" s="234"/>
      <c r="P195" s="152"/>
      <c r="Q195" s="152"/>
    </row>
    <row r="196" spans="1:17">
      <c r="A196" s="122"/>
      <c r="B196" s="123" t="s">
        <v>86</v>
      </c>
      <c r="C196" s="145" t="s">
        <v>207</v>
      </c>
      <c r="D196" s="145" t="s">
        <v>210</v>
      </c>
      <c r="E196" s="145" t="s">
        <v>220</v>
      </c>
      <c r="F196" s="145" t="s">
        <v>223</v>
      </c>
      <c r="G196" s="145" t="s">
        <v>225</v>
      </c>
      <c r="H196" s="145" t="s">
        <v>227</v>
      </c>
      <c r="I196" s="145" t="s">
        <v>230</v>
      </c>
      <c r="J196" s="145" t="s">
        <v>233</v>
      </c>
      <c r="K196" s="145" t="s">
        <v>237</v>
      </c>
      <c r="L196" s="145" t="s">
        <v>242</v>
      </c>
      <c r="M196" s="145" t="s">
        <v>245</v>
      </c>
      <c r="N196" s="145" t="s">
        <v>247</v>
      </c>
      <c r="O196" s="145" t="s">
        <v>279</v>
      </c>
      <c r="P196" s="152"/>
      <c r="Q196" s="152"/>
    </row>
    <row r="197" spans="1:17">
      <c r="A197" s="122" t="s">
        <v>119</v>
      </c>
      <c r="B197" s="122" t="s">
        <v>120</v>
      </c>
      <c r="C197" s="192"/>
      <c r="D197" s="192"/>
      <c r="E197" s="192"/>
      <c r="F197" s="192"/>
      <c r="G197" s="192"/>
      <c r="H197" s="192"/>
      <c r="I197" s="192"/>
      <c r="J197" s="192"/>
      <c r="K197" s="192"/>
      <c r="L197" s="192"/>
      <c r="M197" s="192"/>
      <c r="N197" s="192"/>
      <c r="O197" s="191"/>
      <c r="P197" s="152"/>
      <c r="Q197" s="152"/>
    </row>
    <row r="198" spans="1:17">
      <c r="A198" s="241" t="s">
        <v>71</v>
      </c>
      <c r="B198" s="124" t="s">
        <v>82</v>
      </c>
      <c r="C198" s="125">
        <v>0</v>
      </c>
      <c r="D198" s="125">
        <v>0</v>
      </c>
      <c r="E198" s="125">
        <v>0</v>
      </c>
      <c r="F198" s="125">
        <v>0</v>
      </c>
      <c r="G198" s="125">
        <v>0</v>
      </c>
      <c r="H198" s="125">
        <v>0</v>
      </c>
      <c r="I198" s="125">
        <v>0</v>
      </c>
      <c r="J198" s="125">
        <v>0</v>
      </c>
      <c r="K198" s="125">
        <v>0</v>
      </c>
      <c r="L198" s="125">
        <v>0</v>
      </c>
      <c r="M198" s="125">
        <v>0</v>
      </c>
      <c r="N198" s="125">
        <v>0</v>
      </c>
      <c r="O198" s="125">
        <v>0</v>
      </c>
      <c r="P198" s="152"/>
      <c r="Q198" s="152"/>
    </row>
    <row r="199" spans="1:17">
      <c r="A199" s="243"/>
      <c r="B199" s="124" t="s">
        <v>73</v>
      </c>
      <c r="C199" s="125">
        <v>155.25</v>
      </c>
      <c r="D199" s="125">
        <v>34.450000000000003</v>
      </c>
      <c r="E199" s="125">
        <v>30.05</v>
      </c>
      <c r="F199" s="125">
        <v>0</v>
      </c>
      <c r="G199" s="125">
        <v>83.15</v>
      </c>
      <c r="H199" s="125">
        <v>422.25</v>
      </c>
      <c r="I199" s="125">
        <v>0</v>
      </c>
      <c r="J199" s="125">
        <v>90</v>
      </c>
      <c r="K199" s="125">
        <v>457.41699999999997</v>
      </c>
      <c r="L199" s="125">
        <v>20</v>
      </c>
      <c r="M199" s="125">
        <v>252.51499999999999</v>
      </c>
      <c r="N199" s="125">
        <v>859</v>
      </c>
      <c r="O199" s="125">
        <v>0</v>
      </c>
      <c r="P199" s="152"/>
      <c r="Q199" s="152"/>
    </row>
    <row r="200" spans="1:17">
      <c r="A200" s="243"/>
      <c r="B200" s="124" t="s">
        <v>23</v>
      </c>
      <c r="C200" s="125">
        <v>41086.735000000001</v>
      </c>
      <c r="D200" s="125">
        <v>42628.800000000003</v>
      </c>
      <c r="E200" s="125">
        <v>21334.2</v>
      </c>
      <c r="F200" s="125">
        <v>43474.65</v>
      </c>
      <c r="G200" s="125">
        <v>226890.22500000001</v>
      </c>
      <c r="H200" s="125">
        <v>209561.22500000001</v>
      </c>
      <c r="I200" s="125">
        <v>179282</v>
      </c>
      <c r="J200" s="125">
        <v>112488.129</v>
      </c>
      <c r="K200" s="125">
        <v>207007.23800000001</v>
      </c>
      <c r="L200" s="125">
        <v>207366.633</v>
      </c>
      <c r="M200" s="125">
        <v>266092.64399999997</v>
      </c>
      <c r="N200" s="125">
        <v>302103.14199999999</v>
      </c>
      <c r="O200" s="125">
        <v>51089.714</v>
      </c>
      <c r="P200" s="152"/>
      <c r="Q200" s="152"/>
    </row>
    <row r="201" spans="1:17">
      <c r="A201" s="243"/>
      <c r="B201" s="124" t="s">
        <v>80</v>
      </c>
      <c r="C201" s="125">
        <v>0</v>
      </c>
      <c r="D201" s="125">
        <v>140</v>
      </c>
      <c r="E201" s="125">
        <v>52.5</v>
      </c>
      <c r="F201" s="125">
        <v>92.75</v>
      </c>
      <c r="G201" s="125">
        <v>209.25</v>
      </c>
      <c r="H201" s="125">
        <v>318.75</v>
      </c>
      <c r="I201" s="125">
        <v>173.25</v>
      </c>
      <c r="J201" s="125">
        <v>239.75</v>
      </c>
      <c r="K201" s="125">
        <v>542.86699999999996</v>
      </c>
      <c r="L201" s="125">
        <v>165.75</v>
      </c>
      <c r="M201" s="125">
        <v>189.25</v>
      </c>
      <c r="N201" s="125">
        <v>228</v>
      </c>
      <c r="O201" s="125">
        <v>295.75</v>
      </c>
      <c r="P201" s="152"/>
      <c r="Q201" s="152"/>
    </row>
    <row r="202" spans="1:17">
      <c r="A202" s="243"/>
      <c r="B202" s="124" t="s">
        <v>74</v>
      </c>
      <c r="C202" s="125">
        <v>10732.416999999999</v>
      </c>
      <c r="D202" s="125">
        <v>30167.8</v>
      </c>
      <c r="E202" s="125">
        <v>25127.55</v>
      </c>
      <c r="F202" s="125">
        <v>28512.400000000001</v>
      </c>
      <c r="G202" s="125">
        <v>19186.8</v>
      </c>
      <c r="H202" s="125">
        <v>17123.95</v>
      </c>
      <c r="I202" s="125">
        <v>17965.3</v>
      </c>
      <c r="J202" s="125">
        <v>19717.983</v>
      </c>
      <c r="K202" s="125">
        <v>19655.100999999999</v>
      </c>
      <c r="L202" s="125">
        <v>31749.741000000002</v>
      </c>
      <c r="M202" s="125">
        <v>19420.499</v>
      </c>
      <c r="N202" s="125">
        <v>21825</v>
      </c>
      <c r="O202" s="125">
        <v>12831.683999999999</v>
      </c>
      <c r="P202" s="152"/>
      <c r="Q202" s="152"/>
    </row>
    <row r="203" spans="1:17">
      <c r="A203" s="243"/>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43"/>
      <c r="B204" s="124" t="s">
        <v>77</v>
      </c>
      <c r="C204" s="125">
        <v>9668.9809999999998</v>
      </c>
      <c r="D204" s="125">
        <v>31429.5</v>
      </c>
      <c r="E204" s="125">
        <v>27130.85</v>
      </c>
      <c r="F204" s="125">
        <v>43167.925000000003</v>
      </c>
      <c r="G204" s="125">
        <v>27497.7</v>
      </c>
      <c r="H204" s="125">
        <v>13989.3</v>
      </c>
      <c r="I204" s="125">
        <v>16005.75</v>
      </c>
      <c r="J204" s="125">
        <v>16576.755000000001</v>
      </c>
      <c r="K204" s="125">
        <v>26102.233</v>
      </c>
      <c r="L204" s="125">
        <v>21238.094000000001</v>
      </c>
      <c r="M204" s="125">
        <v>18071.8</v>
      </c>
      <c r="N204" s="125">
        <v>31834.75</v>
      </c>
      <c r="O204" s="125">
        <v>56996.767999999996</v>
      </c>
      <c r="P204" s="152"/>
      <c r="Q204" s="152"/>
    </row>
    <row r="205" spans="1:17">
      <c r="A205" s="243"/>
      <c r="B205" s="124" t="s">
        <v>229</v>
      </c>
      <c r="C205" s="125">
        <v>0</v>
      </c>
      <c r="D205" s="125">
        <v>0</v>
      </c>
      <c r="E205" s="125">
        <v>0</v>
      </c>
      <c r="F205" s="125">
        <v>0</v>
      </c>
      <c r="G205" s="125">
        <v>0</v>
      </c>
      <c r="H205" s="125">
        <v>0</v>
      </c>
      <c r="I205" s="125">
        <v>0</v>
      </c>
      <c r="J205" s="125">
        <v>0</v>
      </c>
      <c r="K205" s="125">
        <v>0</v>
      </c>
      <c r="L205" s="125">
        <v>0</v>
      </c>
      <c r="M205" s="125">
        <v>0</v>
      </c>
      <c r="N205" s="125">
        <v>0</v>
      </c>
      <c r="O205" s="125">
        <v>0</v>
      </c>
      <c r="P205" s="152"/>
      <c r="Q205" s="152"/>
    </row>
    <row r="206" spans="1:17">
      <c r="A206" s="243"/>
      <c r="B206" s="124" t="s">
        <v>204</v>
      </c>
      <c r="C206" s="125">
        <v>0</v>
      </c>
      <c r="D206" s="125">
        <v>0</v>
      </c>
      <c r="E206" s="125">
        <v>0</v>
      </c>
      <c r="F206" s="125">
        <v>0</v>
      </c>
      <c r="G206" s="125">
        <v>0</v>
      </c>
      <c r="H206" s="125">
        <v>0</v>
      </c>
      <c r="I206" s="125">
        <v>0</v>
      </c>
      <c r="J206" s="125">
        <v>29.75</v>
      </c>
      <c r="K206" s="125">
        <v>0</v>
      </c>
      <c r="L206" s="125">
        <v>0</v>
      </c>
      <c r="M206" s="125">
        <v>0</v>
      </c>
      <c r="N206" s="125">
        <v>0</v>
      </c>
      <c r="O206" s="125">
        <v>0</v>
      </c>
      <c r="P206" s="152"/>
      <c r="Q206" s="152"/>
    </row>
    <row r="207" spans="1:17">
      <c r="A207" s="243"/>
      <c r="B207" s="124" t="s">
        <v>19</v>
      </c>
      <c r="C207" s="125">
        <v>17178.798999999999</v>
      </c>
      <c r="D207" s="125">
        <v>34297.5</v>
      </c>
      <c r="E207" s="125">
        <v>36079.15</v>
      </c>
      <c r="F207" s="125">
        <v>30711.75</v>
      </c>
      <c r="G207" s="125">
        <v>31774.95</v>
      </c>
      <c r="H207" s="125">
        <v>85316.175000000003</v>
      </c>
      <c r="I207" s="125">
        <v>54636.866999999998</v>
      </c>
      <c r="J207" s="125">
        <v>20999.040000000001</v>
      </c>
      <c r="K207" s="125">
        <v>52921.534</v>
      </c>
      <c r="L207" s="125">
        <v>43671.635000000002</v>
      </c>
      <c r="M207" s="125">
        <v>78431.933999999994</v>
      </c>
      <c r="N207" s="125">
        <v>67707.217999999993</v>
      </c>
      <c r="O207" s="125">
        <v>34524.767999999996</v>
      </c>
      <c r="P207" s="152"/>
      <c r="Q207" s="152"/>
    </row>
    <row r="208" spans="1:17">
      <c r="A208" s="243"/>
      <c r="B208" s="124" t="s">
        <v>169</v>
      </c>
      <c r="C208" s="125">
        <v>0</v>
      </c>
      <c r="D208" s="125">
        <v>0</v>
      </c>
      <c r="E208" s="125">
        <v>0</v>
      </c>
      <c r="F208" s="125">
        <v>0</v>
      </c>
      <c r="G208" s="125">
        <v>0</v>
      </c>
      <c r="H208" s="125">
        <v>0</v>
      </c>
      <c r="I208" s="125">
        <v>0</v>
      </c>
      <c r="J208" s="125">
        <v>0</v>
      </c>
      <c r="K208" s="125">
        <v>0</v>
      </c>
      <c r="L208" s="125">
        <v>0</v>
      </c>
      <c r="M208" s="125">
        <v>0</v>
      </c>
      <c r="N208" s="125">
        <v>0</v>
      </c>
      <c r="O208" s="125">
        <v>0</v>
      </c>
      <c r="P208" s="152"/>
      <c r="Q208" s="152"/>
    </row>
    <row r="209" spans="1:17">
      <c r="A209" s="243"/>
      <c r="B209" s="124" t="s">
        <v>84</v>
      </c>
      <c r="C209" s="125">
        <v>28098.799999999999</v>
      </c>
      <c r="D209" s="125">
        <v>34080.6</v>
      </c>
      <c r="E209" s="125">
        <v>26275.474999999999</v>
      </c>
      <c r="F209" s="125">
        <v>35039.25</v>
      </c>
      <c r="G209" s="125">
        <v>33961.75</v>
      </c>
      <c r="H209" s="125">
        <v>27631.25</v>
      </c>
      <c r="I209" s="125">
        <v>39299.75</v>
      </c>
      <c r="J209" s="125">
        <v>29569.5</v>
      </c>
      <c r="K209" s="125">
        <v>15003</v>
      </c>
      <c r="L209" s="125">
        <v>4295.125</v>
      </c>
      <c r="M209" s="125">
        <v>46489.75</v>
      </c>
      <c r="N209" s="125">
        <v>46037.25</v>
      </c>
      <c r="O209" s="125">
        <v>28493.75</v>
      </c>
      <c r="P209" s="152"/>
      <c r="Q209" s="152"/>
    </row>
    <row r="210" spans="1:17">
      <c r="A210" s="243"/>
      <c r="B210" s="124" t="s">
        <v>72</v>
      </c>
      <c r="C210" s="125">
        <v>0</v>
      </c>
      <c r="D210" s="125">
        <v>359.05</v>
      </c>
      <c r="E210" s="125">
        <v>364</v>
      </c>
      <c r="F210" s="125">
        <v>1965.25</v>
      </c>
      <c r="G210" s="125">
        <v>659</v>
      </c>
      <c r="H210" s="125">
        <v>742</v>
      </c>
      <c r="I210" s="125">
        <v>632.15</v>
      </c>
      <c r="J210" s="125">
        <v>153.69999999999999</v>
      </c>
      <c r="K210" s="125">
        <v>197.75</v>
      </c>
      <c r="L210" s="125">
        <v>817.75</v>
      </c>
      <c r="M210" s="125">
        <v>393.5</v>
      </c>
      <c r="N210" s="125">
        <v>266.25</v>
      </c>
      <c r="O210" s="125">
        <v>83.75</v>
      </c>
      <c r="P210" s="152"/>
      <c r="Q210" s="152"/>
    </row>
    <row r="211" spans="1:17">
      <c r="A211" s="243"/>
      <c r="B211" s="124" t="s">
        <v>81</v>
      </c>
      <c r="C211" s="125">
        <v>17.25</v>
      </c>
      <c r="D211" s="125">
        <v>304.89999999999998</v>
      </c>
      <c r="E211" s="125">
        <v>299.3</v>
      </c>
      <c r="F211" s="125">
        <v>1099.6500000000001</v>
      </c>
      <c r="G211" s="125">
        <v>445.65</v>
      </c>
      <c r="H211" s="125">
        <v>454.7</v>
      </c>
      <c r="I211" s="125">
        <v>547.04999999999995</v>
      </c>
      <c r="J211" s="125">
        <v>388.13299999999998</v>
      </c>
      <c r="K211" s="125">
        <v>801.88199999999995</v>
      </c>
      <c r="L211" s="125">
        <v>592.50099999999998</v>
      </c>
      <c r="M211" s="125">
        <v>703.6</v>
      </c>
      <c r="N211" s="125">
        <v>1370.1489999999999</v>
      </c>
      <c r="O211" s="125">
        <v>1479.4169999999999</v>
      </c>
      <c r="P211" s="152"/>
      <c r="Q211" s="152"/>
    </row>
    <row r="212" spans="1:17">
      <c r="A212" s="243"/>
      <c r="B212" s="124" t="s">
        <v>85</v>
      </c>
      <c r="C212" s="125">
        <v>0</v>
      </c>
      <c r="D212" s="125">
        <v>0</v>
      </c>
      <c r="E212" s="125">
        <v>0</v>
      </c>
      <c r="F212" s="125">
        <v>0</v>
      </c>
      <c r="G212" s="125">
        <v>0</v>
      </c>
      <c r="H212" s="125">
        <v>0</v>
      </c>
      <c r="I212" s="125">
        <v>0</v>
      </c>
      <c r="J212" s="125">
        <v>0</v>
      </c>
      <c r="K212" s="125">
        <v>133.5</v>
      </c>
      <c r="L212" s="125">
        <v>901.5</v>
      </c>
      <c r="M212" s="125">
        <v>405.25</v>
      </c>
      <c r="N212" s="125">
        <v>414</v>
      </c>
      <c r="O212" s="125">
        <v>0</v>
      </c>
      <c r="P212" s="152"/>
      <c r="Q212" s="152"/>
    </row>
    <row r="213" spans="1:17">
      <c r="A213" s="243"/>
      <c r="B213" s="124" t="s">
        <v>78</v>
      </c>
      <c r="C213" s="125">
        <v>2360.9009999999998</v>
      </c>
      <c r="D213" s="125">
        <v>6670.45</v>
      </c>
      <c r="E213" s="125">
        <v>9781.15</v>
      </c>
      <c r="F213" s="125">
        <v>14137.575000000001</v>
      </c>
      <c r="G213" s="125">
        <v>20985.474999999999</v>
      </c>
      <c r="H213" s="125">
        <v>14673.875</v>
      </c>
      <c r="I213" s="125">
        <v>22896.5</v>
      </c>
      <c r="J213" s="125">
        <v>14205.386</v>
      </c>
      <c r="K213" s="125">
        <v>9379.7669999999998</v>
      </c>
      <c r="L213" s="125">
        <v>4838.0010000000002</v>
      </c>
      <c r="M213" s="125">
        <v>4763.4480000000003</v>
      </c>
      <c r="N213" s="125">
        <v>6277.7669999999998</v>
      </c>
      <c r="O213" s="125">
        <v>8331.3809999999994</v>
      </c>
      <c r="P213" s="152"/>
      <c r="Q213" s="152"/>
    </row>
    <row r="214" spans="1:17">
      <c r="A214" s="243"/>
      <c r="B214" s="124" t="s">
        <v>79</v>
      </c>
      <c r="C214" s="125">
        <v>4.75</v>
      </c>
      <c r="D214" s="125">
        <v>62.75</v>
      </c>
      <c r="E214" s="125">
        <v>157.75</v>
      </c>
      <c r="F214" s="125">
        <v>300.5</v>
      </c>
      <c r="G214" s="125">
        <v>170.25</v>
      </c>
      <c r="H214" s="125">
        <v>455.92500000000001</v>
      </c>
      <c r="I214" s="125">
        <v>301.75</v>
      </c>
      <c r="J214" s="125">
        <v>325.25</v>
      </c>
      <c r="K214" s="125">
        <v>563.25</v>
      </c>
      <c r="L214" s="125">
        <v>122.25</v>
      </c>
      <c r="M214" s="125">
        <v>165.25</v>
      </c>
      <c r="N214" s="125">
        <v>126.25</v>
      </c>
      <c r="O214" s="125">
        <v>351</v>
      </c>
      <c r="P214" s="152"/>
      <c r="Q214" s="152"/>
    </row>
    <row r="215" spans="1:17">
      <c r="A215" s="243"/>
      <c r="B215" s="124" t="s">
        <v>76</v>
      </c>
      <c r="C215" s="125">
        <v>5627</v>
      </c>
      <c r="D215" s="125">
        <v>14804.75</v>
      </c>
      <c r="E215" s="125">
        <v>16764.75</v>
      </c>
      <c r="F215" s="125">
        <v>23021.55</v>
      </c>
      <c r="G215" s="125">
        <v>17574.599999999999</v>
      </c>
      <c r="H215" s="125">
        <v>21808.125</v>
      </c>
      <c r="I215" s="125">
        <v>20287.816999999999</v>
      </c>
      <c r="J215" s="125">
        <v>18414.18</v>
      </c>
      <c r="K215" s="125">
        <v>16770.466</v>
      </c>
      <c r="L215" s="125">
        <v>17768.901999999998</v>
      </c>
      <c r="M215" s="125">
        <v>29822.548999999999</v>
      </c>
      <c r="N215" s="125">
        <v>42487.55</v>
      </c>
      <c r="O215" s="125">
        <v>18170.684000000001</v>
      </c>
      <c r="P215" s="153"/>
      <c r="Q215" s="152"/>
    </row>
    <row r="216" spans="1:17">
      <c r="A216" s="242"/>
      <c r="B216" s="183" t="s">
        <v>0</v>
      </c>
      <c r="C216" s="194">
        <v>114930.883</v>
      </c>
      <c r="D216" s="194">
        <v>194980.55</v>
      </c>
      <c r="E216" s="194">
        <v>163396.72500000001</v>
      </c>
      <c r="F216" s="194">
        <v>221523.25</v>
      </c>
      <c r="G216" s="194">
        <v>379438.8</v>
      </c>
      <c r="H216" s="194">
        <v>392497.52500000002</v>
      </c>
      <c r="I216" s="194">
        <v>352028.18400000001</v>
      </c>
      <c r="J216" s="194">
        <v>233197.55600000001</v>
      </c>
      <c r="K216" s="194">
        <v>349536.005</v>
      </c>
      <c r="L216" s="194">
        <v>333547.88199999998</v>
      </c>
      <c r="M216" s="194">
        <v>465201.989</v>
      </c>
      <c r="N216" s="194">
        <v>521536.326</v>
      </c>
      <c r="O216" s="194">
        <v>212652.666</v>
      </c>
      <c r="P216" s="153">
        <f>O216/C216-1</f>
        <v>0.85026565923103536</v>
      </c>
      <c r="Q216" s="152"/>
    </row>
    <row r="217" spans="1:17">
      <c r="A217" s="251" t="s">
        <v>75</v>
      </c>
      <c r="B217" s="124" t="s">
        <v>82</v>
      </c>
      <c r="C217" s="125">
        <v>0</v>
      </c>
      <c r="D217" s="125">
        <v>0</v>
      </c>
      <c r="E217" s="125">
        <v>0</v>
      </c>
      <c r="F217" s="125">
        <v>0</v>
      </c>
      <c r="G217" s="125">
        <v>0</v>
      </c>
      <c r="H217" s="125">
        <v>0</v>
      </c>
      <c r="I217" s="125">
        <v>0</v>
      </c>
      <c r="J217" s="125">
        <v>0</v>
      </c>
      <c r="K217" s="125">
        <v>0</v>
      </c>
      <c r="L217" s="125">
        <v>0</v>
      </c>
      <c r="M217" s="125">
        <v>0</v>
      </c>
      <c r="N217" s="125">
        <v>0</v>
      </c>
      <c r="O217" s="125">
        <v>0</v>
      </c>
      <c r="P217" s="154"/>
      <c r="Q217" s="152"/>
    </row>
    <row r="218" spans="1:17">
      <c r="A218" s="243"/>
      <c r="B218" s="124" t="s">
        <v>73</v>
      </c>
      <c r="C218" s="125">
        <v>339</v>
      </c>
      <c r="D218" s="125">
        <v>85</v>
      </c>
      <c r="E218" s="125">
        <v>105</v>
      </c>
      <c r="F218" s="125">
        <v>0</v>
      </c>
      <c r="G218" s="125">
        <v>83.75</v>
      </c>
      <c r="H218" s="125">
        <v>10</v>
      </c>
      <c r="I218" s="125">
        <v>0</v>
      </c>
      <c r="J218" s="125">
        <v>0</v>
      </c>
      <c r="K218" s="125">
        <v>0</v>
      </c>
      <c r="L218" s="125">
        <v>0</v>
      </c>
      <c r="M218" s="125">
        <v>2.5</v>
      </c>
      <c r="N218" s="125">
        <v>0</v>
      </c>
      <c r="O218" s="125">
        <v>0</v>
      </c>
      <c r="P218" s="200"/>
      <c r="Q218" s="152"/>
    </row>
    <row r="219" spans="1:17">
      <c r="A219" s="243"/>
      <c r="B219" s="124" t="s">
        <v>23</v>
      </c>
      <c r="C219" s="125">
        <v>87805.447</v>
      </c>
      <c r="D219" s="125">
        <v>30848.534</v>
      </c>
      <c r="E219" s="125">
        <v>16612.3</v>
      </c>
      <c r="F219" s="125">
        <v>9449.5499999999993</v>
      </c>
      <c r="G219" s="125">
        <v>34376.15</v>
      </c>
      <c r="H219" s="125">
        <v>27134.55</v>
      </c>
      <c r="I219" s="125">
        <v>23693.05</v>
      </c>
      <c r="J219" s="125">
        <v>36576.124000000003</v>
      </c>
      <c r="K219" s="125">
        <v>43036.358999999997</v>
      </c>
      <c r="L219" s="125">
        <v>15669.689</v>
      </c>
      <c r="M219" s="125">
        <v>18577.234</v>
      </c>
      <c r="N219" s="125">
        <v>26667.285</v>
      </c>
      <c r="O219" s="125">
        <v>6967.4669999999996</v>
      </c>
      <c r="P219" s="152"/>
      <c r="Q219" s="152"/>
    </row>
    <row r="220" spans="1:17">
      <c r="A220" s="243"/>
      <c r="B220" s="124" t="s">
        <v>80</v>
      </c>
      <c r="C220" s="125">
        <v>993.53399999999999</v>
      </c>
      <c r="D220" s="125">
        <v>1360.5</v>
      </c>
      <c r="E220" s="125">
        <v>1568.95</v>
      </c>
      <c r="F220" s="125">
        <v>863.15</v>
      </c>
      <c r="G220" s="125">
        <v>366.5</v>
      </c>
      <c r="H220" s="125">
        <v>941.3</v>
      </c>
      <c r="I220" s="125">
        <v>409.5</v>
      </c>
      <c r="J220" s="125">
        <v>383.58300000000003</v>
      </c>
      <c r="K220" s="125">
        <v>665</v>
      </c>
      <c r="L220" s="125">
        <v>436.983</v>
      </c>
      <c r="M220" s="125">
        <v>509.983</v>
      </c>
      <c r="N220" s="125">
        <v>1312.75</v>
      </c>
      <c r="O220" s="125">
        <v>1237.567</v>
      </c>
      <c r="P220" s="152"/>
      <c r="Q220" s="152"/>
    </row>
    <row r="221" spans="1:17">
      <c r="A221" s="243"/>
      <c r="B221" s="124" t="s">
        <v>74</v>
      </c>
      <c r="C221" s="125">
        <v>76705.798999999999</v>
      </c>
      <c r="D221" s="125">
        <v>53970.15</v>
      </c>
      <c r="E221" s="125">
        <v>44515.75</v>
      </c>
      <c r="F221" s="125">
        <v>21756.775000000001</v>
      </c>
      <c r="G221" s="125">
        <v>9671.85</v>
      </c>
      <c r="H221" s="125">
        <v>22367.341</v>
      </c>
      <c r="I221" s="125">
        <v>22439.35</v>
      </c>
      <c r="J221" s="125">
        <v>24097.200000000001</v>
      </c>
      <c r="K221" s="125">
        <v>24716.331999999999</v>
      </c>
      <c r="L221" s="125">
        <v>15651.814</v>
      </c>
      <c r="M221" s="125">
        <v>21209.651000000002</v>
      </c>
      <c r="N221" s="125">
        <v>65291.366000000002</v>
      </c>
      <c r="O221" s="125">
        <v>38186.917999999998</v>
      </c>
      <c r="P221" s="152"/>
      <c r="Q221" s="152"/>
    </row>
    <row r="222" spans="1:17">
      <c r="A222" s="243"/>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43"/>
      <c r="B223" s="124" t="s">
        <v>77</v>
      </c>
      <c r="C223" s="125">
        <v>82469.11</v>
      </c>
      <c r="D223" s="125">
        <v>172995.63699999999</v>
      </c>
      <c r="E223" s="125">
        <v>130290.417</v>
      </c>
      <c r="F223" s="125">
        <v>60074.966999999997</v>
      </c>
      <c r="G223" s="125">
        <v>26082.375</v>
      </c>
      <c r="H223" s="125">
        <v>69061.966</v>
      </c>
      <c r="I223" s="125">
        <v>52735.925999999999</v>
      </c>
      <c r="J223" s="125">
        <v>63325.637000000002</v>
      </c>
      <c r="K223" s="125">
        <v>56825.010999999999</v>
      </c>
      <c r="L223" s="125">
        <v>74208.519</v>
      </c>
      <c r="M223" s="125">
        <v>31529.169000000002</v>
      </c>
      <c r="N223" s="125">
        <v>172075.13800000001</v>
      </c>
      <c r="O223" s="125">
        <v>226398.48300000001</v>
      </c>
      <c r="P223" s="152"/>
      <c r="Q223" s="152"/>
    </row>
    <row r="224" spans="1:17">
      <c r="A224" s="243"/>
      <c r="B224" s="124" t="s">
        <v>229</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43"/>
      <c r="B225" s="124" t="s">
        <v>204</v>
      </c>
      <c r="C225" s="125">
        <v>0</v>
      </c>
      <c r="D225" s="125">
        <v>0</v>
      </c>
      <c r="E225" s="125">
        <v>22.75</v>
      </c>
      <c r="F225" s="125">
        <v>22</v>
      </c>
      <c r="G225" s="125">
        <v>0</v>
      </c>
      <c r="H225" s="125">
        <v>0</v>
      </c>
      <c r="I225" s="125">
        <v>0</v>
      </c>
      <c r="J225" s="125">
        <v>211.4</v>
      </c>
      <c r="K225" s="125">
        <v>15.25</v>
      </c>
      <c r="L225" s="125">
        <v>0</v>
      </c>
      <c r="M225" s="125">
        <v>0.5</v>
      </c>
      <c r="N225" s="125">
        <v>25.3</v>
      </c>
      <c r="O225" s="125">
        <v>20.417000000000002</v>
      </c>
      <c r="P225" s="152"/>
      <c r="Q225" s="152"/>
    </row>
    <row r="226" spans="1:28">
      <c r="A226" s="243"/>
      <c r="B226" s="124" t="s">
        <v>19</v>
      </c>
      <c r="C226" s="125">
        <v>84995.438999999998</v>
      </c>
      <c r="D226" s="125">
        <v>62327.576000000001</v>
      </c>
      <c r="E226" s="125">
        <v>66805.399999999994</v>
      </c>
      <c r="F226" s="125">
        <v>38696.474999999999</v>
      </c>
      <c r="G226" s="125">
        <v>56107.25</v>
      </c>
      <c r="H226" s="125">
        <v>28608.517</v>
      </c>
      <c r="I226" s="125">
        <v>11833.25</v>
      </c>
      <c r="J226" s="125">
        <v>35547.775999999998</v>
      </c>
      <c r="K226" s="125">
        <v>20297.741000000002</v>
      </c>
      <c r="L226" s="125">
        <v>14523.97</v>
      </c>
      <c r="M226" s="125">
        <v>20973.499</v>
      </c>
      <c r="N226" s="125">
        <v>50957.332999999999</v>
      </c>
      <c r="O226" s="125">
        <v>33449.748</v>
      </c>
      <c r="P226" s="152"/>
      <c r="Q226" s="152"/>
    </row>
    <row r="227" spans="1:28">
      <c r="A227" s="243"/>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43"/>
      <c r="B228" s="124" t="s">
        <v>84</v>
      </c>
      <c r="C228" s="125">
        <v>33505.375</v>
      </c>
      <c r="D228" s="125">
        <v>36555.050000000003</v>
      </c>
      <c r="E228" s="125">
        <v>42367.775000000001</v>
      </c>
      <c r="F228" s="125">
        <v>23024.25</v>
      </c>
      <c r="G228" s="125">
        <v>44160.5</v>
      </c>
      <c r="H228" s="125">
        <v>32261.5</v>
      </c>
      <c r="I228" s="125">
        <v>35004.25</v>
      </c>
      <c r="J228" s="125">
        <v>45108.25</v>
      </c>
      <c r="K228" s="125">
        <v>21705.724999999999</v>
      </c>
      <c r="L228" s="125">
        <v>6274.25</v>
      </c>
      <c r="M228" s="125">
        <v>33295.5</v>
      </c>
      <c r="N228" s="125">
        <v>33967.75</v>
      </c>
      <c r="O228" s="125">
        <v>12881.5</v>
      </c>
      <c r="P228" s="152"/>
      <c r="Q228" s="152"/>
    </row>
    <row r="229" spans="1:28">
      <c r="A229" s="243"/>
      <c r="B229" s="124" t="s">
        <v>72</v>
      </c>
      <c r="C229" s="125">
        <v>703.5</v>
      </c>
      <c r="D229" s="125">
        <v>479.5</v>
      </c>
      <c r="E229" s="125">
        <v>203.75</v>
      </c>
      <c r="F229" s="125">
        <v>2702</v>
      </c>
      <c r="G229" s="125">
        <v>200.75</v>
      </c>
      <c r="H229" s="125">
        <v>0.5</v>
      </c>
      <c r="I229" s="125">
        <v>8</v>
      </c>
      <c r="J229" s="125">
        <v>350.21699999999998</v>
      </c>
      <c r="K229" s="125">
        <v>1195</v>
      </c>
      <c r="L229" s="125">
        <v>416.85</v>
      </c>
      <c r="M229" s="125">
        <v>643.25</v>
      </c>
      <c r="N229" s="125">
        <v>60.75</v>
      </c>
      <c r="O229" s="125">
        <v>441.5</v>
      </c>
      <c r="P229" s="152"/>
      <c r="Q229" s="152"/>
    </row>
    <row r="230" spans="1:28">
      <c r="A230" s="243"/>
      <c r="B230" s="124" t="s">
        <v>81</v>
      </c>
      <c r="C230" s="125">
        <v>980.66600000000005</v>
      </c>
      <c r="D230" s="125">
        <v>1739.683</v>
      </c>
      <c r="E230" s="125">
        <v>3896.5160000000001</v>
      </c>
      <c r="F230" s="125">
        <v>4437.6490000000003</v>
      </c>
      <c r="G230" s="125">
        <v>3327.3</v>
      </c>
      <c r="H230" s="125">
        <v>2881.4830000000002</v>
      </c>
      <c r="I230" s="125">
        <v>2162.366</v>
      </c>
      <c r="J230" s="125">
        <v>1952.1</v>
      </c>
      <c r="K230" s="125">
        <v>2226.7640000000001</v>
      </c>
      <c r="L230" s="125">
        <v>1742.778</v>
      </c>
      <c r="M230" s="125">
        <v>2462.2339999999999</v>
      </c>
      <c r="N230" s="125">
        <v>4065.0329999999999</v>
      </c>
      <c r="O230" s="125">
        <v>3720.0479999999998</v>
      </c>
      <c r="P230" s="152"/>
      <c r="Q230" s="152"/>
    </row>
    <row r="231" spans="1:28">
      <c r="A231" s="243"/>
      <c r="B231" s="124" t="s">
        <v>85</v>
      </c>
      <c r="C231" s="125">
        <v>0</v>
      </c>
      <c r="D231" s="125">
        <v>0</v>
      </c>
      <c r="E231" s="125">
        <v>0</v>
      </c>
      <c r="F231" s="125">
        <v>0</v>
      </c>
      <c r="G231" s="125">
        <v>0</v>
      </c>
      <c r="H231" s="125">
        <v>0</v>
      </c>
      <c r="I231" s="125">
        <v>0</v>
      </c>
      <c r="J231" s="125">
        <v>0</v>
      </c>
      <c r="K231" s="125">
        <v>24</v>
      </c>
      <c r="L231" s="125">
        <v>11.75</v>
      </c>
      <c r="M231" s="125">
        <v>5</v>
      </c>
      <c r="N231" s="125">
        <v>0</v>
      </c>
      <c r="O231" s="125">
        <v>0</v>
      </c>
      <c r="P231" s="152"/>
      <c r="Q231" s="152"/>
    </row>
    <row r="232" spans="1:28">
      <c r="A232" s="243"/>
      <c r="B232" s="124" t="s">
        <v>78</v>
      </c>
      <c r="C232" s="125">
        <v>63591.995999999999</v>
      </c>
      <c r="D232" s="125">
        <v>87722.982999999993</v>
      </c>
      <c r="E232" s="125">
        <v>104779.283</v>
      </c>
      <c r="F232" s="125">
        <v>99194.45</v>
      </c>
      <c r="G232" s="125">
        <v>21212.375</v>
      </c>
      <c r="H232" s="125">
        <v>83232.362999999998</v>
      </c>
      <c r="I232" s="125">
        <v>66270.042000000001</v>
      </c>
      <c r="J232" s="125">
        <v>79062.11</v>
      </c>
      <c r="K232" s="125">
        <v>48759.669000000002</v>
      </c>
      <c r="L232" s="125">
        <v>25768.780999999999</v>
      </c>
      <c r="M232" s="125">
        <v>6381.4690000000001</v>
      </c>
      <c r="N232" s="125">
        <v>37857.144999999997</v>
      </c>
      <c r="O232" s="125">
        <v>244589.13800000001</v>
      </c>
      <c r="P232" s="152"/>
      <c r="Q232" s="152"/>
    </row>
    <row r="233" spans="1:28">
      <c r="A233" s="243"/>
      <c r="B233" s="124" t="s">
        <v>79</v>
      </c>
      <c r="C233" s="125">
        <v>2296.4499999999998</v>
      </c>
      <c r="D233" s="125">
        <v>2136.5</v>
      </c>
      <c r="E233" s="125">
        <v>679</v>
      </c>
      <c r="F233" s="125">
        <v>1243.3</v>
      </c>
      <c r="G233" s="125">
        <v>979.75</v>
      </c>
      <c r="H233" s="125">
        <v>771.75</v>
      </c>
      <c r="I233" s="125">
        <v>1365</v>
      </c>
      <c r="J233" s="125">
        <v>807.75</v>
      </c>
      <c r="K233" s="125">
        <v>907.75</v>
      </c>
      <c r="L233" s="125">
        <v>86.75</v>
      </c>
      <c r="M233" s="125">
        <v>606.25</v>
      </c>
      <c r="N233" s="125">
        <v>1893.25</v>
      </c>
      <c r="O233" s="125">
        <v>2902.5</v>
      </c>
      <c r="P233" s="153"/>
      <c r="Q233" s="153"/>
    </row>
    <row r="234" spans="1:28">
      <c r="A234" s="243"/>
      <c r="B234" s="124" t="s">
        <v>76</v>
      </c>
      <c r="C234" s="125">
        <v>30971.184000000001</v>
      </c>
      <c r="D234" s="125">
        <v>23083.05</v>
      </c>
      <c r="E234" s="125">
        <v>24323</v>
      </c>
      <c r="F234" s="125">
        <v>15956.517</v>
      </c>
      <c r="G234" s="125">
        <v>10532.25</v>
      </c>
      <c r="H234" s="125">
        <v>10383.450000000001</v>
      </c>
      <c r="I234" s="125">
        <v>10664.65</v>
      </c>
      <c r="J234" s="125">
        <v>13546.782999999999</v>
      </c>
      <c r="K234" s="125">
        <v>17059.75</v>
      </c>
      <c r="L234" s="125">
        <v>8942.5499999999993</v>
      </c>
      <c r="M234" s="125">
        <v>10255.6</v>
      </c>
      <c r="N234" s="125">
        <v>30050.967000000001</v>
      </c>
      <c r="O234" s="125">
        <v>29190.814999999999</v>
      </c>
      <c r="P234" s="119"/>
      <c r="Q234" s="119"/>
    </row>
    <row r="235" spans="1:28">
      <c r="A235" s="242"/>
      <c r="B235" s="183" t="s">
        <v>0</v>
      </c>
      <c r="C235" s="194">
        <v>465357.5</v>
      </c>
      <c r="D235" s="194">
        <v>473304.163</v>
      </c>
      <c r="E235" s="194">
        <v>436169.891</v>
      </c>
      <c r="F235" s="194">
        <v>277421.08299999998</v>
      </c>
      <c r="G235" s="194">
        <v>207100.79999999999</v>
      </c>
      <c r="H235" s="194">
        <v>277654.71999999997</v>
      </c>
      <c r="I235" s="194">
        <v>226585.38399999999</v>
      </c>
      <c r="J235" s="194">
        <v>300968.93</v>
      </c>
      <c r="K235" s="194">
        <v>237434.351</v>
      </c>
      <c r="L235" s="194">
        <v>163734.68400000001</v>
      </c>
      <c r="M235" s="194">
        <v>146451.83900000001</v>
      </c>
      <c r="N235" s="194">
        <v>424224.06699999998</v>
      </c>
      <c r="O235" s="194">
        <v>599986.10100000002</v>
      </c>
      <c r="P235" s="153">
        <f>O235/C235-1</f>
        <v>0.28930145318384248</v>
      </c>
      <c r="Q235" s="153">
        <f>(O216+O235)/(C235+C216)-1</f>
        <v>0.40040502413435353</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F</v>
      </c>
      <c r="D256" s="164" t="str">
        <f t="shared" ref="D256:O256" si="8">MID(D258,6,1)</f>
        <v>M</v>
      </c>
      <c r="E256" s="164" t="str">
        <f t="shared" si="8"/>
        <v>A</v>
      </c>
      <c r="F256" s="164" t="str">
        <f t="shared" si="8"/>
        <v>M</v>
      </c>
      <c r="G256" s="164" t="str">
        <f t="shared" si="8"/>
        <v>J</v>
      </c>
      <c r="H256" s="164" t="str">
        <f t="shared" si="8"/>
        <v>J</v>
      </c>
      <c r="I256" s="164" t="str">
        <f t="shared" si="8"/>
        <v>A</v>
      </c>
      <c r="J256" s="164" t="str">
        <f t="shared" si="8"/>
        <v>S</v>
      </c>
      <c r="K256" s="164" t="str">
        <f t="shared" si="8"/>
        <v>O</v>
      </c>
      <c r="L256" s="164" t="str">
        <f t="shared" si="8"/>
        <v>N</v>
      </c>
      <c r="M256" s="164" t="str">
        <f t="shared" si="8"/>
        <v>D</v>
      </c>
      <c r="N256" s="164" t="str">
        <f t="shared" si="8"/>
        <v>E</v>
      </c>
      <c r="O256" s="164" t="str">
        <f t="shared" si="8"/>
        <v>F</v>
      </c>
      <c r="Q256" s="152"/>
    </row>
    <row r="257" spans="1:17">
      <c r="A257" s="122"/>
      <c r="B257" s="122" t="s">
        <v>27</v>
      </c>
      <c r="C257" s="239" t="s">
        <v>170</v>
      </c>
      <c r="D257" s="240"/>
      <c r="E257" s="240"/>
      <c r="F257" s="240"/>
      <c r="G257" s="240"/>
      <c r="H257" s="240"/>
      <c r="I257" s="240"/>
      <c r="J257" s="240"/>
      <c r="K257" s="240"/>
      <c r="L257" s="240"/>
      <c r="M257" s="240"/>
      <c r="N257" s="240"/>
      <c r="O257" s="240"/>
      <c r="Q257" s="152"/>
    </row>
    <row r="258" spans="1:17">
      <c r="A258" s="122"/>
      <c r="B258" s="122" t="s">
        <v>86</v>
      </c>
      <c r="C258" s="145" t="s">
        <v>207</v>
      </c>
      <c r="D258" s="145" t="s">
        <v>210</v>
      </c>
      <c r="E258" s="145" t="s">
        <v>220</v>
      </c>
      <c r="F258" s="145" t="s">
        <v>223</v>
      </c>
      <c r="G258" s="145" t="s">
        <v>225</v>
      </c>
      <c r="H258" s="145" t="s">
        <v>227</v>
      </c>
      <c r="I258" s="145" t="s">
        <v>230</v>
      </c>
      <c r="J258" s="145" t="s">
        <v>233</v>
      </c>
      <c r="K258" s="145" t="s">
        <v>237</v>
      </c>
      <c r="L258" s="145" t="s">
        <v>242</v>
      </c>
      <c r="M258" s="145" t="s">
        <v>245</v>
      </c>
      <c r="N258" s="145" t="s">
        <v>247</v>
      </c>
      <c r="O258" s="145" t="s">
        <v>279</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44" t="s">
        <v>71</v>
      </c>
      <c r="B260" s="124" t="s">
        <v>82</v>
      </c>
      <c r="C260" s="125">
        <v>0</v>
      </c>
      <c r="D260" s="125">
        <v>0</v>
      </c>
      <c r="E260" s="125">
        <v>0</v>
      </c>
      <c r="F260" s="125">
        <v>0</v>
      </c>
      <c r="G260" s="125">
        <v>0</v>
      </c>
      <c r="H260" s="125">
        <v>0</v>
      </c>
      <c r="I260" s="125">
        <v>0</v>
      </c>
      <c r="J260" s="125">
        <v>0</v>
      </c>
      <c r="K260" s="125">
        <v>0</v>
      </c>
      <c r="L260" s="125">
        <v>0</v>
      </c>
      <c r="M260" s="125">
        <v>0</v>
      </c>
      <c r="N260" s="125"/>
      <c r="O260" s="125"/>
      <c r="Q260" s="152"/>
    </row>
    <row r="261" spans="1:17">
      <c r="A261" s="245"/>
      <c r="B261" s="124" t="s">
        <v>73</v>
      </c>
      <c r="C261" s="125">
        <v>260</v>
      </c>
      <c r="D261" s="125">
        <v>897.77499999999998</v>
      </c>
      <c r="E261" s="125">
        <v>298.75</v>
      </c>
      <c r="F261" s="125">
        <v>0</v>
      </c>
      <c r="G261" s="125">
        <v>45</v>
      </c>
      <c r="H261" s="125">
        <v>75.974999999999994</v>
      </c>
      <c r="I261" s="125">
        <v>0</v>
      </c>
      <c r="J261" s="125">
        <v>140</v>
      </c>
      <c r="K261" s="125">
        <v>133</v>
      </c>
      <c r="L261" s="125">
        <v>0</v>
      </c>
      <c r="M261" s="125">
        <v>0</v>
      </c>
      <c r="N261" s="125"/>
      <c r="O261" s="125"/>
      <c r="Q261" s="152"/>
    </row>
    <row r="262" spans="1:17">
      <c r="A262" s="245"/>
      <c r="B262" s="124" t="s">
        <v>23</v>
      </c>
      <c r="C262" s="125">
        <v>119835.95</v>
      </c>
      <c r="D262" s="125">
        <v>65766.524999999994</v>
      </c>
      <c r="E262" s="125">
        <v>18888.825000000001</v>
      </c>
      <c r="F262" s="125">
        <v>20152.424999999999</v>
      </c>
      <c r="G262" s="125">
        <v>150562.97500000001</v>
      </c>
      <c r="H262" s="125">
        <v>111394.65</v>
      </c>
      <c r="I262" s="125">
        <v>161963.32500000001</v>
      </c>
      <c r="J262" s="125">
        <v>74319.425000000003</v>
      </c>
      <c r="K262" s="125">
        <v>99176.3</v>
      </c>
      <c r="L262" s="125">
        <v>179691.27499999999</v>
      </c>
      <c r="M262" s="125">
        <v>264347.05</v>
      </c>
      <c r="N262" s="125"/>
      <c r="O262" s="125"/>
      <c r="P262" s="152"/>
      <c r="Q262" s="152"/>
    </row>
    <row r="263" spans="1:17">
      <c r="A263" s="245"/>
      <c r="B263" s="124" t="s">
        <v>80</v>
      </c>
      <c r="C263" s="125">
        <v>0</v>
      </c>
      <c r="D263" s="125">
        <v>99.275000000000006</v>
      </c>
      <c r="E263" s="125">
        <v>7.25</v>
      </c>
      <c r="F263" s="125">
        <v>35.174999999999997</v>
      </c>
      <c r="G263" s="125">
        <v>74.724999999999994</v>
      </c>
      <c r="H263" s="125">
        <v>111</v>
      </c>
      <c r="I263" s="125">
        <v>60.625</v>
      </c>
      <c r="J263" s="125">
        <v>75.25</v>
      </c>
      <c r="K263" s="125">
        <v>415.25</v>
      </c>
      <c r="L263" s="125">
        <v>69</v>
      </c>
      <c r="M263" s="125">
        <v>129</v>
      </c>
      <c r="N263" s="125"/>
      <c r="O263" s="125"/>
      <c r="P263" s="152"/>
      <c r="Q263" s="152"/>
    </row>
    <row r="264" spans="1:17">
      <c r="A264" s="245"/>
      <c r="B264" s="124" t="s">
        <v>74</v>
      </c>
      <c r="C264" s="125">
        <v>6649.75</v>
      </c>
      <c r="D264" s="125">
        <v>13922</v>
      </c>
      <c r="E264" s="125">
        <v>7157.5749999999998</v>
      </c>
      <c r="F264" s="125">
        <v>13771.375</v>
      </c>
      <c r="G264" s="125">
        <v>10233.450000000001</v>
      </c>
      <c r="H264" s="125">
        <v>3364.5</v>
      </c>
      <c r="I264" s="125">
        <v>4842.1000000000004</v>
      </c>
      <c r="J264" s="125">
        <v>4681.25</v>
      </c>
      <c r="K264" s="125">
        <v>6193.5</v>
      </c>
      <c r="L264" s="125">
        <v>15193.5</v>
      </c>
      <c r="M264" s="125">
        <v>10242.799999999999</v>
      </c>
      <c r="N264" s="125"/>
      <c r="O264" s="125"/>
      <c r="P264" s="152"/>
      <c r="Q264" s="152"/>
    </row>
    <row r="265" spans="1:17">
      <c r="A265" s="245"/>
      <c r="B265" s="124" t="s">
        <v>83</v>
      </c>
      <c r="C265" s="125">
        <v>0</v>
      </c>
      <c r="D265" s="125">
        <v>0</v>
      </c>
      <c r="E265" s="125">
        <v>0</v>
      </c>
      <c r="F265" s="125">
        <v>0</v>
      </c>
      <c r="G265" s="125">
        <v>0</v>
      </c>
      <c r="H265" s="125">
        <v>0</v>
      </c>
      <c r="I265" s="125">
        <v>0</v>
      </c>
      <c r="J265" s="125">
        <v>0</v>
      </c>
      <c r="K265" s="125">
        <v>0</v>
      </c>
      <c r="L265" s="125">
        <v>0</v>
      </c>
      <c r="M265" s="125">
        <v>0</v>
      </c>
      <c r="N265" s="125"/>
      <c r="O265" s="125"/>
      <c r="P265" s="153"/>
      <c r="Q265" s="152"/>
    </row>
    <row r="266" spans="1:17">
      <c r="A266" s="245"/>
      <c r="B266" s="124" t="s">
        <v>77</v>
      </c>
      <c r="C266" s="125">
        <v>12835.85</v>
      </c>
      <c r="D266" s="125">
        <v>17127.724999999999</v>
      </c>
      <c r="E266" s="125">
        <v>14921.8</v>
      </c>
      <c r="F266" s="125">
        <v>16516.95</v>
      </c>
      <c r="G266" s="125">
        <v>18618.8</v>
      </c>
      <c r="H266" s="125">
        <v>14987.65</v>
      </c>
      <c r="I266" s="125">
        <v>13106.95</v>
      </c>
      <c r="J266" s="125">
        <v>8238.0249999999996</v>
      </c>
      <c r="K266" s="125">
        <v>13448.6</v>
      </c>
      <c r="L266" s="125">
        <v>27925.05</v>
      </c>
      <c r="M266" s="125">
        <v>15554.725</v>
      </c>
      <c r="N266" s="125"/>
      <c r="O266" s="125"/>
      <c r="P266" s="152"/>
      <c r="Q266" s="152"/>
    </row>
    <row r="267" spans="1:17">
      <c r="A267" s="245"/>
      <c r="B267" s="124" t="s">
        <v>229</v>
      </c>
      <c r="C267" s="125">
        <v>0</v>
      </c>
      <c r="D267" s="125">
        <v>0</v>
      </c>
      <c r="E267" s="125">
        <v>0</v>
      </c>
      <c r="F267" s="125">
        <v>0</v>
      </c>
      <c r="G267" s="125">
        <v>0</v>
      </c>
      <c r="H267" s="125">
        <v>0</v>
      </c>
      <c r="I267" s="125">
        <v>0</v>
      </c>
      <c r="J267" s="125">
        <v>0</v>
      </c>
      <c r="K267" s="125">
        <v>0</v>
      </c>
      <c r="L267" s="125">
        <v>0</v>
      </c>
      <c r="M267" s="125">
        <v>0</v>
      </c>
      <c r="N267" s="125"/>
      <c r="O267" s="125"/>
      <c r="P267" s="152"/>
      <c r="Q267" s="152"/>
    </row>
    <row r="268" spans="1:17">
      <c r="A268" s="245"/>
      <c r="B268" s="124" t="s">
        <v>204</v>
      </c>
      <c r="C268" s="125">
        <v>0</v>
      </c>
      <c r="D268" s="125">
        <v>0</v>
      </c>
      <c r="E268" s="125">
        <v>0</v>
      </c>
      <c r="F268" s="125">
        <v>0</v>
      </c>
      <c r="G268" s="125">
        <v>0</v>
      </c>
      <c r="H268" s="125">
        <v>0</v>
      </c>
      <c r="I268" s="125">
        <v>0</v>
      </c>
      <c r="J268" s="125">
        <v>0.57499999999999996</v>
      </c>
      <c r="K268" s="125">
        <v>0</v>
      </c>
      <c r="L268" s="125">
        <v>0</v>
      </c>
      <c r="M268" s="125">
        <v>0</v>
      </c>
      <c r="N268" s="125"/>
      <c r="O268" s="125"/>
      <c r="P268" s="152"/>
      <c r="Q268" s="152"/>
    </row>
    <row r="269" spans="1:17">
      <c r="A269" s="245"/>
      <c r="B269" s="124" t="s">
        <v>19</v>
      </c>
      <c r="C269" s="125">
        <v>23615.575000000001</v>
      </c>
      <c r="D269" s="125">
        <v>26903.4</v>
      </c>
      <c r="E269" s="125">
        <v>24686.325000000001</v>
      </c>
      <c r="F269" s="125">
        <v>20361.7</v>
      </c>
      <c r="G269" s="125">
        <v>15819.9</v>
      </c>
      <c r="H269" s="125">
        <v>27721.9</v>
      </c>
      <c r="I269" s="125">
        <v>27274.55</v>
      </c>
      <c r="J269" s="125">
        <v>9782.4750000000004</v>
      </c>
      <c r="K269" s="125">
        <v>15907.825000000001</v>
      </c>
      <c r="L269" s="125">
        <v>30043.625</v>
      </c>
      <c r="M269" s="125">
        <v>50532.5</v>
      </c>
      <c r="N269" s="125"/>
      <c r="O269" s="125"/>
      <c r="P269" s="152"/>
      <c r="Q269" s="152"/>
    </row>
    <row r="270" spans="1:17">
      <c r="A270" s="245"/>
      <c r="B270" s="124" t="s">
        <v>169</v>
      </c>
      <c r="C270" s="125">
        <v>0</v>
      </c>
      <c r="D270" s="125">
        <v>0</v>
      </c>
      <c r="E270" s="125">
        <v>0</v>
      </c>
      <c r="F270" s="125">
        <v>0</v>
      </c>
      <c r="G270" s="125">
        <v>0</v>
      </c>
      <c r="H270" s="125">
        <v>0</v>
      </c>
      <c r="I270" s="125">
        <v>0</v>
      </c>
      <c r="J270" s="125">
        <v>0</v>
      </c>
      <c r="K270" s="125">
        <v>0</v>
      </c>
      <c r="L270" s="125">
        <v>0</v>
      </c>
      <c r="M270" s="125">
        <v>0</v>
      </c>
      <c r="N270" s="125"/>
      <c r="O270" s="125"/>
      <c r="P270" s="152"/>
      <c r="Q270" s="152"/>
    </row>
    <row r="271" spans="1:17">
      <c r="A271" s="245"/>
      <c r="B271" s="124" t="s">
        <v>84</v>
      </c>
      <c r="C271" s="125">
        <v>0</v>
      </c>
      <c r="D271" s="125">
        <v>0</v>
      </c>
      <c r="E271" s="125">
        <v>0</v>
      </c>
      <c r="F271" s="125">
        <v>0</v>
      </c>
      <c r="G271" s="125">
        <v>0</v>
      </c>
      <c r="H271" s="125">
        <v>0</v>
      </c>
      <c r="I271" s="125">
        <v>0</v>
      </c>
      <c r="J271" s="125">
        <v>0</v>
      </c>
      <c r="K271" s="125">
        <v>0</v>
      </c>
      <c r="L271" s="125">
        <v>0</v>
      </c>
      <c r="M271" s="125">
        <v>0</v>
      </c>
      <c r="N271" s="125"/>
      <c r="O271" s="125"/>
      <c r="P271" s="152"/>
      <c r="Q271" s="152"/>
    </row>
    <row r="272" spans="1:17">
      <c r="A272" s="245"/>
      <c r="B272" s="124" t="s">
        <v>72</v>
      </c>
      <c r="C272" s="125">
        <v>0</v>
      </c>
      <c r="D272" s="125">
        <v>384.25</v>
      </c>
      <c r="E272" s="125">
        <v>324.5</v>
      </c>
      <c r="F272" s="125">
        <v>1562.875</v>
      </c>
      <c r="G272" s="125">
        <v>1112.175</v>
      </c>
      <c r="H272" s="125">
        <v>171.25</v>
      </c>
      <c r="I272" s="125">
        <v>85</v>
      </c>
      <c r="J272" s="125">
        <v>0.25</v>
      </c>
      <c r="K272" s="125">
        <v>18.75</v>
      </c>
      <c r="L272" s="125">
        <v>649.5</v>
      </c>
      <c r="M272" s="125">
        <v>24.25</v>
      </c>
      <c r="N272" s="125"/>
      <c r="O272" s="125"/>
      <c r="P272" s="152"/>
      <c r="Q272" s="152"/>
    </row>
    <row r="273" spans="1:18">
      <c r="A273" s="245"/>
      <c r="B273" s="124" t="s">
        <v>81</v>
      </c>
      <c r="C273" s="125">
        <v>28</v>
      </c>
      <c r="D273" s="125">
        <v>266.25</v>
      </c>
      <c r="E273" s="125">
        <v>44.25</v>
      </c>
      <c r="F273" s="125">
        <v>17.75</v>
      </c>
      <c r="G273" s="125">
        <v>4</v>
      </c>
      <c r="H273" s="125">
        <v>3</v>
      </c>
      <c r="I273" s="125">
        <v>46.25</v>
      </c>
      <c r="J273" s="125">
        <v>10.75</v>
      </c>
      <c r="K273" s="125">
        <v>9.5</v>
      </c>
      <c r="L273" s="125">
        <v>27.25</v>
      </c>
      <c r="M273" s="125">
        <v>3</v>
      </c>
      <c r="N273" s="125"/>
      <c r="O273" s="125"/>
      <c r="P273" s="152"/>
      <c r="Q273" s="152"/>
    </row>
    <row r="274" spans="1:18">
      <c r="A274" s="245"/>
      <c r="B274" s="124" t="s">
        <v>85</v>
      </c>
      <c r="C274" s="125">
        <v>0</v>
      </c>
      <c r="D274" s="125">
        <v>0</v>
      </c>
      <c r="E274" s="125">
        <v>0</v>
      </c>
      <c r="F274" s="125">
        <v>0</v>
      </c>
      <c r="G274" s="125">
        <v>0</v>
      </c>
      <c r="H274" s="125">
        <v>0</v>
      </c>
      <c r="I274" s="125">
        <v>0</v>
      </c>
      <c r="J274" s="125">
        <v>0</v>
      </c>
      <c r="K274" s="125">
        <v>0</v>
      </c>
      <c r="L274" s="125">
        <v>0</v>
      </c>
      <c r="M274" s="125">
        <v>0</v>
      </c>
      <c r="N274" s="125"/>
      <c r="O274" s="125"/>
      <c r="P274" s="152"/>
      <c r="Q274" s="152"/>
    </row>
    <row r="275" spans="1:18">
      <c r="A275" s="245"/>
      <c r="B275" s="124" t="s">
        <v>78</v>
      </c>
      <c r="C275" s="125">
        <v>5984.15</v>
      </c>
      <c r="D275" s="125">
        <v>6692.5249999999996</v>
      </c>
      <c r="E275" s="125">
        <v>4274.6750000000002</v>
      </c>
      <c r="F275" s="125">
        <v>6754.4</v>
      </c>
      <c r="G275" s="125">
        <v>14755.35</v>
      </c>
      <c r="H275" s="125">
        <v>7808.2749999999996</v>
      </c>
      <c r="I275" s="125">
        <v>13868.125</v>
      </c>
      <c r="J275" s="125">
        <v>5893.8</v>
      </c>
      <c r="K275" s="125">
        <v>3504.1</v>
      </c>
      <c r="L275" s="125">
        <v>5531.55</v>
      </c>
      <c r="M275" s="125">
        <v>5355.3</v>
      </c>
      <c r="N275" s="125"/>
      <c r="O275" s="125"/>
      <c r="P275" s="152"/>
      <c r="Q275" s="152"/>
    </row>
    <row r="276" spans="1:18">
      <c r="A276" s="245"/>
      <c r="B276" s="124" t="s">
        <v>79</v>
      </c>
      <c r="C276" s="125">
        <v>86</v>
      </c>
      <c r="D276" s="125">
        <v>265.75</v>
      </c>
      <c r="E276" s="125">
        <v>984</v>
      </c>
      <c r="F276" s="125">
        <v>815.25</v>
      </c>
      <c r="G276" s="125">
        <v>770.25</v>
      </c>
      <c r="H276" s="125">
        <v>864.57500000000005</v>
      </c>
      <c r="I276" s="125">
        <v>907.3</v>
      </c>
      <c r="J276" s="125">
        <v>575.5</v>
      </c>
      <c r="K276" s="125">
        <v>788.17499999999995</v>
      </c>
      <c r="L276" s="125">
        <v>691.75</v>
      </c>
      <c r="M276" s="125">
        <v>392.375</v>
      </c>
      <c r="N276" s="125"/>
      <c r="O276" s="125"/>
      <c r="P276" s="152"/>
      <c r="Q276" s="152"/>
    </row>
    <row r="277" spans="1:18">
      <c r="A277" s="245"/>
      <c r="B277" s="124" t="s">
        <v>76</v>
      </c>
      <c r="C277" s="125">
        <v>8457.2749999999996</v>
      </c>
      <c r="D277" s="125">
        <v>13758.475</v>
      </c>
      <c r="E277" s="125">
        <v>13137.825000000001</v>
      </c>
      <c r="F277" s="125">
        <v>16514.55</v>
      </c>
      <c r="G277" s="125">
        <v>15115.8</v>
      </c>
      <c r="H277" s="125">
        <v>6738.7</v>
      </c>
      <c r="I277" s="125">
        <v>19303.125</v>
      </c>
      <c r="J277" s="125">
        <v>6517.85</v>
      </c>
      <c r="K277" s="125">
        <v>6593.15</v>
      </c>
      <c r="L277" s="125">
        <v>13094.475</v>
      </c>
      <c r="M277" s="125">
        <v>11431.225</v>
      </c>
      <c r="N277" s="125"/>
      <c r="O277" s="125"/>
      <c r="P277" s="153"/>
      <c r="Q277" s="153"/>
    </row>
    <row r="278" spans="1:18">
      <c r="A278" s="246"/>
      <c r="B278" s="183" t="s">
        <v>0</v>
      </c>
      <c r="C278" s="194">
        <v>177752.55</v>
      </c>
      <c r="D278" s="194">
        <v>146083.95000000001</v>
      </c>
      <c r="E278" s="194">
        <v>84725.774999999994</v>
      </c>
      <c r="F278" s="194">
        <v>96502.45</v>
      </c>
      <c r="G278" s="194">
        <v>227112.42499999999</v>
      </c>
      <c r="H278" s="194">
        <v>173241.47500000001</v>
      </c>
      <c r="I278" s="194">
        <v>241457.35</v>
      </c>
      <c r="J278" s="194">
        <v>110235.15</v>
      </c>
      <c r="K278" s="194">
        <v>146188.15</v>
      </c>
      <c r="L278" s="194">
        <v>272916.97499999998</v>
      </c>
      <c r="M278" s="194">
        <v>358012.22499999998</v>
      </c>
      <c r="N278" s="194"/>
      <c r="O278" s="194"/>
      <c r="P278" s="153">
        <f>O278/C278-1</f>
        <v>-1</v>
      </c>
      <c r="Q278" s="153"/>
    </row>
    <row r="279" spans="1:18">
      <c r="A279" s="247" t="s">
        <v>75</v>
      </c>
      <c r="B279" s="124" t="s">
        <v>82</v>
      </c>
      <c r="C279" s="125">
        <v>0</v>
      </c>
      <c r="D279" s="125">
        <v>0</v>
      </c>
      <c r="E279" s="125">
        <v>0</v>
      </c>
      <c r="F279" s="125">
        <v>0</v>
      </c>
      <c r="G279" s="125">
        <v>0</v>
      </c>
      <c r="H279" s="125">
        <v>0</v>
      </c>
      <c r="I279" s="125">
        <v>0</v>
      </c>
      <c r="J279" s="125">
        <v>0</v>
      </c>
      <c r="K279" s="125">
        <v>0</v>
      </c>
      <c r="L279" s="125">
        <v>0</v>
      </c>
      <c r="M279" s="125">
        <v>0</v>
      </c>
      <c r="N279" s="125"/>
      <c r="O279" s="125"/>
    </row>
    <row r="280" spans="1:18">
      <c r="A280" s="248"/>
      <c r="B280" s="124" t="s">
        <v>73</v>
      </c>
      <c r="C280" s="125">
        <v>132</v>
      </c>
      <c r="D280" s="125">
        <v>28.75</v>
      </c>
      <c r="E280" s="125">
        <v>155.75</v>
      </c>
      <c r="F280" s="125">
        <v>0</v>
      </c>
      <c r="G280" s="125">
        <v>11.5</v>
      </c>
      <c r="H280" s="125">
        <v>0</v>
      </c>
      <c r="I280" s="125">
        <v>0</v>
      </c>
      <c r="J280" s="125">
        <v>0</v>
      </c>
      <c r="K280" s="125">
        <v>0</v>
      </c>
      <c r="L280" s="125">
        <v>0</v>
      </c>
      <c r="M280" s="125">
        <v>8</v>
      </c>
      <c r="N280" s="125"/>
      <c r="O280" s="125"/>
    </row>
    <row r="281" spans="1:18">
      <c r="A281" s="248"/>
      <c r="B281" s="124" t="s">
        <v>23</v>
      </c>
      <c r="C281" s="125">
        <v>55261.525000000001</v>
      </c>
      <c r="D281" s="125">
        <v>35693.599999999999</v>
      </c>
      <c r="E281" s="125">
        <v>15588.025</v>
      </c>
      <c r="F281" s="125">
        <v>9638.65</v>
      </c>
      <c r="G281" s="125">
        <v>14278.375</v>
      </c>
      <c r="H281" s="125">
        <v>13517.6</v>
      </c>
      <c r="I281" s="125">
        <v>17210.974999999999</v>
      </c>
      <c r="J281" s="125">
        <v>26083.525000000001</v>
      </c>
      <c r="K281" s="125">
        <v>27133.95</v>
      </c>
      <c r="L281" s="125">
        <v>4904.3500000000004</v>
      </c>
      <c r="M281" s="125">
        <v>14093.6</v>
      </c>
      <c r="N281" s="125"/>
      <c r="O281" s="125"/>
      <c r="P281" s="161"/>
      <c r="Q281" s="161"/>
      <c r="R281" s="161"/>
    </row>
    <row r="282" spans="1:18">
      <c r="A282" s="248"/>
      <c r="B282" s="124" t="s">
        <v>80</v>
      </c>
      <c r="C282" s="125">
        <v>17</v>
      </c>
      <c r="D282" s="125">
        <v>461.27499999999998</v>
      </c>
      <c r="E282" s="125">
        <v>424</v>
      </c>
      <c r="F282" s="125">
        <v>44.6</v>
      </c>
      <c r="G282" s="125">
        <v>142.15</v>
      </c>
      <c r="H282" s="125">
        <v>382.25</v>
      </c>
      <c r="I282" s="125">
        <v>334.7</v>
      </c>
      <c r="J282" s="125">
        <v>675.3</v>
      </c>
      <c r="K282" s="125">
        <v>329.2</v>
      </c>
      <c r="L282" s="125">
        <v>159.92500000000001</v>
      </c>
      <c r="M282" s="125">
        <v>146.75</v>
      </c>
      <c r="N282" s="125"/>
      <c r="O282" s="125"/>
      <c r="P282" s="161"/>
      <c r="Q282" s="161"/>
      <c r="R282" s="161"/>
    </row>
    <row r="283" spans="1:18">
      <c r="A283" s="248"/>
      <c r="B283" s="124" t="s">
        <v>74</v>
      </c>
      <c r="C283" s="125">
        <v>53214.7</v>
      </c>
      <c r="D283" s="125">
        <v>66433.399999999994</v>
      </c>
      <c r="E283" s="125">
        <v>60650.9</v>
      </c>
      <c r="F283" s="125">
        <v>30223.3</v>
      </c>
      <c r="G283" s="125">
        <v>10803.025</v>
      </c>
      <c r="H283" s="125">
        <v>29063.4</v>
      </c>
      <c r="I283" s="125">
        <v>33584.800000000003</v>
      </c>
      <c r="J283" s="125">
        <v>50212.175000000003</v>
      </c>
      <c r="K283" s="125">
        <v>31660.924999999999</v>
      </c>
      <c r="L283" s="125">
        <v>18738</v>
      </c>
      <c r="M283" s="125">
        <v>17762.55</v>
      </c>
      <c r="N283" s="125"/>
      <c r="O283" s="125"/>
      <c r="P283" s="161"/>
      <c r="Q283" s="161"/>
      <c r="R283" s="161"/>
    </row>
    <row r="284" spans="1:18">
      <c r="A284" s="248"/>
      <c r="B284" s="124" t="s">
        <v>83</v>
      </c>
      <c r="C284" s="125">
        <v>0</v>
      </c>
      <c r="D284" s="125">
        <v>0</v>
      </c>
      <c r="E284" s="125">
        <v>0</v>
      </c>
      <c r="F284" s="125">
        <v>0</v>
      </c>
      <c r="G284" s="125">
        <v>0</v>
      </c>
      <c r="H284" s="125">
        <v>0</v>
      </c>
      <c r="I284" s="125">
        <v>0</v>
      </c>
      <c r="J284" s="125">
        <v>0</v>
      </c>
      <c r="K284" s="125">
        <v>0</v>
      </c>
      <c r="L284" s="125">
        <v>0</v>
      </c>
      <c r="M284" s="125">
        <v>0</v>
      </c>
      <c r="N284" s="125"/>
      <c r="O284" s="125"/>
      <c r="P284" s="161"/>
      <c r="Q284" s="161"/>
      <c r="R284" s="161"/>
    </row>
    <row r="285" spans="1:18">
      <c r="A285" s="248"/>
      <c r="B285" s="124" t="s">
        <v>77</v>
      </c>
      <c r="C285" s="125">
        <v>121282.75</v>
      </c>
      <c r="D285" s="125">
        <v>183823.9</v>
      </c>
      <c r="E285" s="125">
        <v>142915.9</v>
      </c>
      <c r="F285" s="125">
        <v>40362.474999999999</v>
      </c>
      <c r="G285" s="125">
        <v>27645.625</v>
      </c>
      <c r="H285" s="125">
        <v>78708.975000000006</v>
      </c>
      <c r="I285" s="125">
        <v>84855.975000000006</v>
      </c>
      <c r="J285" s="125">
        <v>132430.125</v>
      </c>
      <c r="K285" s="125">
        <v>76987.074999999997</v>
      </c>
      <c r="L285" s="125">
        <v>68351.8</v>
      </c>
      <c r="M285" s="125">
        <v>26891.474999999999</v>
      </c>
      <c r="N285" s="125"/>
      <c r="O285" s="125"/>
      <c r="P285" s="161"/>
      <c r="Q285" s="161"/>
      <c r="R285" s="161"/>
    </row>
    <row r="286" spans="1:18">
      <c r="A286" s="248"/>
      <c r="B286" s="124" t="s">
        <v>229</v>
      </c>
      <c r="C286" s="125">
        <v>0</v>
      </c>
      <c r="D286" s="125">
        <v>0</v>
      </c>
      <c r="E286" s="125">
        <v>0</v>
      </c>
      <c r="F286" s="125">
        <v>0</v>
      </c>
      <c r="G286" s="125">
        <v>0</v>
      </c>
      <c r="H286" s="125">
        <v>0</v>
      </c>
      <c r="I286" s="125">
        <v>0</v>
      </c>
      <c r="J286" s="125">
        <v>0</v>
      </c>
      <c r="K286" s="125">
        <v>0</v>
      </c>
      <c r="L286" s="125">
        <v>0</v>
      </c>
      <c r="M286" s="125">
        <v>0</v>
      </c>
      <c r="N286" s="125"/>
      <c r="O286" s="125"/>
      <c r="P286" s="161"/>
      <c r="Q286" s="161"/>
      <c r="R286" s="161"/>
    </row>
    <row r="287" spans="1:18">
      <c r="A287" s="248"/>
      <c r="B287" s="124" t="s">
        <v>204</v>
      </c>
      <c r="C287" s="125">
        <v>0</v>
      </c>
      <c r="D287" s="125">
        <v>0</v>
      </c>
      <c r="E287" s="125">
        <v>27</v>
      </c>
      <c r="F287" s="125">
        <v>41.875</v>
      </c>
      <c r="G287" s="125">
        <v>0</v>
      </c>
      <c r="H287" s="125">
        <v>0</v>
      </c>
      <c r="I287" s="125">
        <v>0</v>
      </c>
      <c r="J287" s="125">
        <v>594.22500000000002</v>
      </c>
      <c r="K287" s="125">
        <v>0</v>
      </c>
      <c r="L287" s="125">
        <v>0</v>
      </c>
      <c r="M287" s="125">
        <v>0</v>
      </c>
      <c r="N287" s="125"/>
      <c r="O287" s="125"/>
      <c r="P287" s="161"/>
      <c r="Q287" s="161"/>
      <c r="R287" s="161"/>
    </row>
    <row r="288" spans="1:18">
      <c r="A288" s="248"/>
      <c r="B288" s="124" t="s">
        <v>19</v>
      </c>
      <c r="C288" s="125">
        <v>69284.95</v>
      </c>
      <c r="D288" s="125">
        <v>84328.975000000006</v>
      </c>
      <c r="E288" s="125">
        <v>66921.95</v>
      </c>
      <c r="F288" s="125">
        <v>28568.724999999999</v>
      </c>
      <c r="G288" s="125">
        <v>34246.75</v>
      </c>
      <c r="H288" s="125">
        <v>23127.05</v>
      </c>
      <c r="I288" s="125">
        <v>12644.575000000001</v>
      </c>
      <c r="J288" s="125">
        <v>32428.275000000001</v>
      </c>
      <c r="K288" s="125">
        <v>15988.174999999999</v>
      </c>
      <c r="L288" s="125">
        <v>15686.325000000001</v>
      </c>
      <c r="M288" s="125">
        <v>17452.025000000001</v>
      </c>
      <c r="N288" s="125"/>
      <c r="O288" s="125"/>
      <c r="P288" s="161"/>
      <c r="Q288" s="161"/>
      <c r="R288" s="161"/>
    </row>
    <row r="289" spans="1:18">
      <c r="A289" s="248"/>
      <c r="B289" s="124" t="s">
        <v>169</v>
      </c>
      <c r="C289" s="125">
        <v>0</v>
      </c>
      <c r="D289" s="125">
        <v>0</v>
      </c>
      <c r="E289" s="125">
        <v>0</v>
      </c>
      <c r="F289" s="125">
        <v>0</v>
      </c>
      <c r="G289" s="125">
        <v>0</v>
      </c>
      <c r="H289" s="125">
        <v>0</v>
      </c>
      <c r="I289" s="125">
        <v>0</v>
      </c>
      <c r="J289" s="125">
        <v>0</v>
      </c>
      <c r="K289" s="125">
        <v>0</v>
      </c>
      <c r="L289" s="125">
        <v>0</v>
      </c>
      <c r="M289" s="125">
        <v>0</v>
      </c>
      <c r="N289" s="125"/>
      <c r="O289" s="125"/>
      <c r="P289" s="161"/>
      <c r="Q289" s="161"/>
      <c r="R289" s="161"/>
    </row>
    <row r="290" spans="1:18">
      <c r="A290" s="248"/>
      <c r="B290" s="124" t="s">
        <v>84</v>
      </c>
      <c r="C290" s="125">
        <v>0</v>
      </c>
      <c r="D290" s="125">
        <v>0</v>
      </c>
      <c r="E290" s="125">
        <v>0</v>
      </c>
      <c r="F290" s="125">
        <v>0</v>
      </c>
      <c r="G290" s="125">
        <v>0</v>
      </c>
      <c r="H290" s="125">
        <v>0</v>
      </c>
      <c r="I290" s="125">
        <v>0</v>
      </c>
      <c r="J290" s="125">
        <v>0</v>
      </c>
      <c r="K290" s="125">
        <v>0</v>
      </c>
      <c r="L290" s="125">
        <v>0</v>
      </c>
      <c r="M290" s="125">
        <v>0</v>
      </c>
      <c r="N290" s="125"/>
      <c r="O290" s="125"/>
      <c r="P290" s="161"/>
      <c r="Q290" s="161"/>
      <c r="R290" s="161"/>
    </row>
    <row r="291" spans="1:18">
      <c r="A291" s="248"/>
      <c r="B291" s="124" t="s">
        <v>72</v>
      </c>
      <c r="C291" s="125">
        <v>2488.5</v>
      </c>
      <c r="D291" s="125">
        <v>368.6</v>
      </c>
      <c r="E291" s="125">
        <v>1670.625</v>
      </c>
      <c r="F291" s="125">
        <v>4390.55</v>
      </c>
      <c r="G291" s="125">
        <v>1115.9000000000001</v>
      </c>
      <c r="H291" s="125">
        <v>0</v>
      </c>
      <c r="I291" s="125">
        <v>33</v>
      </c>
      <c r="J291" s="125">
        <v>321.97500000000002</v>
      </c>
      <c r="K291" s="125">
        <v>2131.5</v>
      </c>
      <c r="L291" s="125">
        <v>572.57500000000005</v>
      </c>
      <c r="M291" s="125">
        <v>80.525000000000006</v>
      </c>
      <c r="N291" s="125"/>
      <c r="O291" s="125"/>
      <c r="P291" s="161"/>
      <c r="Q291" s="161"/>
      <c r="R291" s="161"/>
    </row>
    <row r="292" spans="1:18">
      <c r="A292" s="248"/>
      <c r="B292" s="124" t="s">
        <v>81</v>
      </c>
      <c r="C292" s="125">
        <v>147</v>
      </c>
      <c r="D292" s="125">
        <v>6</v>
      </c>
      <c r="E292" s="125">
        <v>406.75</v>
      </c>
      <c r="F292" s="125">
        <v>112</v>
      </c>
      <c r="G292" s="125">
        <v>60</v>
      </c>
      <c r="H292" s="125">
        <v>17.5</v>
      </c>
      <c r="I292" s="125">
        <v>210</v>
      </c>
      <c r="J292" s="125">
        <v>36</v>
      </c>
      <c r="K292" s="125">
        <v>72</v>
      </c>
      <c r="L292" s="125">
        <v>70</v>
      </c>
      <c r="M292" s="125">
        <v>194.5</v>
      </c>
      <c r="N292" s="125"/>
      <c r="O292" s="125"/>
      <c r="P292" s="161"/>
      <c r="Q292" s="161"/>
      <c r="R292" s="161"/>
    </row>
    <row r="293" spans="1:18">
      <c r="A293" s="248"/>
      <c r="B293" s="124" t="s">
        <v>85</v>
      </c>
      <c r="C293" s="125">
        <v>0</v>
      </c>
      <c r="D293" s="125">
        <v>0</v>
      </c>
      <c r="E293" s="125">
        <v>0</v>
      </c>
      <c r="F293" s="125">
        <v>0</v>
      </c>
      <c r="G293" s="125">
        <v>0</v>
      </c>
      <c r="H293" s="125">
        <v>0</v>
      </c>
      <c r="I293" s="125">
        <v>0</v>
      </c>
      <c r="J293" s="125">
        <v>0</v>
      </c>
      <c r="K293" s="125">
        <v>0</v>
      </c>
      <c r="L293" s="125">
        <v>0</v>
      </c>
      <c r="M293" s="125">
        <v>0</v>
      </c>
      <c r="N293" s="125"/>
      <c r="O293" s="125"/>
      <c r="P293" s="161"/>
      <c r="Q293" s="161"/>
      <c r="R293" s="161"/>
    </row>
    <row r="294" spans="1:18">
      <c r="A294" s="248"/>
      <c r="B294" s="124" t="s">
        <v>78</v>
      </c>
      <c r="C294" s="125">
        <v>42195.45</v>
      </c>
      <c r="D294" s="125">
        <v>96803.75</v>
      </c>
      <c r="E294" s="125">
        <v>144982.54999999999</v>
      </c>
      <c r="F294" s="125">
        <v>92281.725000000006</v>
      </c>
      <c r="G294" s="125">
        <v>30492.3</v>
      </c>
      <c r="H294" s="125">
        <v>78426.2</v>
      </c>
      <c r="I294" s="125">
        <v>114413.125</v>
      </c>
      <c r="J294" s="125">
        <v>117703.4</v>
      </c>
      <c r="K294" s="125">
        <v>50232.224999999999</v>
      </c>
      <c r="L294" s="125">
        <v>24104.95</v>
      </c>
      <c r="M294" s="125">
        <v>8104.4250000000002</v>
      </c>
      <c r="N294" s="125"/>
      <c r="O294" s="125"/>
      <c r="P294" s="161"/>
      <c r="Q294" s="161"/>
      <c r="R294" s="161"/>
    </row>
    <row r="295" spans="1:18">
      <c r="A295" s="248"/>
      <c r="B295" s="124" t="s">
        <v>79</v>
      </c>
      <c r="C295" s="125">
        <v>17562.8</v>
      </c>
      <c r="D295" s="125">
        <v>11071.275</v>
      </c>
      <c r="E295" s="125">
        <v>9716.75</v>
      </c>
      <c r="F295" s="125">
        <v>3151.25</v>
      </c>
      <c r="G295" s="125">
        <v>3067.5</v>
      </c>
      <c r="H295" s="125">
        <v>1371</v>
      </c>
      <c r="I295" s="125">
        <v>1764.75</v>
      </c>
      <c r="J295" s="125">
        <v>2619</v>
      </c>
      <c r="K295" s="125">
        <v>1674.45</v>
      </c>
      <c r="L295" s="125">
        <v>1156.5</v>
      </c>
      <c r="M295" s="125">
        <v>591.35</v>
      </c>
      <c r="N295" s="125"/>
      <c r="O295" s="125"/>
      <c r="P295" s="161"/>
      <c r="Q295" s="161"/>
      <c r="R295" s="161"/>
    </row>
    <row r="296" spans="1:18">
      <c r="A296" s="248"/>
      <c r="B296" s="124" t="s">
        <v>76</v>
      </c>
      <c r="C296" s="125">
        <v>51895.625</v>
      </c>
      <c r="D296" s="125">
        <v>37795.15</v>
      </c>
      <c r="E296" s="125">
        <v>27303.9</v>
      </c>
      <c r="F296" s="125">
        <v>14841.9</v>
      </c>
      <c r="G296" s="125">
        <v>10692.35</v>
      </c>
      <c r="H296" s="125">
        <v>13728.975</v>
      </c>
      <c r="I296" s="125">
        <v>13260.225</v>
      </c>
      <c r="J296" s="125">
        <v>20307.424999999999</v>
      </c>
      <c r="K296" s="125">
        <v>19480.775000000001</v>
      </c>
      <c r="L296" s="125">
        <v>10449.799999999999</v>
      </c>
      <c r="M296" s="125">
        <v>10315.25</v>
      </c>
      <c r="N296" s="125"/>
      <c r="O296" s="125"/>
      <c r="P296" s="161"/>
      <c r="Q296" s="161"/>
      <c r="R296" s="161"/>
    </row>
    <row r="297" spans="1:18">
      <c r="A297" s="249"/>
      <c r="B297" s="183" t="s">
        <v>0</v>
      </c>
      <c r="C297" s="194">
        <v>413482.3</v>
      </c>
      <c r="D297" s="194">
        <v>516814.67499999999</v>
      </c>
      <c r="E297" s="194">
        <v>470764.1</v>
      </c>
      <c r="F297" s="194">
        <v>223657.05</v>
      </c>
      <c r="G297" s="194">
        <v>132555.47500000001</v>
      </c>
      <c r="H297" s="194">
        <v>238342.95</v>
      </c>
      <c r="I297" s="194">
        <v>278312.125</v>
      </c>
      <c r="J297" s="194">
        <v>383411.42499999999</v>
      </c>
      <c r="K297" s="194">
        <v>225690.27499999999</v>
      </c>
      <c r="L297" s="194">
        <v>144194.22500000001</v>
      </c>
      <c r="M297" s="194">
        <v>95640.45</v>
      </c>
      <c r="N297" s="194"/>
      <c r="O297" s="194"/>
      <c r="P297" s="153">
        <f>O297/C297-1</f>
        <v>-1</v>
      </c>
      <c r="Q297" s="153">
        <f>(O278+O297)/(C297+C278)-1</f>
        <v>-1</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F</v>
      </c>
      <c r="C312" s="164" t="str">
        <f t="shared" ref="C312:N312" si="9">MID(C313,6,1)</f>
        <v>M</v>
      </c>
      <c r="D312" s="164" t="str">
        <f t="shared" si="9"/>
        <v>A</v>
      </c>
      <c r="E312" s="164" t="str">
        <f t="shared" si="9"/>
        <v>M</v>
      </c>
      <c r="F312" s="164" t="str">
        <f t="shared" si="9"/>
        <v>J</v>
      </c>
      <c r="G312" s="164" t="str">
        <f t="shared" si="9"/>
        <v>J</v>
      </c>
      <c r="H312" s="164" t="str">
        <f t="shared" si="9"/>
        <v>A</v>
      </c>
      <c r="I312" s="164" t="str">
        <f t="shared" si="9"/>
        <v>S</v>
      </c>
      <c r="J312" s="164" t="str">
        <f t="shared" si="9"/>
        <v>O</v>
      </c>
      <c r="K312" s="164" t="str">
        <f t="shared" si="9"/>
        <v>N</v>
      </c>
      <c r="L312" s="164" t="str">
        <f t="shared" si="9"/>
        <v>D</v>
      </c>
      <c r="M312" s="164" t="str">
        <f t="shared" si="9"/>
        <v>E</v>
      </c>
      <c r="N312" s="164" t="str">
        <f t="shared" si="9"/>
        <v>F</v>
      </c>
      <c r="O312" s="125"/>
      <c r="P312" s="125"/>
      <c r="Q312" s="152"/>
      <c r="R312" s="152"/>
    </row>
    <row r="313" spans="1:18">
      <c r="A313" s="122" t="s">
        <v>86</v>
      </c>
      <c r="B313" s="145" t="s">
        <v>207</v>
      </c>
      <c r="C313" s="145" t="s">
        <v>210</v>
      </c>
      <c r="D313" s="145" t="s">
        <v>220</v>
      </c>
      <c r="E313" s="145" t="s">
        <v>223</v>
      </c>
      <c r="F313" s="145" t="s">
        <v>225</v>
      </c>
      <c r="G313" s="145" t="s">
        <v>227</v>
      </c>
      <c r="H313" s="145" t="s">
        <v>230</v>
      </c>
      <c r="I313" s="145" t="s">
        <v>233</v>
      </c>
      <c r="J313" s="145" t="s">
        <v>237</v>
      </c>
      <c r="K313" s="145" t="s">
        <v>242</v>
      </c>
      <c r="L313" s="145" t="s">
        <v>245</v>
      </c>
      <c r="M313" s="145" t="s">
        <v>247</v>
      </c>
      <c r="N313" s="145" t="s">
        <v>279</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44962.25</v>
      </c>
      <c r="C315" s="125">
        <v>68619</v>
      </c>
      <c r="D315" s="125">
        <v>41863.5</v>
      </c>
      <c r="E315" s="125">
        <v>74085.75</v>
      </c>
      <c r="F315" s="125">
        <v>181182</v>
      </c>
      <c r="G315" s="125">
        <v>130987</v>
      </c>
      <c r="H315" s="125">
        <v>228947.75</v>
      </c>
      <c r="I315" s="125">
        <v>79264.25</v>
      </c>
      <c r="J315" s="125">
        <v>101717.5</v>
      </c>
      <c r="K315" s="125">
        <v>243754</v>
      </c>
      <c r="L315" s="125">
        <v>287199.25</v>
      </c>
      <c r="M315" s="125">
        <v>0</v>
      </c>
      <c r="N315" s="125">
        <v>0</v>
      </c>
      <c r="Q315" s="152"/>
      <c r="R315" s="152"/>
    </row>
    <row r="316" spans="1:18">
      <c r="A316" s="124" t="s">
        <v>75</v>
      </c>
      <c r="B316" s="125">
        <v>396960.5</v>
      </c>
      <c r="C316" s="125">
        <v>417916.5</v>
      </c>
      <c r="D316" s="125">
        <v>399899.75</v>
      </c>
      <c r="E316" s="125">
        <v>196774</v>
      </c>
      <c r="F316" s="125">
        <v>82639.5</v>
      </c>
      <c r="G316" s="125">
        <v>181301.75</v>
      </c>
      <c r="H316" s="125">
        <v>169070</v>
      </c>
      <c r="I316" s="125">
        <v>238398.25</v>
      </c>
      <c r="J316" s="125">
        <v>145326</v>
      </c>
      <c r="K316" s="125">
        <v>85584.5</v>
      </c>
      <c r="L316" s="125">
        <v>31645</v>
      </c>
      <c r="M316" s="125">
        <v>0</v>
      </c>
      <c r="N316" s="125">
        <v>0</v>
      </c>
    </row>
    <row r="317" spans="1:18">
      <c r="A317" s="198" t="s">
        <v>239</v>
      </c>
      <c r="B317" s="199">
        <f t="shared" ref="B317:M317" si="10">SUM(B315:B316)</f>
        <v>441922.75</v>
      </c>
      <c r="C317" s="199">
        <f t="shared" si="10"/>
        <v>486535.5</v>
      </c>
      <c r="D317" s="199">
        <f t="shared" si="10"/>
        <v>441763.25</v>
      </c>
      <c r="E317" s="199">
        <f t="shared" si="10"/>
        <v>270859.75</v>
      </c>
      <c r="F317" s="199">
        <f t="shared" si="10"/>
        <v>263821.5</v>
      </c>
      <c r="G317" s="199">
        <f t="shared" si="10"/>
        <v>312288.75</v>
      </c>
      <c r="H317" s="199">
        <f t="shared" si="10"/>
        <v>398017.75</v>
      </c>
      <c r="I317" s="199">
        <f t="shared" si="10"/>
        <v>317662.5</v>
      </c>
      <c r="J317" s="199">
        <f t="shared" si="10"/>
        <v>247043.5</v>
      </c>
      <c r="K317" s="199">
        <f t="shared" si="10"/>
        <v>329338.5</v>
      </c>
      <c r="L317" s="199">
        <f t="shared" si="10"/>
        <v>318844.25</v>
      </c>
      <c r="M317" s="199">
        <f t="shared" si="10"/>
        <v>0</v>
      </c>
      <c r="N317" s="199">
        <f t="shared" ref="N317" si="11">SUM(N315:N316)</f>
        <v>0</v>
      </c>
      <c r="P317" s="152"/>
      <c r="Q317" s="152"/>
    </row>
    <row r="318" spans="1:18">
      <c r="A318" s="84" t="s">
        <v>162</v>
      </c>
      <c r="P318" s="152"/>
      <c r="Q318" s="152"/>
    </row>
    <row r="319" spans="1:18">
      <c r="A319" s="122"/>
      <c r="B319" s="122"/>
      <c r="C319" s="122" t="s">
        <v>27</v>
      </c>
      <c r="D319" s="227" t="s">
        <v>192</v>
      </c>
      <c r="E319" s="228"/>
      <c r="F319" s="228"/>
      <c r="G319" s="228"/>
      <c r="H319" s="228"/>
      <c r="I319" s="228"/>
      <c r="J319" s="228"/>
      <c r="K319" s="228"/>
      <c r="L319" s="228"/>
      <c r="M319" s="228"/>
      <c r="N319" s="228"/>
      <c r="O319" s="228"/>
      <c r="P319" s="228"/>
      <c r="Q319" s="152"/>
    </row>
    <row r="320" spans="1:18">
      <c r="A320" s="122"/>
      <c r="B320" s="122"/>
      <c r="C320" s="122" t="s">
        <v>86</v>
      </c>
      <c r="D320" s="145" t="s">
        <v>207</v>
      </c>
      <c r="E320" s="145" t="s">
        <v>210</v>
      </c>
      <c r="F320" s="145" t="s">
        <v>220</v>
      </c>
      <c r="G320" s="145" t="s">
        <v>223</v>
      </c>
      <c r="H320" s="145" t="s">
        <v>225</v>
      </c>
      <c r="I320" s="145" t="s">
        <v>227</v>
      </c>
      <c r="J320" s="145" t="s">
        <v>230</v>
      </c>
      <c r="K320" s="145" t="s">
        <v>233</v>
      </c>
      <c r="L320" s="145" t="s">
        <v>237</v>
      </c>
      <c r="M320" s="145" t="s">
        <v>242</v>
      </c>
      <c r="N320" s="145" t="s">
        <v>245</v>
      </c>
      <c r="O320" s="145" t="s">
        <v>247</v>
      </c>
      <c r="P320" s="145" t="s">
        <v>279</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41" t="s">
        <v>137</v>
      </c>
      <c r="B322" s="241" t="s">
        <v>138</v>
      </c>
      <c r="C322" s="124" t="s">
        <v>139</v>
      </c>
      <c r="D322" s="125">
        <v>12671</v>
      </c>
      <c r="E322" s="125">
        <v>13320.25</v>
      </c>
      <c r="F322" s="125">
        <v>681.75</v>
      </c>
      <c r="G322" s="125">
        <v>287.25</v>
      </c>
      <c r="H322" s="125">
        <v>5295.4750000000004</v>
      </c>
      <c r="I322" s="125">
        <v>2319</v>
      </c>
      <c r="J322" s="125">
        <v>3809</v>
      </c>
      <c r="K322" s="125">
        <v>515.75</v>
      </c>
      <c r="L322" s="125">
        <v>499.25</v>
      </c>
      <c r="M322" s="125">
        <v>106.52500000000001</v>
      </c>
      <c r="N322" s="125">
        <v>7.25</v>
      </c>
      <c r="O322" s="125">
        <v>0</v>
      </c>
      <c r="P322" s="125">
        <v>0</v>
      </c>
      <c r="Q322" s="152"/>
      <c r="U322" s="168"/>
    </row>
    <row r="323" spans="1:21">
      <c r="A323" s="243"/>
      <c r="B323" s="242"/>
      <c r="C323" s="124" t="s">
        <v>140</v>
      </c>
      <c r="D323" s="125">
        <v>37653.699999999997</v>
      </c>
      <c r="E323" s="125">
        <v>90855.824999999997</v>
      </c>
      <c r="F323" s="125">
        <v>107349.6</v>
      </c>
      <c r="G323" s="125">
        <v>45497.95</v>
      </c>
      <c r="H323" s="125">
        <v>58107.324999999997</v>
      </c>
      <c r="I323" s="125">
        <v>87431.875</v>
      </c>
      <c r="J323" s="125">
        <v>151069.52499999999</v>
      </c>
      <c r="K323" s="125">
        <v>169281.95</v>
      </c>
      <c r="L323" s="125">
        <v>87906.774999999994</v>
      </c>
      <c r="M323" s="125">
        <v>79773.399999999994</v>
      </c>
      <c r="N323" s="125">
        <v>68561.274999999994</v>
      </c>
      <c r="O323" s="125">
        <v>0</v>
      </c>
      <c r="P323" s="125">
        <v>0</v>
      </c>
      <c r="Q323" s="152"/>
    </row>
    <row r="324" spans="1:21">
      <c r="A324" s="243"/>
      <c r="B324" s="251"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2"/>
    </row>
    <row r="325" spans="1:21">
      <c r="A325" s="242"/>
      <c r="B325" s="242"/>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2"/>
    </row>
    <row r="326" spans="1:21">
      <c r="A326" s="251" t="s">
        <v>166</v>
      </c>
      <c r="B326" s="251" t="s">
        <v>138</v>
      </c>
      <c r="C326" s="124" t="s">
        <v>139</v>
      </c>
      <c r="D326" s="125">
        <v>30692</v>
      </c>
      <c r="E326" s="125">
        <v>11006.25</v>
      </c>
      <c r="F326" s="125">
        <v>7049</v>
      </c>
      <c r="G326" s="125">
        <v>2391.75</v>
      </c>
      <c r="H326" s="125">
        <v>1830.55</v>
      </c>
      <c r="I326" s="125">
        <v>6831.75</v>
      </c>
      <c r="J326" s="125">
        <v>22222.5</v>
      </c>
      <c r="K326" s="125">
        <v>11528</v>
      </c>
      <c r="L326" s="125">
        <v>5142.5</v>
      </c>
      <c r="M326" s="125">
        <v>1643.75</v>
      </c>
      <c r="N326" s="125">
        <v>348</v>
      </c>
      <c r="O326" s="125">
        <v>0</v>
      </c>
      <c r="P326" s="125">
        <v>0</v>
      </c>
      <c r="Q326" s="152"/>
    </row>
    <row r="327" spans="1:21">
      <c r="A327" s="243"/>
      <c r="B327" s="242"/>
      <c r="C327" s="124" t="s">
        <v>140</v>
      </c>
      <c r="D327" s="125">
        <v>135901.20000000001</v>
      </c>
      <c r="E327" s="125">
        <v>69626.600000000006</v>
      </c>
      <c r="F327" s="125">
        <v>72019.05</v>
      </c>
      <c r="G327" s="125">
        <v>38927.1</v>
      </c>
      <c r="H327" s="125">
        <v>57586.7</v>
      </c>
      <c r="I327" s="125">
        <v>68132.399999999994</v>
      </c>
      <c r="J327" s="125">
        <v>35923.474999999999</v>
      </c>
      <c r="K327" s="125">
        <v>44227.425000000003</v>
      </c>
      <c r="L327" s="125">
        <v>47369.9</v>
      </c>
      <c r="M327" s="125">
        <v>48789.425000000003</v>
      </c>
      <c r="N327" s="125">
        <v>75038.05</v>
      </c>
      <c r="O327" s="125">
        <v>0</v>
      </c>
      <c r="P327" s="125">
        <v>0</v>
      </c>
      <c r="Q327" s="152"/>
    </row>
    <row r="328" spans="1:21">
      <c r="A328" s="243"/>
      <c r="B328" s="251"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2"/>
    </row>
    <row r="329" spans="1:21">
      <c r="A329" s="242"/>
      <c r="B329" s="242"/>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F</v>
      </c>
      <c r="D335" s="142" t="str">
        <f t="shared" ref="D335:O335" si="12">MID(D337,6,1)</f>
        <v>M</v>
      </c>
      <c r="E335" s="142" t="str">
        <f t="shared" si="12"/>
        <v>A</v>
      </c>
      <c r="F335" s="142" t="str">
        <f t="shared" si="12"/>
        <v>M</v>
      </c>
      <c r="G335" s="142" t="str">
        <f t="shared" si="12"/>
        <v>J</v>
      </c>
      <c r="H335" s="142" t="str">
        <f t="shared" si="12"/>
        <v>J</v>
      </c>
      <c r="I335" s="142" t="str">
        <f t="shared" si="12"/>
        <v>A</v>
      </c>
      <c r="J335" s="142" t="str">
        <f t="shared" si="12"/>
        <v>S</v>
      </c>
      <c r="K335" s="142" t="str">
        <f t="shared" si="12"/>
        <v>O</v>
      </c>
      <c r="L335" s="142" t="str">
        <f t="shared" si="12"/>
        <v>N</v>
      </c>
      <c r="M335" s="142" t="str">
        <f t="shared" si="12"/>
        <v>D</v>
      </c>
      <c r="N335" s="142" t="str">
        <f t="shared" si="12"/>
        <v>E</v>
      </c>
      <c r="O335" s="142" t="str">
        <f t="shared" si="12"/>
        <v>F</v>
      </c>
      <c r="P335" s="152"/>
      <c r="Q335" s="152"/>
    </row>
    <row r="336" spans="1:21">
      <c r="A336" s="122"/>
      <c r="B336" s="122" t="s">
        <v>27</v>
      </c>
      <c r="C336" s="250" t="s">
        <v>152</v>
      </c>
      <c r="D336" s="232"/>
      <c r="E336" s="232"/>
      <c r="F336" s="232"/>
      <c r="G336" s="232"/>
      <c r="H336" s="232"/>
      <c r="I336" s="232"/>
      <c r="J336" s="232"/>
      <c r="K336" s="232"/>
      <c r="L336" s="232"/>
      <c r="M336" s="232"/>
      <c r="N336" s="232"/>
      <c r="O336" s="232"/>
      <c r="P336" s="152"/>
      <c r="Q336" s="152"/>
    </row>
    <row r="337" spans="1:22">
      <c r="A337" s="122"/>
      <c r="B337" s="122" t="s">
        <v>86</v>
      </c>
      <c r="C337" s="145" t="s">
        <v>207</v>
      </c>
      <c r="D337" s="145" t="s">
        <v>210</v>
      </c>
      <c r="E337" s="145" t="s">
        <v>220</v>
      </c>
      <c r="F337" s="145" t="s">
        <v>223</v>
      </c>
      <c r="G337" s="145" t="s">
        <v>225</v>
      </c>
      <c r="H337" s="145" t="s">
        <v>227</v>
      </c>
      <c r="I337" s="145" t="s">
        <v>230</v>
      </c>
      <c r="J337" s="145" t="s">
        <v>233</v>
      </c>
      <c r="K337" s="145" t="s">
        <v>237</v>
      </c>
      <c r="L337" s="145" t="s">
        <v>242</v>
      </c>
      <c r="M337" s="145" t="s">
        <v>245</v>
      </c>
      <c r="N337" s="145" t="s">
        <v>247</v>
      </c>
      <c r="O337" s="145" t="s">
        <v>279</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52" t="s">
        <v>71</v>
      </c>
      <c r="B339" s="124" t="s">
        <v>203</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43"/>
      <c r="B340" s="124" t="s">
        <v>73</v>
      </c>
      <c r="C340" s="125">
        <v>20485</v>
      </c>
      <c r="D340" s="125">
        <v>7623.75</v>
      </c>
      <c r="E340" s="125">
        <v>3547.56</v>
      </c>
      <c r="F340" s="125">
        <v>0</v>
      </c>
      <c r="G340" s="125">
        <v>9705</v>
      </c>
      <c r="H340" s="125">
        <v>3130</v>
      </c>
      <c r="I340" s="125">
        <v>0</v>
      </c>
      <c r="J340" s="125">
        <v>3588.75</v>
      </c>
      <c r="K340" s="125">
        <v>6311.25</v>
      </c>
      <c r="L340" s="125">
        <v>165</v>
      </c>
      <c r="M340" s="125">
        <v>421.8</v>
      </c>
      <c r="N340" s="125">
        <v>1340.95</v>
      </c>
      <c r="O340" s="125">
        <v>0</v>
      </c>
      <c r="P340" s="152"/>
      <c r="Q340" s="152"/>
    </row>
    <row r="341" spans="1:22">
      <c r="A341" s="243"/>
      <c r="B341" s="124" t="s">
        <v>23</v>
      </c>
      <c r="C341" s="125">
        <v>797594.67099999997</v>
      </c>
      <c r="D341" s="125">
        <v>640773.63699999999</v>
      </c>
      <c r="E341" s="125">
        <v>339272.77500000002</v>
      </c>
      <c r="F341" s="125">
        <v>190030.19</v>
      </c>
      <c r="G341" s="125">
        <v>486259.94</v>
      </c>
      <c r="H341" s="125">
        <v>438078.424</v>
      </c>
      <c r="I341" s="125">
        <v>365321.88400000002</v>
      </c>
      <c r="J341" s="125">
        <v>477468.94300000003</v>
      </c>
      <c r="K341" s="125">
        <v>388843.01699999999</v>
      </c>
      <c r="L341" s="125">
        <v>137334.99900000001</v>
      </c>
      <c r="M341" s="125">
        <v>144683.02499999999</v>
      </c>
      <c r="N341" s="125">
        <v>225562.05</v>
      </c>
      <c r="O341" s="125">
        <v>119868.325</v>
      </c>
      <c r="P341" s="152"/>
      <c r="Q341" s="152"/>
    </row>
    <row r="342" spans="1:22">
      <c r="A342" s="243"/>
      <c r="B342" s="124" t="s">
        <v>80</v>
      </c>
      <c r="C342" s="125">
        <v>0</v>
      </c>
      <c r="D342" s="125">
        <v>0</v>
      </c>
      <c r="E342" s="125">
        <v>0</v>
      </c>
      <c r="F342" s="125">
        <v>48.424999999999997</v>
      </c>
      <c r="G342" s="125">
        <v>0</v>
      </c>
      <c r="H342" s="125">
        <v>0</v>
      </c>
      <c r="I342" s="125">
        <v>0</v>
      </c>
      <c r="J342" s="125">
        <v>0</v>
      </c>
      <c r="K342" s="125">
        <v>0</v>
      </c>
      <c r="L342" s="125">
        <v>0</v>
      </c>
      <c r="M342" s="125">
        <v>16.5</v>
      </c>
      <c r="N342" s="125">
        <v>0</v>
      </c>
      <c r="O342" s="125">
        <v>0.83299999999999996</v>
      </c>
      <c r="P342" s="152"/>
      <c r="Q342" s="152"/>
    </row>
    <row r="343" spans="1:22">
      <c r="A343" s="243"/>
      <c r="B343" s="124" t="s">
        <v>74</v>
      </c>
      <c r="C343" s="125">
        <v>2238.683</v>
      </c>
      <c r="D343" s="125">
        <v>5818.2749999999996</v>
      </c>
      <c r="E343" s="125">
        <v>2631.1329999999998</v>
      </c>
      <c r="F343" s="125">
        <v>948.5</v>
      </c>
      <c r="G343" s="125">
        <v>12797.075000000001</v>
      </c>
      <c r="H343" s="125">
        <v>12438.968000000001</v>
      </c>
      <c r="I343" s="125">
        <v>7902.0079999999998</v>
      </c>
      <c r="J343" s="125">
        <v>3616.067</v>
      </c>
      <c r="K343" s="125">
        <v>10614.259</v>
      </c>
      <c r="L343" s="125">
        <v>2955</v>
      </c>
      <c r="M343" s="125">
        <v>596.20000000000005</v>
      </c>
      <c r="N343" s="125">
        <v>6614.0829999999996</v>
      </c>
      <c r="O343" s="125">
        <v>0</v>
      </c>
      <c r="P343" s="152"/>
      <c r="Q343" s="152"/>
    </row>
    <row r="344" spans="1:22">
      <c r="A344" s="243"/>
      <c r="B344" s="124" t="s">
        <v>83</v>
      </c>
      <c r="C344" s="125">
        <v>1099.2</v>
      </c>
      <c r="D344" s="125">
        <v>729.7</v>
      </c>
      <c r="E344" s="125">
        <v>554.1</v>
      </c>
      <c r="F344" s="125">
        <v>910.22500000000002</v>
      </c>
      <c r="G344" s="125">
        <v>984</v>
      </c>
      <c r="H344" s="125">
        <v>2865.4</v>
      </c>
      <c r="I344" s="125">
        <v>1132.875</v>
      </c>
      <c r="J344" s="125">
        <v>479.1</v>
      </c>
      <c r="K344" s="125">
        <v>621.32500000000005</v>
      </c>
      <c r="L344" s="125">
        <v>399</v>
      </c>
      <c r="M344" s="125">
        <v>0</v>
      </c>
      <c r="N344" s="125">
        <v>1193</v>
      </c>
      <c r="O344" s="125">
        <v>403.75</v>
      </c>
      <c r="P344" s="152"/>
      <c r="Q344" s="152"/>
    </row>
    <row r="345" spans="1:22">
      <c r="A345" s="243"/>
      <c r="B345" s="124" t="s">
        <v>77</v>
      </c>
      <c r="C345" s="125">
        <v>0</v>
      </c>
      <c r="D345" s="125">
        <v>0</v>
      </c>
      <c r="E345" s="125">
        <v>0</v>
      </c>
      <c r="F345" s="125">
        <v>5.8</v>
      </c>
      <c r="G345" s="125">
        <v>0</v>
      </c>
      <c r="H345" s="125">
        <v>54.15</v>
      </c>
      <c r="I345" s="125">
        <v>137.5</v>
      </c>
      <c r="J345" s="125">
        <v>0</v>
      </c>
      <c r="K345" s="125">
        <v>0</v>
      </c>
      <c r="L345" s="125">
        <v>0</v>
      </c>
      <c r="M345" s="125">
        <v>0</v>
      </c>
      <c r="N345" s="125">
        <v>0</v>
      </c>
      <c r="O345" s="125">
        <v>23.925000000000001</v>
      </c>
      <c r="P345" s="152"/>
      <c r="Q345" s="152"/>
    </row>
    <row r="346" spans="1:22">
      <c r="A346" s="243"/>
      <c r="B346" s="124" t="s">
        <v>204</v>
      </c>
      <c r="C346" s="125">
        <v>0</v>
      </c>
      <c r="D346" s="125">
        <v>0</v>
      </c>
      <c r="E346" s="125">
        <v>0</v>
      </c>
      <c r="F346" s="125">
        <v>0</v>
      </c>
      <c r="G346" s="125">
        <v>0</v>
      </c>
      <c r="H346" s="125">
        <v>0</v>
      </c>
      <c r="I346" s="125">
        <v>0</v>
      </c>
      <c r="J346" s="125">
        <v>0</v>
      </c>
      <c r="K346" s="125">
        <v>0</v>
      </c>
      <c r="L346" s="125">
        <v>0</v>
      </c>
      <c r="M346" s="125">
        <v>0</v>
      </c>
      <c r="N346" s="125">
        <v>0</v>
      </c>
      <c r="O346" s="125">
        <v>7.4999999999999997E-2</v>
      </c>
      <c r="P346" s="152"/>
      <c r="Q346" s="152"/>
    </row>
    <row r="347" spans="1:22">
      <c r="A347" s="243"/>
      <c r="B347" s="124" t="s">
        <v>19</v>
      </c>
      <c r="C347" s="125">
        <v>2</v>
      </c>
      <c r="D347" s="125">
        <v>481.66699999999997</v>
      </c>
      <c r="E347" s="125">
        <v>5753.75</v>
      </c>
      <c r="F347" s="125">
        <v>7951.9669999999996</v>
      </c>
      <c r="G347" s="125">
        <v>7231.6369999999997</v>
      </c>
      <c r="H347" s="125">
        <v>502</v>
      </c>
      <c r="I347" s="125">
        <v>455</v>
      </c>
      <c r="J347" s="125">
        <v>0</v>
      </c>
      <c r="K347" s="125">
        <v>5425.1909999999998</v>
      </c>
      <c r="L347" s="125">
        <v>20969.683000000001</v>
      </c>
      <c r="M347" s="125">
        <v>5425.7330000000002</v>
      </c>
      <c r="N347" s="125">
        <v>4712.3</v>
      </c>
      <c r="O347" s="125">
        <v>2.7709999999999999</v>
      </c>
      <c r="P347" s="152"/>
      <c r="Q347" s="153"/>
    </row>
    <row r="348" spans="1:22">
      <c r="A348" s="243"/>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43"/>
      <c r="B349" s="124" t="s">
        <v>84</v>
      </c>
      <c r="C349" s="125">
        <v>0</v>
      </c>
      <c r="D349" s="125">
        <v>0</v>
      </c>
      <c r="E349" s="125">
        <v>0</v>
      </c>
      <c r="F349" s="125">
        <v>0</v>
      </c>
      <c r="G349" s="125">
        <v>801.6</v>
      </c>
      <c r="H349" s="125">
        <v>0</v>
      </c>
      <c r="I349" s="125">
        <v>471.21699999999998</v>
      </c>
      <c r="J349" s="125">
        <v>0</v>
      </c>
      <c r="K349" s="125">
        <v>71.599999999999994</v>
      </c>
      <c r="L349" s="125">
        <v>0</v>
      </c>
      <c r="M349" s="125">
        <v>0</v>
      </c>
      <c r="N349" s="125">
        <v>0</v>
      </c>
      <c r="O349" s="125">
        <v>2302.9</v>
      </c>
      <c r="P349" s="152"/>
      <c r="Q349" s="160"/>
      <c r="R349" s="160"/>
      <c r="S349" s="160"/>
      <c r="T349" s="160"/>
      <c r="U349" s="160"/>
      <c r="V349" s="160"/>
    </row>
    <row r="350" spans="1:22">
      <c r="A350" s="243"/>
      <c r="B350" s="124" t="s">
        <v>72</v>
      </c>
      <c r="C350" s="125">
        <v>0</v>
      </c>
      <c r="D350" s="125">
        <v>0</v>
      </c>
      <c r="E350" s="125">
        <v>4387.5</v>
      </c>
      <c r="F350" s="125">
        <v>0</v>
      </c>
      <c r="G350" s="125">
        <v>0</v>
      </c>
      <c r="H350" s="125">
        <v>0</v>
      </c>
      <c r="I350" s="125">
        <v>0</v>
      </c>
      <c r="J350" s="125">
        <v>0</v>
      </c>
      <c r="K350" s="125">
        <v>0</v>
      </c>
      <c r="L350" s="125">
        <v>0</v>
      </c>
      <c r="M350" s="125">
        <v>0</v>
      </c>
      <c r="N350" s="125">
        <v>0</v>
      </c>
      <c r="O350" s="125">
        <v>30.216999999999999</v>
      </c>
      <c r="P350" s="152"/>
      <c r="Q350" s="160"/>
      <c r="R350" s="160"/>
      <c r="S350" s="160"/>
      <c r="T350" s="160"/>
      <c r="U350" s="160"/>
      <c r="V350" s="160"/>
    </row>
    <row r="351" spans="1:22">
      <c r="A351" s="243"/>
      <c r="B351" s="124" t="s">
        <v>81</v>
      </c>
      <c r="C351" s="125">
        <v>0</v>
      </c>
      <c r="D351" s="125">
        <v>6</v>
      </c>
      <c r="E351" s="125">
        <v>0</v>
      </c>
      <c r="F351" s="125">
        <v>5.5</v>
      </c>
      <c r="G351" s="125">
        <v>0</v>
      </c>
      <c r="H351" s="125">
        <v>0</v>
      </c>
      <c r="I351" s="125">
        <v>0</v>
      </c>
      <c r="J351" s="125">
        <v>0</v>
      </c>
      <c r="K351" s="125">
        <v>0</v>
      </c>
      <c r="L351" s="125">
        <v>0</v>
      </c>
      <c r="M351" s="125">
        <v>0</v>
      </c>
      <c r="N351" s="125">
        <v>0</v>
      </c>
      <c r="O351" s="125">
        <v>6.0670000000000002</v>
      </c>
      <c r="P351" s="152"/>
      <c r="Q351" s="160"/>
      <c r="R351" s="160"/>
      <c r="S351" s="160"/>
      <c r="T351" s="160"/>
      <c r="U351" s="160"/>
      <c r="V351" s="160"/>
    </row>
    <row r="352" spans="1:22">
      <c r="A352" s="243"/>
      <c r="B352" s="124" t="s">
        <v>85</v>
      </c>
      <c r="C352" s="125">
        <v>0</v>
      </c>
      <c r="D352" s="125">
        <v>0</v>
      </c>
      <c r="E352" s="125">
        <v>0</v>
      </c>
      <c r="F352" s="125">
        <v>0</v>
      </c>
      <c r="G352" s="125">
        <v>0</v>
      </c>
      <c r="H352" s="125">
        <v>0</v>
      </c>
      <c r="I352" s="125">
        <v>0</v>
      </c>
      <c r="J352" s="125">
        <v>0</v>
      </c>
      <c r="K352" s="125">
        <v>0</v>
      </c>
      <c r="L352" s="125">
        <v>0</v>
      </c>
      <c r="M352" s="125">
        <v>0</v>
      </c>
      <c r="N352" s="125">
        <v>0</v>
      </c>
      <c r="O352" s="125">
        <v>2.7749999999999999</v>
      </c>
      <c r="P352" s="152"/>
      <c r="Q352" s="160"/>
      <c r="R352" s="160"/>
      <c r="S352" s="160"/>
      <c r="T352" s="160"/>
      <c r="U352" s="160"/>
      <c r="V352" s="160"/>
    </row>
    <row r="353" spans="1:22">
      <c r="A353" s="243"/>
      <c r="B353" s="124" t="s">
        <v>78</v>
      </c>
      <c r="C353" s="125">
        <v>0</v>
      </c>
      <c r="D353" s="125">
        <v>0.17499999999999999</v>
      </c>
      <c r="E353" s="125">
        <v>0</v>
      </c>
      <c r="F353" s="125">
        <v>3.5</v>
      </c>
      <c r="G353" s="125">
        <v>1.425</v>
      </c>
      <c r="H353" s="125">
        <v>0.75</v>
      </c>
      <c r="I353" s="125">
        <v>3.6749999999999998</v>
      </c>
      <c r="J353" s="125">
        <v>0</v>
      </c>
      <c r="K353" s="125">
        <v>0.15</v>
      </c>
      <c r="L353" s="125">
        <v>0</v>
      </c>
      <c r="M353" s="125">
        <v>0</v>
      </c>
      <c r="N353" s="125">
        <v>0</v>
      </c>
      <c r="O353" s="125">
        <v>3</v>
      </c>
      <c r="P353" s="152"/>
      <c r="Q353" s="160"/>
      <c r="R353" s="160"/>
      <c r="S353" s="160"/>
      <c r="T353" s="160"/>
      <c r="U353" s="160"/>
      <c r="V353" s="160"/>
    </row>
    <row r="354" spans="1:22">
      <c r="A354" s="243"/>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-0.85090964905509647</v>
      </c>
      <c r="Q354" s="160"/>
      <c r="R354" s="160"/>
      <c r="S354" s="160"/>
      <c r="T354" s="160"/>
      <c r="U354" s="160"/>
      <c r="V354" s="160"/>
    </row>
    <row r="355" spans="1:22">
      <c r="A355" s="243"/>
      <c r="B355" s="124" t="s">
        <v>229</v>
      </c>
      <c r="C355" s="125">
        <v>0</v>
      </c>
      <c r="D355" s="125">
        <v>0</v>
      </c>
      <c r="E355" s="125">
        <v>0</v>
      </c>
      <c r="F355" s="125">
        <v>0</v>
      </c>
      <c r="G355" s="125">
        <v>0</v>
      </c>
      <c r="H355" s="125">
        <v>22</v>
      </c>
      <c r="I355" s="125">
        <v>0</v>
      </c>
      <c r="J355" s="125">
        <v>0</v>
      </c>
      <c r="K355" s="125">
        <v>0</v>
      </c>
      <c r="L355" s="125">
        <v>0</v>
      </c>
      <c r="M355" s="125">
        <v>1007.875</v>
      </c>
      <c r="N355" s="125">
        <v>222.07499999999999</v>
      </c>
      <c r="O355" s="125">
        <v>0</v>
      </c>
      <c r="P355" s="153"/>
      <c r="Q355" s="160"/>
      <c r="R355" s="160"/>
      <c r="S355" s="160"/>
      <c r="T355" s="160"/>
      <c r="U355" s="160"/>
      <c r="V355" s="160"/>
    </row>
    <row r="356" spans="1:22">
      <c r="A356" s="243"/>
      <c r="B356" s="124" t="s">
        <v>76</v>
      </c>
      <c r="C356" s="125">
        <v>1200</v>
      </c>
      <c r="D356" s="125">
        <v>1179.3330000000001</v>
      </c>
      <c r="E356" s="125">
        <v>497.25</v>
      </c>
      <c r="F356" s="125">
        <v>325</v>
      </c>
      <c r="G356" s="125">
        <v>860</v>
      </c>
      <c r="H356" s="125">
        <v>2186.4</v>
      </c>
      <c r="I356" s="125">
        <v>4850.1750000000002</v>
      </c>
      <c r="J356" s="125">
        <v>9429.009</v>
      </c>
      <c r="K356" s="125">
        <v>4580.5249999999996</v>
      </c>
      <c r="L356" s="125">
        <v>1509.3330000000001</v>
      </c>
      <c r="M356" s="125">
        <v>2219.7420000000002</v>
      </c>
      <c r="N356" s="125">
        <v>8314.2829999999994</v>
      </c>
      <c r="O356" s="125">
        <v>0</v>
      </c>
      <c r="P356" s="152"/>
      <c r="Q356" s="160"/>
      <c r="R356" s="160"/>
      <c r="S356" s="160"/>
      <c r="T356" s="160"/>
      <c r="U356" s="160"/>
      <c r="V356" s="160"/>
    </row>
    <row r="357" spans="1:22">
      <c r="A357" s="242"/>
      <c r="B357" s="183" t="s">
        <v>0</v>
      </c>
      <c r="C357" s="194">
        <v>822619.554</v>
      </c>
      <c r="D357" s="194">
        <v>656612.53700000001</v>
      </c>
      <c r="E357" s="194">
        <v>356644.06800000003</v>
      </c>
      <c r="F357" s="194">
        <v>200229.10699999999</v>
      </c>
      <c r="G357" s="194">
        <v>518640.67700000003</v>
      </c>
      <c r="H357" s="194">
        <v>459278.092</v>
      </c>
      <c r="I357" s="194">
        <v>380274.33399999997</v>
      </c>
      <c r="J357" s="194">
        <v>494581.86900000001</v>
      </c>
      <c r="K357" s="194">
        <v>416467.31699999998</v>
      </c>
      <c r="L357" s="194">
        <v>163333.01500000001</v>
      </c>
      <c r="M357" s="194">
        <v>154370.875</v>
      </c>
      <c r="N357" s="194">
        <v>247958.74100000001</v>
      </c>
      <c r="O357" s="194">
        <v>122644.63800000001</v>
      </c>
      <c r="P357" s="152"/>
      <c r="Q357" s="160"/>
      <c r="R357" s="160"/>
      <c r="S357" s="160"/>
      <c r="T357" s="160"/>
      <c r="U357" s="160"/>
      <c r="V357" s="160"/>
    </row>
    <row r="358" spans="1:22">
      <c r="A358" s="253" t="s">
        <v>75</v>
      </c>
      <c r="B358" s="124" t="s">
        <v>203</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43"/>
      <c r="B359" s="124" t="s">
        <v>73</v>
      </c>
      <c r="C359" s="125">
        <v>0</v>
      </c>
      <c r="D359" s="125">
        <v>120</v>
      </c>
      <c r="E359" s="125">
        <v>0</v>
      </c>
      <c r="F359" s="125">
        <v>0</v>
      </c>
      <c r="G359" s="125">
        <v>0</v>
      </c>
      <c r="H359" s="125">
        <v>0</v>
      </c>
      <c r="I359" s="125">
        <v>0</v>
      </c>
      <c r="J359" s="125">
        <v>0</v>
      </c>
      <c r="K359" s="125">
        <v>0</v>
      </c>
      <c r="L359" s="125">
        <v>0</v>
      </c>
      <c r="M359" s="125">
        <v>0</v>
      </c>
      <c r="N359" s="125">
        <v>0</v>
      </c>
      <c r="O359" s="125">
        <v>0</v>
      </c>
      <c r="P359" s="152"/>
      <c r="Q359" s="160"/>
      <c r="R359" s="160"/>
      <c r="S359" s="160"/>
      <c r="T359" s="160"/>
      <c r="U359" s="160"/>
      <c r="V359" s="160"/>
    </row>
    <row r="360" spans="1:22">
      <c r="A360" s="243"/>
      <c r="B360" s="124" t="s">
        <v>23</v>
      </c>
      <c r="C360" s="125">
        <v>0</v>
      </c>
      <c r="D360" s="125">
        <v>7.65</v>
      </c>
      <c r="E360" s="125">
        <v>139.28299999999999</v>
      </c>
      <c r="F360" s="125">
        <v>2.5000000000000001E-2</v>
      </c>
      <c r="G360" s="125">
        <v>625.5</v>
      </c>
      <c r="H360" s="125">
        <v>3000.125</v>
      </c>
      <c r="I360" s="125">
        <v>1021.775</v>
      </c>
      <c r="J360" s="125">
        <v>3133.625</v>
      </c>
      <c r="K360" s="125">
        <v>12633.041999999999</v>
      </c>
      <c r="L360" s="125">
        <v>572.625</v>
      </c>
      <c r="M360" s="125">
        <v>1128.8</v>
      </c>
      <c r="N360" s="125">
        <v>1669.25</v>
      </c>
      <c r="O360" s="125">
        <v>4.9000000000000004</v>
      </c>
      <c r="P360" s="152"/>
      <c r="Q360" s="160"/>
      <c r="R360" s="160"/>
      <c r="S360" s="160"/>
      <c r="T360" s="160"/>
      <c r="U360" s="160"/>
      <c r="V360" s="160"/>
    </row>
    <row r="361" spans="1:22">
      <c r="A361" s="243"/>
      <c r="B361" s="124" t="s">
        <v>80</v>
      </c>
      <c r="C361" s="125">
        <v>18.25</v>
      </c>
      <c r="D361" s="125">
        <v>352.702</v>
      </c>
      <c r="E361" s="125">
        <v>1314.1389999999999</v>
      </c>
      <c r="F361" s="125">
        <v>893.82399999999996</v>
      </c>
      <c r="G361" s="125">
        <v>2378.8139999999999</v>
      </c>
      <c r="H361" s="125">
        <v>6273.4949999999999</v>
      </c>
      <c r="I361" s="125">
        <v>4302.4539999999997</v>
      </c>
      <c r="J361" s="125">
        <v>2024.335</v>
      </c>
      <c r="K361" s="125">
        <v>2029.9390000000001</v>
      </c>
      <c r="L361" s="125">
        <v>273.53800000000001</v>
      </c>
      <c r="M361" s="125">
        <v>377.13200000000001</v>
      </c>
      <c r="N361" s="125">
        <v>786.62800000000004</v>
      </c>
      <c r="O361" s="125">
        <v>37.953000000000003</v>
      </c>
      <c r="P361" s="152"/>
      <c r="Q361" s="160"/>
      <c r="R361" s="160"/>
      <c r="S361" s="160"/>
      <c r="T361" s="160"/>
      <c r="U361" s="160"/>
      <c r="V361" s="160"/>
    </row>
    <row r="362" spans="1:22">
      <c r="A362" s="243"/>
      <c r="B362" s="124" t="s">
        <v>74</v>
      </c>
      <c r="C362" s="125">
        <v>2875.8339999999998</v>
      </c>
      <c r="D362" s="125">
        <v>1714.424</v>
      </c>
      <c r="E362" s="125">
        <v>2159.3330000000001</v>
      </c>
      <c r="F362" s="125">
        <v>5583.5</v>
      </c>
      <c r="G362" s="125">
        <v>2946.4760000000001</v>
      </c>
      <c r="H362" s="125">
        <v>3981.25</v>
      </c>
      <c r="I362" s="125">
        <v>6001.4319999999998</v>
      </c>
      <c r="J362" s="125">
        <v>3894.6080000000002</v>
      </c>
      <c r="K362" s="125">
        <v>15149.841</v>
      </c>
      <c r="L362" s="125">
        <v>10963.05</v>
      </c>
      <c r="M362" s="125">
        <v>25532.89</v>
      </c>
      <c r="N362" s="125">
        <v>14325.141</v>
      </c>
      <c r="O362" s="125">
        <v>3178.55</v>
      </c>
      <c r="P362" s="152"/>
      <c r="Q362" s="160"/>
      <c r="R362" s="160"/>
      <c r="S362" s="160"/>
      <c r="T362" s="160"/>
      <c r="U362" s="160"/>
      <c r="V362" s="160"/>
    </row>
    <row r="363" spans="1:22">
      <c r="A363" s="243"/>
      <c r="B363" s="124" t="s">
        <v>83</v>
      </c>
      <c r="C363" s="125">
        <v>0</v>
      </c>
      <c r="D363" s="125">
        <v>30.225000000000001</v>
      </c>
      <c r="E363" s="125">
        <v>42.7</v>
      </c>
      <c r="F363" s="125">
        <v>0</v>
      </c>
      <c r="G363" s="125">
        <v>0</v>
      </c>
      <c r="H363" s="125">
        <v>17.925000000000001</v>
      </c>
      <c r="I363" s="125">
        <v>13.3</v>
      </c>
      <c r="J363" s="125">
        <v>0</v>
      </c>
      <c r="K363" s="125">
        <v>0.1</v>
      </c>
      <c r="L363" s="125">
        <v>40</v>
      </c>
      <c r="M363" s="125">
        <v>0</v>
      </c>
      <c r="N363" s="125">
        <v>0</v>
      </c>
      <c r="O363" s="125">
        <v>0</v>
      </c>
      <c r="P363" s="152"/>
      <c r="Q363" s="160"/>
      <c r="R363" s="160"/>
      <c r="S363" s="160"/>
      <c r="T363" s="160"/>
      <c r="U363" s="160"/>
      <c r="V363" s="160"/>
    </row>
    <row r="364" spans="1:22">
      <c r="A364" s="243"/>
      <c r="B364" s="124" t="s">
        <v>77</v>
      </c>
      <c r="C364" s="125">
        <v>5190.7349999999997</v>
      </c>
      <c r="D364" s="125">
        <v>21109.850999999999</v>
      </c>
      <c r="E364" s="125">
        <v>10600.206</v>
      </c>
      <c r="F364" s="125">
        <v>15107.638999999999</v>
      </c>
      <c r="G364" s="125">
        <v>13384.953</v>
      </c>
      <c r="H364" s="125">
        <v>131985.40100000001</v>
      </c>
      <c r="I364" s="125">
        <v>53466.71</v>
      </c>
      <c r="J364" s="125">
        <v>31702.144</v>
      </c>
      <c r="K364" s="125">
        <v>78564.706000000006</v>
      </c>
      <c r="L364" s="125">
        <v>31349.627</v>
      </c>
      <c r="M364" s="125">
        <v>41919.404000000002</v>
      </c>
      <c r="N364" s="125">
        <v>19118.609</v>
      </c>
      <c r="O364" s="125">
        <v>4270.6970000000001</v>
      </c>
      <c r="P364" s="152"/>
      <c r="Q364" s="160"/>
      <c r="R364" s="160"/>
      <c r="S364" s="160"/>
      <c r="T364" s="160"/>
      <c r="U364" s="160"/>
      <c r="V364" s="160"/>
    </row>
    <row r="365" spans="1:22">
      <c r="A365" s="243"/>
      <c r="B365" s="124" t="s">
        <v>204</v>
      </c>
      <c r="C365" s="125">
        <v>14.95</v>
      </c>
      <c r="D365" s="125">
        <v>639.66700000000003</v>
      </c>
      <c r="E365" s="125">
        <v>1319.4960000000001</v>
      </c>
      <c r="F365" s="125">
        <v>943.077</v>
      </c>
      <c r="G365" s="125">
        <v>2505.9189999999999</v>
      </c>
      <c r="H365" s="125">
        <v>4386.8270000000002</v>
      </c>
      <c r="I365" s="125">
        <v>1433.252</v>
      </c>
      <c r="J365" s="125">
        <v>1680.0920000000001</v>
      </c>
      <c r="K365" s="125">
        <v>3212.7779999999998</v>
      </c>
      <c r="L365" s="125">
        <v>1972.2629999999999</v>
      </c>
      <c r="M365" s="125">
        <v>1066.75</v>
      </c>
      <c r="N365" s="125">
        <v>3403.2849999999999</v>
      </c>
      <c r="O365" s="125">
        <v>10.952999999999999</v>
      </c>
      <c r="P365" s="152"/>
      <c r="Q365" s="160"/>
      <c r="R365" s="160"/>
      <c r="S365" s="160"/>
      <c r="T365" s="160"/>
      <c r="U365" s="160"/>
      <c r="V365" s="160"/>
    </row>
    <row r="366" spans="1:22">
      <c r="A366" s="243"/>
      <c r="B366" s="124" t="s">
        <v>19</v>
      </c>
      <c r="C366" s="125">
        <v>42.469000000000001</v>
      </c>
      <c r="D366" s="125">
        <v>65.772999999999996</v>
      </c>
      <c r="E366" s="125">
        <v>2249.5949999999998</v>
      </c>
      <c r="F366" s="125">
        <v>2043.925</v>
      </c>
      <c r="G366" s="125">
        <v>3560.598</v>
      </c>
      <c r="H366" s="125">
        <v>5141.38</v>
      </c>
      <c r="I366" s="125">
        <v>5499.3530000000001</v>
      </c>
      <c r="J366" s="125">
        <v>188.095</v>
      </c>
      <c r="K366" s="125">
        <v>505.98399999999998</v>
      </c>
      <c r="L366" s="125">
        <v>150.90899999999999</v>
      </c>
      <c r="M366" s="125">
        <v>733.23500000000001</v>
      </c>
      <c r="N366" s="125">
        <v>800.19</v>
      </c>
      <c r="O366" s="125">
        <v>608.26800000000003</v>
      </c>
      <c r="P366" s="152"/>
      <c r="Q366" s="160"/>
      <c r="R366" s="160"/>
      <c r="S366" s="160"/>
      <c r="T366" s="160"/>
      <c r="U366" s="160"/>
      <c r="V366" s="160"/>
    </row>
    <row r="367" spans="1:22">
      <c r="A367" s="243"/>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43"/>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43"/>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43"/>
      <c r="B370" s="124" t="s">
        <v>81</v>
      </c>
      <c r="C370" s="125">
        <v>0</v>
      </c>
      <c r="D370" s="125">
        <v>274.47500000000002</v>
      </c>
      <c r="E370" s="125">
        <v>1254.827</v>
      </c>
      <c r="F370" s="125">
        <v>1793.0419999999999</v>
      </c>
      <c r="G370" s="125">
        <v>2355.221</v>
      </c>
      <c r="H370" s="125">
        <v>2419.3009999999999</v>
      </c>
      <c r="I370" s="125">
        <v>1658.9880000000001</v>
      </c>
      <c r="J370" s="125">
        <v>1278.7840000000001</v>
      </c>
      <c r="K370" s="125">
        <v>1742.4670000000001</v>
      </c>
      <c r="L370" s="125">
        <v>18.949000000000002</v>
      </c>
      <c r="M370" s="125">
        <v>39.518999999999998</v>
      </c>
      <c r="N370" s="125">
        <v>262.69600000000003</v>
      </c>
      <c r="O370" s="125">
        <v>19.006</v>
      </c>
      <c r="P370" s="152"/>
    </row>
    <row r="371" spans="1:17">
      <c r="A371" s="243"/>
      <c r="B371" s="124" t="s">
        <v>85</v>
      </c>
      <c r="C371" s="125">
        <v>0</v>
      </c>
      <c r="D371" s="125">
        <v>0</v>
      </c>
      <c r="E371" s="125">
        <v>0</v>
      </c>
      <c r="F371" s="125">
        <v>0</v>
      </c>
      <c r="G371" s="125">
        <v>122.68300000000001</v>
      </c>
      <c r="H371" s="125">
        <v>1111.912</v>
      </c>
      <c r="I371" s="125">
        <v>779.20500000000004</v>
      </c>
      <c r="J371" s="125">
        <v>0</v>
      </c>
      <c r="K371" s="125">
        <v>0.16800000000000001</v>
      </c>
      <c r="L371" s="125">
        <v>25.091000000000001</v>
      </c>
      <c r="M371" s="125">
        <v>0</v>
      </c>
      <c r="N371" s="125">
        <v>0</v>
      </c>
      <c r="O371" s="125">
        <v>0</v>
      </c>
      <c r="P371" s="153">
        <f>O376/C376-1</f>
        <v>0.3017038431236716</v>
      </c>
      <c r="Q371" s="153">
        <f>(O357+O376)/(C376+C357)-1</f>
        <v>-0.83785590759605255</v>
      </c>
    </row>
    <row r="372" spans="1:17">
      <c r="A372" s="243"/>
      <c r="B372" s="124" t="s">
        <v>78</v>
      </c>
      <c r="C372" s="125">
        <v>1129.2550000000001</v>
      </c>
      <c r="D372" s="125">
        <v>38619.468999999997</v>
      </c>
      <c r="E372" s="125">
        <v>36877.692000000003</v>
      </c>
      <c r="F372" s="125">
        <v>51954.457000000002</v>
      </c>
      <c r="G372" s="125">
        <v>132370.96599999999</v>
      </c>
      <c r="H372" s="125">
        <v>223344.245</v>
      </c>
      <c r="I372" s="125">
        <v>63965.084000000003</v>
      </c>
      <c r="J372" s="125">
        <v>19560.11</v>
      </c>
      <c r="K372" s="125">
        <v>61583.904999999999</v>
      </c>
      <c r="L372" s="125">
        <v>6305.0339999999997</v>
      </c>
      <c r="M372" s="125">
        <v>1891.778</v>
      </c>
      <c r="N372" s="125">
        <v>2707.0210000000002</v>
      </c>
      <c r="O372" s="125">
        <v>3565.0010000000002</v>
      </c>
      <c r="P372" s="152"/>
    </row>
    <row r="373" spans="1:17">
      <c r="A373" s="243"/>
      <c r="B373" s="124" t="s">
        <v>79</v>
      </c>
      <c r="C373" s="125">
        <v>151.67500000000001</v>
      </c>
      <c r="D373" s="125">
        <v>2600.2660000000001</v>
      </c>
      <c r="E373" s="125">
        <v>15191.608</v>
      </c>
      <c r="F373" s="125">
        <v>25605.382000000001</v>
      </c>
      <c r="G373" s="125">
        <v>37295.190999999999</v>
      </c>
      <c r="H373" s="125">
        <v>32322.863000000001</v>
      </c>
      <c r="I373" s="125">
        <v>16218.591</v>
      </c>
      <c r="J373" s="125">
        <v>5669.5519999999997</v>
      </c>
      <c r="K373" s="125">
        <v>8192.3739999999998</v>
      </c>
      <c r="L373" s="125">
        <v>221.136</v>
      </c>
      <c r="M373" s="125">
        <v>6.3490000000000002</v>
      </c>
      <c r="N373" s="125">
        <v>44.374000000000002</v>
      </c>
      <c r="O373" s="125">
        <v>454.596</v>
      </c>
      <c r="P373" s="152"/>
    </row>
    <row r="374" spans="1:17">
      <c r="A374" s="243"/>
      <c r="B374" s="124" t="s">
        <v>229</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43"/>
      <c r="B375" s="124" t="s">
        <v>76</v>
      </c>
      <c r="C375" s="125">
        <v>0</v>
      </c>
      <c r="D375" s="125">
        <v>1116.925</v>
      </c>
      <c r="E375" s="125">
        <v>147.36600000000001</v>
      </c>
      <c r="F375" s="125">
        <v>3262.7249999999999</v>
      </c>
      <c r="G375" s="125">
        <v>2493.3420000000001</v>
      </c>
      <c r="H375" s="125">
        <v>31460.519</v>
      </c>
      <c r="I375" s="125">
        <v>14627.808000000001</v>
      </c>
      <c r="J375" s="125">
        <v>439.1</v>
      </c>
      <c r="K375" s="125">
        <v>116.1</v>
      </c>
      <c r="L375" s="125">
        <v>65.5</v>
      </c>
      <c r="M375" s="125">
        <v>6874.9160000000002</v>
      </c>
      <c r="N375" s="125">
        <v>7145.2420000000002</v>
      </c>
      <c r="O375" s="125">
        <v>116.25</v>
      </c>
      <c r="P375" s="152"/>
    </row>
    <row r="376" spans="1:17">
      <c r="A376" s="242"/>
      <c r="B376" s="183" t="s">
        <v>0</v>
      </c>
      <c r="C376" s="194">
        <v>9423.1679999999997</v>
      </c>
      <c r="D376" s="194">
        <v>66651.426999999996</v>
      </c>
      <c r="E376" s="194">
        <v>71296.244999999995</v>
      </c>
      <c r="F376" s="194">
        <v>107187.59600000001</v>
      </c>
      <c r="G376" s="194">
        <v>200039.663</v>
      </c>
      <c r="H376" s="194">
        <v>445445.24300000002</v>
      </c>
      <c r="I376" s="194">
        <v>168987.95199999999</v>
      </c>
      <c r="J376" s="194">
        <v>69570.445000000007</v>
      </c>
      <c r="K376" s="194">
        <v>183731.40400000001</v>
      </c>
      <c r="L376" s="194">
        <v>51957.722000000002</v>
      </c>
      <c r="M376" s="194">
        <v>79570.773000000001</v>
      </c>
      <c r="N376" s="194">
        <v>50262.436000000002</v>
      </c>
      <c r="O376" s="194">
        <v>12266.174000000001</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200</v>
      </c>
    </row>
    <row r="389" spans="1:15">
      <c r="B389" s="142" t="str">
        <f>MID(B390,6,1)</f>
        <v>F</v>
      </c>
      <c r="C389" s="142" t="str">
        <f t="shared" ref="C389:N389" si="13">MID(C390,6,1)</f>
        <v>M</v>
      </c>
      <c r="D389" s="142" t="str">
        <f t="shared" si="13"/>
        <v>A</v>
      </c>
      <c r="E389" s="142" t="str">
        <f t="shared" si="13"/>
        <v>M</v>
      </c>
      <c r="F389" s="142" t="str">
        <f t="shared" si="13"/>
        <v>J</v>
      </c>
      <c r="G389" s="142" t="str">
        <f t="shared" si="13"/>
        <v>J</v>
      </c>
      <c r="H389" s="142" t="str">
        <f t="shared" si="13"/>
        <v>A</v>
      </c>
      <c r="I389" s="142" t="str">
        <f t="shared" si="13"/>
        <v>S</v>
      </c>
      <c r="J389" s="142" t="str">
        <f t="shared" si="13"/>
        <v>O</v>
      </c>
      <c r="K389" s="142" t="str">
        <f t="shared" si="13"/>
        <v>N</v>
      </c>
      <c r="L389" s="142" t="str">
        <f t="shared" si="13"/>
        <v>D</v>
      </c>
      <c r="M389" s="142" t="str">
        <f t="shared" si="13"/>
        <v>E</v>
      </c>
      <c r="N389" s="142" t="str">
        <f t="shared" si="13"/>
        <v>F</v>
      </c>
    </row>
    <row r="390" spans="1:15">
      <c r="A390" s="122" t="s">
        <v>86</v>
      </c>
      <c r="B390" s="145" t="s">
        <v>207</v>
      </c>
      <c r="C390" s="145" t="s">
        <v>210</v>
      </c>
      <c r="D390" s="145" t="s">
        <v>220</v>
      </c>
      <c r="E390" s="145" t="s">
        <v>223</v>
      </c>
      <c r="F390" s="145" t="s">
        <v>225</v>
      </c>
      <c r="G390" s="145" t="s">
        <v>227</v>
      </c>
      <c r="H390" s="145" t="s">
        <v>230</v>
      </c>
      <c r="I390" s="145" t="s">
        <v>233</v>
      </c>
      <c r="J390" s="145" t="s">
        <v>237</v>
      </c>
      <c r="K390" s="145" t="s">
        <v>242</v>
      </c>
      <c r="L390" s="145" t="s">
        <v>245</v>
      </c>
      <c r="M390" s="145" t="s">
        <v>247</v>
      </c>
      <c r="N390" s="145" t="s">
        <v>279</v>
      </c>
    </row>
    <row r="391" spans="1:15">
      <c r="A391" s="122" t="s">
        <v>27</v>
      </c>
      <c r="B391" s="143"/>
      <c r="C391" s="143"/>
      <c r="D391" s="143"/>
      <c r="E391" s="143"/>
      <c r="F391" s="143"/>
      <c r="G391" s="143"/>
      <c r="H391" s="143"/>
      <c r="I391" s="143"/>
      <c r="J391" s="143"/>
      <c r="K391" s="143"/>
      <c r="L391" s="143"/>
      <c r="M391" s="143"/>
      <c r="N391" s="143"/>
    </row>
    <row r="392" spans="1:15">
      <c r="A392" s="124" t="s">
        <v>159</v>
      </c>
      <c r="B392" s="184">
        <v>61245.858</v>
      </c>
      <c r="C392" s="184">
        <v>99891.236000000004</v>
      </c>
      <c r="D392" s="184">
        <v>93450.634999999995</v>
      </c>
      <c r="E392" s="184">
        <v>97291.297000000006</v>
      </c>
      <c r="F392" s="184">
        <v>40991.940999999999</v>
      </c>
      <c r="G392" s="184">
        <v>36677.394999999997</v>
      </c>
      <c r="H392" s="184">
        <v>35242.697999999997</v>
      </c>
      <c r="I392" s="184">
        <v>27929.848999999998</v>
      </c>
      <c r="J392" s="184">
        <v>20968.252</v>
      </c>
      <c r="K392" s="184">
        <v>22665.061000000002</v>
      </c>
      <c r="L392" s="184">
        <v>17933.278999999999</v>
      </c>
      <c r="M392" s="184">
        <v>23166.077000000001</v>
      </c>
      <c r="N392" s="184">
        <v>25587.149000000001</v>
      </c>
      <c r="O392" s="62"/>
    </row>
    <row r="393" spans="1:15">
      <c r="A393" s="124" t="s">
        <v>160</v>
      </c>
      <c r="B393" s="184">
        <v>32668.483</v>
      </c>
      <c r="C393" s="184">
        <v>28032.678</v>
      </c>
      <c r="D393" s="184">
        <v>26740.23</v>
      </c>
      <c r="E393" s="184">
        <v>26569.347000000002</v>
      </c>
      <c r="F393" s="184">
        <v>42027.644</v>
      </c>
      <c r="G393" s="184">
        <v>26980.576000000001</v>
      </c>
      <c r="H393" s="184">
        <v>26163.522000000001</v>
      </c>
      <c r="I393" s="184">
        <v>22461.603999999999</v>
      </c>
      <c r="J393" s="184">
        <v>13158.781999999999</v>
      </c>
      <c r="K393" s="184">
        <v>6005.0370000000003</v>
      </c>
      <c r="L393" s="184">
        <v>9131.7250000000004</v>
      </c>
      <c r="M393" s="184">
        <v>5810.0649999999996</v>
      </c>
      <c r="N393" s="184">
        <v>2983.4830000000002</v>
      </c>
      <c r="O393" s="62"/>
    </row>
    <row r="394" spans="1:15">
      <c r="A394" s="198" t="s">
        <v>239</v>
      </c>
      <c r="B394" s="199">
        <f>SUM(B392:B393)</f>
        <v>93914.341</v>
      </c>
      <c r="C394" s="199">
        <f t="shared" ref="C394:N394" si="14">SUM(C392:C393)</f>
        <v>127923.914</v>
      </c>
      <c r="D394" s="199">
        <f t="shared" si="14"/>
        <v>120190.86499999999</v>
      </c>
      <c r="E394" s="199">
        <f t="shared" si="14"/>
        <v>123860.644</v>
      </c>
      <c r="F394" s="199">
        <f t="shared" si="14"/>
        <v>83019.584999999992</v>
      </c>
      <c r="G394" s="199">
        <f t="shared" si="14"/>
        <v>63657.970999999998</v>
      </c>
      <c r="H394" s="199">
        <f t="shared" si="14"/>
        <v>61406.22</v>
      </c>
      <c r="I394" s="199">
        <f t="shared" si="14"/>
        <v>50391.452999999994</v>
      </c>
      <c r="J394" s="199">
        <f t="shared" si="14"/>
        <v>34127.034</v>
      </c>
      <c r="K394" s="199">
        <f t="shared" si="14"/>
        <v>28670.098000000002</v>
      </c>
      <c r="L394" s="199">
        <f t="shared" si="14"/>
        <v>27065.004000000001</v>
      </c>
      <c r="M394" s="199">
        <f t="shared" si="14"/>
        <v>28976.142</v>
      </c>
      <c r="N394" s="199">
        <f t="shared" si="14"/>
        <v>28570.632000000001</v>
      </c>
    </row>
    <row r="395" spans="1:15">
      <c r="A395" s="124"/>
    </row>
    <row r="396" spans="1:15">
      <c r="A396" s="124"/>
    </row>
    <row r="397" spans="1:15">
      <c r="A397" s="84" t="s">
        <v>163</v>
      </c>
    </row>
    <row r="398" spans="1:15">
      <c r="A398" s="84" t="s">
        <v>164</v>
      </c>
    </row>
    <row r="399" spans="1:15">
      <c r="A399" s="122"/>
      <c r="B399" s="122" t="s">
        <v>27</v>
      </c>
      <c r="C399" s="227" t="s">
        <v>208</v>
      </c>
      <c r="D399" s="228"/>
      <c r="E399" s="228"/>
      <c r="F399" s="228"/>
      <c r="G399" s="228"/>
      <c r="H399" s="228"/>
      <c r="I399" s="228"/>
      <c r="J399" s="228"/>
      <c r="K399" s="228"/>
      <c r="L399" s="228"/>
      <c r="M399" s="228"/>
      <c r="N399" s="228"/>
      <c r="O399" s="228"/>
    </row>
    <row r="400" spans="1:15">
      <c r="A400" s="122"/>
      <c r="B400" s="122" t="s">
        <v>86</v>
      </c>
      <c r="C400" s="145" t="s">
        <v>207</v>
      </c>
      <c r="D400" s="145" t="s">
        <v>210</v>
      </c>
      <c r="E400" s="145" t="s">
        <v>220</v>
      </c>
      <c r="F400" s="145" t="s">
        <v>223</v>
      </c>
      <c r="G400" s="145" t="s">
        <v>225</v>
      </c>
      <c r="H400" s="145" t="s">
        <v>227</v>
      </c>
      <c r="I400" s="145" t="s">
        <v>230</v>
      </c>
      <c r="J400" s="145" t="s">
        <v>233</v>
      </c>
      <c r="K400" s="145" t="s">
        <v>237</v>
      </c>
      <c r="L400" s="145" t="s">
        <v>242</v>
      </c>
      <c r="M400" s="145" t="s">
        <v>245</v>
      </c>
      <c r="N400" s="145" t="s">
        <v>247</v>
      </c>
      <c r="O400" s="145" t="s">
        <v>279</v>
      </c>
    </row>
    <row r="401" spans="1:33">
      <c r="A401" s="122" t="s">
        <v>119</v>
      </c>
      <c r="B401" s="122" t="s">
        <v>189</v>
      </c>
      <c r="C401" s="143"/>
      <c r="D401" s="143"/>
      <c r="E401" s="143"/>
      <c r="F401" s="143"/>
      <c r="G401" s="143"/>
      <c r="H401" s="143"/>
      <c r="I401" s="143"/>
      <c r="J401" s="143"/>
      <c r="K401" s="143"/>
      <c r="L401" s="143"/>
      <c r="M401" s="143"/>
      <c r="N401" s="143"/>
      <c r="O401" s="143"/>
    </row>
    <row r="402" spans="1:33">
      <c r="A402" s="241" t="s">
        <v>71</v>
      </c>
      <c r="B402" s="124" t="s">
        <v>125</v>
      </c>
      <c r="C402" s="184">
        <v>191.6424222304</v>
      </c>
      <c r="D402" s="184">
        <v>147.7308546305</v>
      </c>
      <c r="E402" s="184">
        <v>144.37500321530001</v>
      </c>
      <c r="F402" s="184">
        <v>155.04070517069999</v>
      </c>
      <c r="G402" s="184">
        <v>165.61002641549999</v>
      </c>
      <c r="H402" s="184">
        <v>150.28757834149999</v>
      </c>
      <c r="I402" s="184">
        <v>157.3914054217</v>
      </c>
      <c r="J402" s="184">
        <v>166.42095092229999</v>
      </c>
      <c r="K402" s="184">
        <v>162.7965502049</v>
      </c>
      <c r="L402" s="184">
        <v>164.47094452299999</v>
      </c>
      <c r="M402" s="184">
        <v>174.62615588240001</v>
      </c>
      <c r="N402" s="184">
        <v>182.37316718189999</v>
      </c>
      <c r="O402" s="184">
        <v>137.02993094039999</v>
      </c>
      <c r="P402" s="154">
        <f>O402/C402-1</f>
        <v>-0.28497078389221542</v>
      </c>
    </row>
    <row r="403" spans="1:33">
      <c r="A403" s="242"/>
      <c r="B403" s="124" t="s">
        <v>129</v>
      </c>
      <c r="C403" s="184">
        <v>305.10105866020001</v>
      </c>
      <c r="D403" s="184">
        <v>264.41222129760001</v>
      </c>
      <c r="E403" s="184">
        <v>244.68431349319999</v>
      </c>
      <c r="F403" s="184">
        <v>220.95676674020001</v>
      </c>
      <c r="G403" s="184">
        <v>219.13720569969999</v>
      </c>
      <c r="H403" s="184">
        <v>200.44400471860001</v>
      </c>
      <c r="I403" s="184">
        <v>210.14936945490001</v>
      </c>
      <c r="J403" s="184">
        <v>232.59996176300001</v>
      </c>
      <c r="K403" s="184">
        <v>244.1453660576</v>
      </c>
      <c r="L403" s="184">
        <v>203.0076708007</v>
      </c>
      <c r="M403" s="184">
        <v>212.75769545259999</v>
      </c>
      <c r="N403" s="184">
        <v>221.46636149439999</v>
      </c>
      <c r="O403" s="184">
        <v>242.9232967364</v>
      </c>
      <c r="P403" s="154">
        <f>O403/C403-1</f>
        <v>-0.20379398943039784</v>
      </c>
    </row>
    <row r="404" spans="1:33">
      <c r="A404" s="251" t="s">
        <v>75</v>
      </c>
      <c r="B404" s="124" t="s">
        <v>125</v>
      </c>
      <c r="C404" s="184">
        <v>97.485909316600001</v>
      </c>
      <c r="D404" s="184">
        <v>34.816996656699999</v>
      </c>
      <c r="E404" s="184">
        <v>15.8979225199</v>
      </c>
      <c r="F404" s="184">
        <v>4.7741999187999999</v>
      </c>
      <c r="G404" s="184">
        <v>59.7129545994</v>
      </c>
      <c r="H404" s="184">
        <v>56.254841341599999</v>
      </c>
      <c r="I404" s="184">
        <v>61.503685353400002</v>
      </c>
      <c r="J404" s="184">
        <v>54.1608380053</v>
      </c>
      <c r="K404" s="184">
        <v>60.675018032799997</v>
      </c>
      <c r="L404" s="184">
        <v>57.152078829099999</v>
      </c>
      <c r="M404" s="184">
        <v>77.8107698699</v>
      </c>
      <c r="N404" s="184">
        <v>69.163489003400002</v>
      </c>
      <c r="O404" s="184">
        <v>9.6432943307999999</v>
      </c>
      <c r="P404" s="154">
        <f>O404/C404-1</f>
        <v>-0.90108012123596271</v>
      </c>
    </row>
    <row r="405" spans="1:33">
      <c r="A405" s="242"/>
      <c r="B405" s="124" t="s">
        <v>129</v>
      </c>
      <c r="C405" s="216">
        <v>32.386280461199497</v>
      </c>
      <c r="D405" s="216">
        <v>-105.857374548515</v>
      </c>
      <c r="E405" s="216">
        <v>-151.95851905293199</v>
      </c>
      <c r="F405" s="216">
        <v>-136.52684326860901</v>
      </c>
      <c r="G405" s="216">
        <v>-87.937670231433103</v>
      </c>
      <c r="H405" s="216">
        <v>-49.776885172126498</v>
      </c>
      <c r="I405" s="216">
        <v>-36.745907028188597</v>
      </c>
      <c r="J405" s="216">
        <v>-45.205144467913101</v>
      </c>
      <c r="K405" s="216">
        <v>-56.700768444130503</v>
      </c>
      <c r="L405" s="216">
        <v>-23.385671125824199</v>
      </c>
      <c r="M405" s="216">
        <v>14.4702230778882</v>
      </c>
      <c r="N405" s="216">
        <v>16.703954068740298</v>
      </c>
      <c r="O405" s="216">
        <v>-66.725363478946207</v>
      </c>
      <c r="P405" s="154">
        <f>O405/C405-1</f>
        <v>-3.0602972162513931</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27" t="s">
        <v>133</v>
      </c>
      <c r="D409" s="228"/>
      <c r="E409" s="228"/>
      <c r="F409" s="228"/>
      <c r="G409" s="228"/>
      <c r="H409" s="228"/>
      <c r="I409" s="228"/>
      <c r="J409" s="228"/>
      <c r="K409" s="228"/>
      <c r="L409" s="228"/>
      <c r="M409" s="228"/>
      <c r="N409" s="228"/>
      <c r="O409" s="228"/>
    </row>
    <row r="410" spans="1:33">
      <c r="A410" s="122"/>
      <c r="B410" s="122" t="s">
        <v>86</v>
      </c>
      <c r="C410" s="145" t="s">
        <v>207</v>
      </c>
      <c r="D410" s="145" t="s">
        <v>210</v>
      </c>
      <c r="E410" s="145" t="s">
        <v>220</v>
      </c>
      <c r="F410" s="145" t="s">
        <v>223</v>
      </c>
      <c r="G410" s="145" t="s">
        <v>225</v>
      </c>
      <c r="H410" s="145" t="s">
        <v>227</v>
      </c>
      <c r="I410" s="145" t="s">
        <v>230</v>
      </c>
      <c r="J410" s="145" t="s">
        <v>233</v>
      </c>
      <c r="K410" s="145" t="s">
        <v>237</v>
      </c>
      <c r="L410" s="145" t="s">
        <v>242</v>
      </c>
      <c r="M410" s="145" t="s">
        <v>245</v>
      </c>
      <c r="N410" s="145" t="s">
        <v>247</v>
      </c>
      <c r="O410" s="145" t="s">
        <v>279</v>
      </c>
    </row>
    <row r="411" spans="1:33">
      <c r="A411" s="122" t="s">
        <v>119</v>
      </c>
      <c r="B411" s="122" t="s">
        <v>191</v>
      </c>
      <c r="C411" s="143"/>
      <c r="D411" s="143"/>
      <c r="E411" s="143"/>
      <c r="F411" s="143"/>
      <c r="G411" s="143"/>
      <c r="H411" s="143"/>
      <c r="I411" s="143"/>
      <c r="J411" s="143"/>
      <c r="K411" s="143"/>
      <c r="L411" s="143"/>
      <c r="M411" s="143"/>
      <c r="N411" s="143"/>
      <c r="O411" s="143"/>
    </row>
    <row r="412" spans="1:33">
      <c r="A412" s="241" t="s">
        <v>71</v>
      </c>
      <c r="B412" s="124" t="s">
        <v>126</v>
      </c>
      <c r="C412" s="184">
        <v>67.585589426400006</v>
      </c>
      <c r="D412" s="184">
        <v>35.5284746281</v>
      </c>
      <c r="E412" s="184">
        <v>21.1892065471</v>
      </c>
      <c r="F412" s="184">
        <v>11.0326904909</v>
      </c>
      <c r="G412" s="184">
        <v>20.297364826599999</v>
      </c>
      <c r="H412" s="184">
        <v>34.1141379253</v>
      </c>
      <c r="I412" s="184">
        <v>35.031649862599998</v>
      </c>
      <c r="J412" s="184">
        <v>32.7380599946</v>
      </c>
      <c r="K412" s="184">
        <v>36.398819601600003</v>
      </c>
      <c r="L412" s="184">
        <v>25.577419348599999</v>
      </c>
      <c r="M412" s="184">
        <v>19.581757195600002</v>
      </c>
      <c r="N412" s="184">
        <v>23.5337400642</v>
      </c>
      <c r="O412" s="184">
        <v>14.062624576599999</v>
      </c>
      <c r="P412" s="154">
        <f>O412/C412-1</f>
        <v>-0.79192865378626243</v>
      </c>
    </row>
    <row r="413" spans="1:33">
      <c r="A413" s="243"/>
      <c r="B413" s="124" t="s">
        <v>127</v>
      </c>
      <c r="C413" s="184">
        <v>140.03264444760001</v>
      </c>
      <c r="D413" s="184">
        <v>120.096505014</v>
      </c>
      <c r="E413" s="184">
        <v>77.523932633800001</v>
      </c>
      <c r="F413" s="184">
        <v>63.343057325899998</v>
      </c>
      <c r="G413" s="184">
        <v>112.625288936</v>
      </c>
      <c r="H413" s="184">
        <v>110.444987815</v>
      </c>
      <c r="I413" s="184">
        <v>98.521136264800006</v>
      </c>
      <c r="J413" s="184">
        <v>101.9472367099</v>
      </c>
      <c r="K413" s="184">
        <v>97.886706690099999</v>
      </c>
      <c r="L413" s="184">
        <v>88.113274485000005</v>
      </c>
      <c r="M413" s="184">
        <v>96.135054601199997</v>
      </c>
      <c r="N413" s="184">
        <v>104.8609944799</v>
      </c>
      <c r="O413" s="184">
        <v>56.752351668899998</v>
      </c>
      <c r="P413" s="154">
        <f>O413/C413-1</f>
        <v>-0.59472056038949805</v>
      </c>
    </row>
    <row r="414" spans="1:33">
      <c r="A414" s="243"/>
      <c r="B414" s="124" t="s">
        <v>190</v>
      </c>
      <c r="C414" s="184">
        <v>118.5079301281</v>
      </c>
      <c r="D414" s="184">
        <v>85.189289887900003</v>
      </c>
      <c r="E414" s="184">
        <v>52.314215232599999</v>
      </c>
      <c r="F414" s="184">
        <v>55.672629718300001</v>
      </c>
      <c r="G414" s="184">
        <v>95.530108455900006</v>
      </c>
      <c r="H414" s="184">
        <v>107.60287344539999</v>
      </c>
      <c r="I414" s="184">
        <v>105.48086387319999</v>
      </c>
      <c r="J414" s="184">
        <v>87.551958489200004</v>
      </c>
      <c r="K414" s="184">
        <v>93.292720630199995</v>
      </c>
      <c r="L414" s="184">
        <v>90.087431370600001</v>
      </c>
      <c r="M414" s="184">
        <v>94.3620246941</v>
      </c>
      <c r="N414" s="184">
        <v>0</v>
      </c>
      <c r="O414" s="184">
        <v>0</v>
      </c>
      <c r="P414" s="154">
        <f>O414/C414-1</f>
        <v>-1</v>
      </c>
    </row>
    <row r="415" spans="1:33">
      <c r="A415" s="242"/>
      <c r="B415" s="124" t="s">
        <v>128</v>
      </c>
      <c r="C415" s="184">
        <v>120.5025753649</v>
      </c>
      <c r="D415" s="184">
        <v>90.112878959900002</v>
      </c>
      <c r="E415" s="184">
        <v>58.371273219899997</v>
      </c>
      <c r="F415" s="184">
        <v>55.693702808300003</v>
      </c>
      <c r="G415" s="184">
        <v>104.9215167187</v>
      </c>
      <c r="H415" s="184">
        <v>121.5609694004</v>
      </c>
      <c r="I415" s="184">
        <v>109.9492029741</v>
      </c>
      <c r="J415" s="184">
        <v>94.673383029199996</v>
      </c>
      <c r="K415" s="184">
        <v>107.2113005402</v>
      </c>
      <c r="L415" s="184">
        <v>96.675296389500005</v>
      </c>
      <c r="M415" s="184">
        <v>100.82860255590001</v>
      </c>
      <c r="N415" s="184">
        <v>116.26221271990001</v>
      </c>
      <c r="O415" s="184">
        <v>53.062662903499998</v>
      </c>
      <c r="P415" s="154">
        <f>O415/C415-1</f>
        <v>-0.55965536219605072</v>
      </c>
      <c r="R415" s="172">
        <v>147.141711762314</v>
      </c>
    </row>
    <row r="416" spans="1:33">
      <c r="A416" s="251" t="s">
        <v>75</v>
      </c>
      <c r="B416" s="124" t="s">
        <v>126</v>
      </c>
      <c r="C416" s="184">
        <v>26.586120180000002</v>
      </c>
      <c r="D416" s="184">
        <v>29.008521289200001</v>
      </c>
      <c r="E416" s="184">
        <v>18.106053319000001</v>
      </c>
      <c r="F416" s="184">
        <v>17.670425277900002</v>
      </c>
      <c r="G416" s="184">
        <v>12.5788518301</v>
      </c>
      <c r="H416" s="184">
        <v>13.7043949349</v>
      </c>
      <c r="I416" s="184">
        <v>18.185907200199999</v>
      </c>
      <c r="J416" s="184">
        <v>24.3133326757</v>
      </c>
      <c r="K416" s="184">
        <v>16.621921591100001</v>
      </c>
      <c r="L416" s="184">
        <v>18.8662189675</v>
      </c>
      <c r="M416" s="184">
        <v>13.108400383799999</v>
      </c>
      <c r="N416" s="184">
        <v>10.8123653194</v>
      </c>
      <c r="O416" s="184">
        <v>15.1023403009</v>
      </c>
      <c r="P416" s="152"/>
    </row>
    <row r="417" spans="1:19">
      <c r="A417" s="243"/>
      <c r="B417" s="124" t="s">
        <v>127</v>
      </c>
      <c r="C417" s="184">
        <v>22.808634897200001</v>
      </c>
      <c r="D417" s="184">
        <v>-19.560346367299999</v>
      </c>
      <c r="E417" s="184">
        <v>-25.501952932799998</v>
      </c>
      <c r="F417" s="184">
        <v>-21.3875057447</v>
      </c>
      <c r="G417" s="184">
        <v>12.0135543721</v>
      </c>
      <c r="H417" s="184">
        <v>12.2452130523</v>
      </c>
      <c r="I417" s="184">
        <v>15.0051950839</v>
      </c>
      <c r="J417" s="184">
        <v>-5.3674323135000002</v>
      </c>
      <c r="K417" s="184">
        <v>3.3776366820999999</v>
      </c>
      <c r="L417" s="184">
        <v>-5.9475195433000003</v>
      </c>
      <c r="M417" s="184">
        <v>20.511905126199999</v>
      </c>
      <c r="N417" s="184">
        <v>-14.7022421982</v>
      </c>
      <c r="O417" s="184">
        <v>-27.801700988499999</v>
      </c>
      <c r="P417" s="154">
        <f>O417/C417-1</f>
        <v>-2.2189112199745438</v>
      </c>
    </row>
    <row r="418" spans="1:19">
      <c r="A418" s="243"/>
      <c r="B418" s="124" t="s">
        <v>190</v>
      </c>
      <c r="C418" s="184">
        <v>56.6349303597</v>
      </c>
      <c r="D418" s="184">
        <v>3.8096046056000001</v>
      </c>
      <c r="E418" s="184">
        <v>-1.4266996133000001</v>
      </c>
      <c r="F418" s="184">
        <v>-4.0810580168000001</v>
      </c>
      <c r="G418" s="184">
        <v>64.248668094300001</v>
      </c>
      <c r="H418" s="184">
        <v>22.334454021199999</v>
      </c>
      <c r="I418" s="184">
        <v>8.1725149182999992</v>
      </c>
      <c r="J418" s="184">
        <v>13.4386992617</v>
      </c>
      <c r="K418" s="184">
        <v>30.503105186900001</v>
      </c>
      <c r="L418" s="184">
        <v>8.6680619366999991</v>
      </c>
      <c r="M418" s="184">
        <v>29.5562912143</v>
      </c>
      <c r="N418" s="184">
        <v>0</v>
      </c>
      <c r="O418" s="184">
        <v>0</v>
      </c>
      <c r="P418" s="154">
        <f>O418/C418-1</f>
        <v>-1</v>
      </c>
    </row>
    <row r="419" spans="1:19">
      <c r="A419" s="242"/>
      <c r="B419" s="124" t="s">
        <v>128</v>
      </c>
      <c r="C419" s="184">
        <v>37.849235561100002</v>
      </c>
      <c r="D419" s="184">
        <v>1.7364664057999999</v>
      </c>
      <c r="E419" s="184">
        <v>-3.2239345521999998</v>
      </c>
      <c r="F419" s="184">
        <v>-4.1235086641000001</v>
      </c>
      <c r="G419" s="184">
        <v>59.358578694199998</v>
      </c>
      <c r="H419" s="184">
        <v>18.384595549299998</v>
      </c>
      <c r="I419" s="184">
        <v>15.012926886100001</v>
      </c>
      <c r="J419" s="184">
        <v>0.25983211550000002</v>
      </c>
      <c r="K419" s="184">
        <v>32.758575262699999</v>
      </c>
      <c r="L419" s="184">
        <v>15.736337971199999</v>
      </c>
      <c r="M419" s="184">
        <v>44.960934410900002</v>
      </c>
      <c r="N419" s="184">
        <v>25.704341869</v>
      </c>
      <c r="O419" s="184">
        <v>-4.6515428505000003</v>
      </c>
      <c r="P419" s="154">
        <f>O419/C419-1</f>
        <v>-1.1228966128785089</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4">
      <c r="B423" s="115" t="s">
        <v>217</v>
      </c>
      <c r="C423" s="116"/>
      <c r="D423" s="116"/>
      <c r="E423" s="116"/>
      <c r="F423" s="116"/>
      <c r="G423" s="116"/>
      <c r="H423" s="116"/>
      <c r="I423" s="116"/>
      <c r="J423" s="116"/>
    </row>
    <row r="424" spans="1:19" ht="14">
      <c r="A424" s="151"/>
      <c r="B424" s="151"/>
      <c r="C424" s="147" t="s">
        <v>212</v>
      </c>
      <c r="D424" s="147" t="s">
        <v>213</v>
      </c>
      <c r="E424" s="147" t="s">
        <v>214</v>
      </c>
      <c r="F424" s="147" t="s">
        <v>215</v>
      </c>
      <c r="G424" s="147" t="s">
        <v>216</v>
      </c>
      <c r="H424" s="116"/>
      <c r="I424" s="116"/>
      <c r="J424" s="116"/>
      <c r="K424" s="114"/>
      <c r="L424" s="114"/>
    </row>
    <row r="425" spans="1:19" ht="14">
      <c r="A425" s="148" t="s">
        <v>6</v>
      </c>
      <c r="B425" s="16" t="s">
        <v>209</v>
      </c>
      <c r="C425" s="184" t="s">
        <v>131</v>
      </c>
      <c r="D425" s="184">
        <v>9.2261904761904763</v>
      </c>
      <c r="E425" s="184">
        <v>28.125</v>
      </c>
      <c r="F425" s="184">
        <v>47.916666666666671</v>
      </c>
      <c r="G425" s="184">
        <v>14.732142857142858</v>
      </c>
      <c r="H425" s="116"/>
      <c r="I425" s="116"/>
      <c r="J425" s="116"/>
      <c r="K425" s="114"/>
      <c r="L425" s="114"/>
    </row>
    <row r="426" spans="1:19" ht="14">
      <c r="A426" s="148" t="s">
        <v>7</v>
      </c>
      <c r="B426" s="16" t="s">
        <v>211</v>
      </c>
      <c r="C426" s="184">
        <v>9.690444145356663</v>
      </c>
      <c r="D426" s="184">
        <v>40.107671601615074</v>
      </c>
      <c r="E426" s="184">
        <v>33.109017496635261</v>
      </c>
      <c r="F426" s="184">
        <v>15.343203230148047</v>
      </c>
      <c r="G426" s="184">
        <v>1.7496635262449527</v>
      </c>
      <c r="H426" s="116"/>
      <c r="I426" s="116"/>
      <c r="J426" s="116"/>
      <c r="K426" s="114"/>
      <c r="L426" s="114"/>
    </row>
    <row r="427" spans="1:19" ht="14">
      <c r="A427" s="148" t="s">
        <v>8</v>
      </c>
      <c r="B427" s="16" t="s">
        <v>221</v>
      </c>
      <c r="C427" s="184">
        <v>24.861111111111111</v>
      </c>
      <c r="D427" s="184">
        <v>55.000000000000007</v>
      </c>
      <c r="E427" s="184">
        <v>15.416666666666668</v>
      </c>
      <c r="F427" s="184">
        <v>3.8888888888888888</v>
      </c>
      <c r="G427" s="184">
        <v>0.83333333333333337</v>
      </c>
      <c r="H427" s="116"/>
      <c r="I427" s="116"/>
      <c r="J427" s="116"/>
      <c r="K427" s="114"/>
      <c r="L427" s="114"/>
    </row>
    <row r="428" spans="1:19" ht="14">
      <c r="A428" s="148" t="s">
        <v>7</v>
      </c>
      <c r="B428" s="16" t="s">
        <v>224</v>
      </c>
      <c r="C428" s="184">
        <v>36.155913978494624</v>
      </c>
      <c r="D428" s="184">
        <v>54.166666666666664</v>
      </c>
      <c r="E428" s="184">
        <v>7.795698924731183</v>
      </c>
      <c r="F428" s="184">
        <v>1.881720430107527</v>
      </c>
      <c r="G428" s="184" t="s">
        <v>131</v>
      </c>
      <c r="H428" s="116"/>
      <c r="I428" s="116"/>
      <c r="J428" s="116"/>
      <c r="K428" s="114"/>
      <c r="L428" s="114"/>
    </row>
    <row r="429" spans="1:19" ht="14">
      <c r="A429" s="148" t="s">
        <v>9</v>
      </c>
      <c r="B429" s="16" t="s">
        <v>226</v>
      </c>
      <c r="C429" s="184">
        <v>11.944444444444445</v>
      </c>
      <c r="D429" s="184">
        <v>24.305555555555554</v>
      </c>
      <c r="E429" s="184">
        <v>20.138888888888889</v>
      </c>
      <c r="F429" s="184">
        <v>40.972222222222221</v>
      </c>
      <c r="G429" s="184">
        <v>2.6388888888888888</v>
      </c>
      <c r="H429" s="116"/>
      <c r="I429" s="116"/>
      <c r="J429" s="116"/>
      <c r="K429" s="114"/>
      <c r="L429" s="114"/>
    </row>
    <row r="430" spans="1:19" ht="14">
      <c r="A430" s="148" t="s">
        <v>9</v>
      </c>
      <c r="B430" s="16" t="s">
        <v>228</v>
      </c>
      <c r="C430" s="184">
        <v>4.032258064516129</v>
      </c>
      <c r="D430" s="184">
        <v>29.838709677419356</v>
      </c>
      <c r="E430" s="184">
        <v>30.376344086021508</v>
      </c>
      <c r="F430" s="184">
        <v>34.543010752688176</v>
      </c>
      <c r="G430" s="184">
        <v>1.2096774193548387</v>
      </c>
      <c r="H430" s="116"/>
      <c r="I430" s="116"/>
      <c r="J430" s="116"/>
      <c r="K430" s="114"/>
      <c r="L430" s="114"/>
    </row>
    <row r="431" spans="1:19" ht="14">
      <c r="A431" s="148" t="s">
        <v>8</v>
      </c>
      <c r="B431" s="16" t="s">
        <v>231</v>
      </c>
      <c r="C431" s="184">
        <v>7.661290322580645</v>
      </c>
      <c r="D431" s="184">
        <v>25.537634408602152</v>
      </c>
      <c r="E431" s="184">
        <v>37.365591397849464</v>
      </c>
      <c r="F431" s="184">
        <v>28.62903225806452</v>
      </c>
      <c r="G431" s="184">
        <v>0.80645161290322576</v>
      </c>
      <c r="H431" s="116"/>
      <c r="I431" s="116"/>
      <c r="J431" s="116"/>
      <c r="K431" s="114"/>
      <c r="L431" s="114"/>
    </row>
    <row r="432" spans="1:19" ht="14">
      <c r="A432" s="148" t="s">
        <v>10</v>
      </c>
      <c r="B432" s="16" t="s">
        <v>235</v>
      </c>
      <c r="C432" s="184">
        <v>9.1666666666666661</v>
      </c>
      <c r="D432" s="184">
        <v>31.25</v>
      </c>
      <c r="E432" s="184">
        <v>39.305555555555557</v>
      </c>
      <c r="F432" s="184">
        <v>18.888888888888889</v>
      </c>
      <c r="G432" s="184">
        <v>1.3888888888888888</v>
      </c>
      <c r="H432" s="116"/>
      <c r="I432" s="116"/>
      <c r="J432" s="116"/>
      <c r="K432" s="114"/>
      <c r="L432" s="114"/>
    </row>
    <row r="433" spans="1:12" ht="14">
      <c r="A433" s="148" t="s">
        <v>11</v>
      </c>
      <c r="B433" s="16" t="s">
        <v>243</v>
      </c>
      <c r="C433" s="184">
        <v>3.2214765100671143</v>
      </c>
      <c r="D433" s="184">
        <v>27.516778523489933</v>
      </c>
      <c r="E433" s="184">
        <v>31.543624161073826</v>
      </c>
      <c r="F433" s="184">
        <v>34.36241610738255</v>
      </c>
      <c r="G433" s="184">
        <v>3.3557046979865772</v>
      </c>
      <c r="H433" s="116"/>
      <c r="I433" s="116"/>
      <c r="J433" s="116"/>
      <c r="K433" s="114"/>
      <c r="L433" s="114"/>
    </row>
    <row r="434" spans="1:12" ht="14">
      <c r="A434" s="148" t="s">
        <v>12</v>
      </c>
      <c r="B434" s="16" t="s">
        <v>244</v>
      </c>
      <c r="C434" s="184">
        <v>1.9444444444444444</v>
      </c>
      <c r="D434" s="184">
        <v>40.138888888888893</v>
      </c>
      <c r="E434" s="184">
        <v>43.888888888888886</v>
      </c>
      <c r="F434" s="184">
        <v>13.750000000000002</v>
      </c>
      <c r="G434" s="184">
        <v>0.27777777777777779</v>
      </c>
      <c r="H434" s="116"/>
      <c r="I434" s="116"/>
      <c r="J434" s="116"/>
      <c r="K434" s="114"/>
      <c r="L434" s="114"/>
    </row>
    <row r="435" spans="1:12" ht="14">
      <c r="A435" s="148" t="s">
        <v>13</v>
      </c>
      <c r="B435" s="16" t="s">
        <v>246</v>
      </c>
      <c r="C435" s="184"/>
      <c r="D435" s="184">
        <v>15.456989247311828</v>
      </c>
      <c r="E435" s="184">
        <v>65.188172043010752</v>
      </c>
      <c r="F435" s="184">
        <v>19.22043010752688</v>
      </c>
      <c r="G435" s="184">
        <v>0.13440860215053765</v>
      </c>
      <c r="H435" s="116"/>
      <c r="I435" s="116"/>
      <c r="J435" s="116"/>
      <c r="K435" s="114"/>
      <c r="L435" s="114"/>
    </row>
    <row r="436" spans="1:12" ht="14">
      <c r="A436" s="148" t="s">
        <v>5</v>
      </c>
      <c r="B436" s="16" t="s">
        <v>250</v>
      </c>
      <c r="C436" s="184">
        <v>2.553763440860215</v>
      </c>
      <c r="D436" s="184">
        <v>27.284946236559136</v>
      </c>
      <c r="E436" s="184">
        <v>42.876344086021504</v>
      </c>
      <c r="F436" s="184">
        <v>25.403225806451612</v>
      </c>
      <c r="G436" s="184">
        <v>1.881720430107527</v>
      </c>
      <c r="H436" s="116"/>
      <c r="I436" s="116"/>
      <c r="J436" s="116"/>
      <c r="K436" s="114"/>
      <c r="L436" s="114"/>
    </row>
    <row r="437" spans="1:12" ht="14">
      <c r="A437" s="148" t="s">
        <v>6</v>
      </c>
      <c r="B437" s="16" t="s">
        <v>288</v>
      </c>
      <c r="C437" s="184">
        <v>27.827380952380953</v>
      </c>
      <c r="D437" s="184">
        <v>61.458333333333336</v>
      </c>
      <c r="E437" s="184">
        <v>8.1845238095238102</v>
      </c>
      <c r="F437" s="184">
        <v>2.3809523809523809</v>
      </c>
      <c r="G437" s="184">
        <v>0.14880952380952381</v>
      </c>
      <c r="H437" s="116"/>
      <c r="I437" s="116"/>
      <c r="J437" s="116"/>
      <c r="K437" s="114"/>
      <c r="L437" s="114"/>
    </row>
    <row r="438" spans="1:12" ht="14">
      <c r="J438" s="116"/>
      <c r="K438" s="114"/>
      <c r="L438" s="114"/>
    </row>
    <row r="439" spans="1:12" ht="14">
      <c r="C439" s="190"/>
      <c r="I439" s="116"/>
      <c r="J439" s="116"/>
      <c r="K439" s="114"/>
      <c r="L439" s="114"/>
    </row>
    <row r="440" spans="1:12" ht="14">
      <c r="H440" s="116"/>
      <c r="I440" s="116"/>
      <c r="J440" s="116"/>
      <c r="K440" s="114"/>
    </row>
    <row r="441" spans="1:12" ht="14">
      <c r="H441" s="116"/>
      <c r="I441" s="116"/>
      <c r="J441" s="116"/>
      <c r="K441" s="114"/>
    </row>
    <row r="450" spans="1:14">
      <c r="A450" s="106" t="s">
        <v>62</v>
      </c>
      <c r="B450" s="85"/>
      <c r="C450" s="85"/>
      <c r="D450" s="85"/>
      <c r="E450" s="85"/>
      <c r="F450" s="85"/>
      <c r="G450" s="85"/>
      <c r="H450" s="85"/>
      <c r="I450" s="85"/>
      <c r="N450" s="139"/>
    </row>
    <row r="451" spans="1:14">
      <c r="A451" s="14"/>
      <c r="B451" s="225" t="s">
        <v>1</v>
      </c>
      <c r="C451" s="225" t="s">
        <v>2</v>
      </c>
      <c r="D451" s="225" t="s">
        <v>25</v>
      </c>
      <c r="E451" s="225" t="s">
        <v>16</v>
      </c>
      <c r="F451" s="225" t="s">
        <v>17</v>
      </c>
      <c r="G451" s="225" t="s">
        <v>178</v>
      </c>
      <c r="H451" s="225" t="s">
        <v>26</v>
      </c>
      <c r="I451" s="225" t="s">
        <v>29</v>
      </c>
      <c r="J451" s="229" t="s">
        <v>117</v>
      </c>
    </row>
    <row r="452" spans="1:14" ht="13">
      <c r="A452" s="15"/>
      <c r="B452" s="226"/>
      <c r="C452" s="226"/>
      <c r="D452" s="226"/>
      <c r="E452" s="226"/>
      <c r="F452" s="226"/>
      <c r="G452" s="226"/>
      <c r="H452" s="226"/>
      <c r="I452" s="226"/>
      <c r="J452" s="230"/>
    </row>
    <row r="453" spans="1:14">
      <c r="A453" s="107" t="str">
        <f>MID(B43,6,3) &amp; "-" &amp; MID(B43,3,2)</f>
        <v>Feb-25</v>
      </c>
      <c r="B453" s="105">
        <f>VLOOKUP("Mercado Diario",$A$45:$N$64,2,FALSE)</f>
        <v>110.71</v>
      </c>
      <c r="C453" s="105">
        <f>VLOOKUP("Mercado Intradiario",$A$45:$N$64,2,FALSE)</f>
        <v>-0.1</v>
      </c>
      <c r="D453" s="105">
        <f t="shared" ref="D453:D465" si="15">SUM(B453:C453)</f>
        <v>110.61</v>
      </c>
      <c r="E453" s="105">
        <f>SUM(B82:B90)</f>
        <v>15.809999999999999</v>
      </c>
      <c r="F453" s="105">
        <f>VLOOKUP("Pago capacidad",$A$45:$N$64,2,FALSE)</f>
        <v>0.27</v>
      </c>
      <c r="G453" s="105">
        <f>VLOOKUP("Mecanismo Ajuste RD-L10/2022 Coste OM",$A$45:$N$64,2,FALSE)+VLOOKUP("Mecanismo Ajuste RD-L10/2022 Coste OS",$A$45:$N$64,2,FALSE)+VLOOKUP("Mecanismo Ajuste RD-L10/2022 Ajuste OS",$A$45:$N$64,2,FALSE)</f>
        <v>0</v>
      </c>
      <c r="H453" s="105">
        <f t="shared" ref="H453:H465" si="16">SUM(D453:G453)</f>
        <v>126.69</v>
      </c>
      <c r="I453" s="92">
        <f>VLOOKUP("Energía final MWh",$A$45:$N$60,2,FALSE)/1000</f>
        <v>19242.913862000001</v>
      </c>
      <c r="J453" s="195" t="str">
        <f>MID(A453,1,1)</f>
        <v>F</v>
      </c>
      <c r="K453" s="170"/>
    </row>
    <row r="454" spans="1:14">
      <c r="A454" s="107" t="str">
        <f>MID(C43,6,3) &amp; "-" &amp; MID(C43,3,2)</f>
        <v>Mar-25</v>
      </c>
      <c r="B454" s="105">
        <f>VLOOKUP("Mercado Diario",$A$45:$N$64,3,FALSE)</f>
        <v>55.52</v>
      </c>
      <c r="C454" s="105">
        <f>VLOOKUP("Mercado Intradiario",$A$45:$N$64,3,FALSE)</f>
        <v>-0.1</v>
      </c>
      <c r="D454" s="105">
        <f t="shared" si="15"/>
        <v>55.42</v>
      </c>
      <c r="E454" s="105">
        <f>SUM(C82:C90)</f>
        <v>15.43</v>
      </c>
      <c r="F454" s="105">
        <f>VLOOKUP("Pago capacidad",$A$45:$N$64,3,FALSE)</f>
        <v>0.18</v>
      </c>
      <c r="G454" s="105">
        <f>VLOOKUP("Mecanismo Ajuste RD-L10/2022 Coste OM",$A$45:$N$64,3,FALSE)+VLOOKUP("Mecanismo Ajuste RD-L10/2022 Coste OS",$A$45:$N$64,3,FALSE)+VLOOKUP("Mecanismo Ajuste RD-L10/2022 Ajuste OS",$A$45:$N$64,3,FALSE)</f>
        <v>0</v>
      </c>
      <c r="H454" s="105">
        <f t="shared" si="16"/>
        <v>71.03</v>
      </c>
      <c r="I454" s="92">
        <f>VLOOKUP("Energía final MWh",$A$45:$N$60,3,FALSE)/1000</f>
        <v>20819.390217</v>
      </c>
      <c r="J454" s="195" t="str">
        <f t="shared" ref="J454:J465" si="17">MID(A454,1,1)</f>
        <v>M</v>
      </c>
      <c r="K454" s="170"/>
    </row>
    <row r="455" spans="1:14">
      <c r="A455" s="107" t="str">
        <f>MID(D43,6,3) &amp; "-" &amp; MID(D43,3,2)</f>
        <v>Abr-25</v>
      </c>
      <c r="B455" s="105">
        <f>VLOOKUP("Mercado Diario",$A$45:$N$64,4,FALSE)</f>
        <v>27.66</v>
      </c>
      <c r="C455" s="105">
        <f>VLOOKUP("Mercado Intradiario",$A$45:$N$64,4,FALSE)</f>
        <v>-0.01</v>
      </c>
      <c r="D455" s="105">
        <f t="shared" si="15"/>
        <v>27.65</v>
      </c>
      <c r="E455" s="105">
        <f>SUM(D82:D90)</f>
        <v>17.255999999999997</v>
      </c>
      <c r="F455" s="105">
        <f>VLOOKUP("Pago capacidad",$A$45:$N$64,4,FALSE)</f>
        <v>0.14000000000000001</v>
      </c>
      <c r="G455" s="105">
        <f>VLOOKUP("Mecanismo Ajuste RD-L10/2022 Coste OM",$A$45:$N$64,4,FALSE)+VLOOKUP("Mecanismo Ajuste RD-L10/2022 Coste OS",$A$45:$N$64,4,FALSE)+VLOOKUP("Mecanismo Ajuste RD-L10/2022 Ajuste OS",$A$45:$N$64,4,FALSE)</f>
        <v>0</v>
      </c>
      <c r="H455" s="105">
        <f t="shared" si="16"/>
        <v>45.045999999999992</v>
      </c>
      <c r="I455" s="92">
        <f>VLOOKUP("Energía final MWh",$A$45:$N$60,4,FALSE)/1000</f>
        <v>17848.004853999999</v>
      </c>
      <c r="J455" s="195" t="str">
        <f t="shared" si="17"/>
        <v>A</v>
      </c>
    </row>
    <row r="456" spans="1:14">
      <c r="A456" s="107" t="str">
        <f>MID(E43,6,3) &amp; "-" &amp; MID(E43,3,2)</f>
        <v>May-25</v>
      </c>
      <c r="B456" s="105">
        <f>VLOOKUP("Mercado Diario",$A$45:$N$64,5,FALSE)</f>
        <v>17.43</v>
      </c>
      <c r="C456" s="105">
        <f>VLOOKUP("Mercado Intradiario",$A$45:$N$64,5,FALSE)</f>
        <v>-7.0000000000000007E-2</v>
      </c>
      <c r="D456" s="105">
        <f t="shared" si="15"/>
        <v>17.36</v>
      </c>
      <c r="E456" s="105">
        <f>SUM(E82:E90)</f>
        <v>24.129999999999995</v>
      </c>
      <c r="F456" s="105">
        <f>VLOOKUP("Pago capacidad",$A$45:$N$64,5,FALSE)</f>
        <v>0.13</v>
      </c>
      <c r="G456" s="105">
        <f>VLOOKUP("Mecanismo Ajuste RD-L10/2022 Coste OM",$A$45:$N$64,5,FALSE)+VLOOKUP("Mecanismo Ajuste RD-L10/2022 Coste OS",$A$45:$N$64,5,FALSE)+VLOOKUP("Mecanismo Ajuste RD-L10/2022 Ajuste OS",$A$45:$N$64,5,FALSE)</f>
        <v>0</v>
      </c>
      <c r="H456" s="105">
        <f t="shared" si="16"/>
        <v>41.62</v>
      </c>
      <c r="I456" s="92">
        <f>VLOOKUP("Energía final MWh",$A$45:$N$60,5,FALSE)/1000</f>
        <v>18599.189252</v>
      </c>
      <c r="J456" s="195" t="str">
        <f t="shared" si="17"/>
        <v>M</v>
      </c>
    </row>
    <row r="457" spans="1:14">
      <c r="A457" s="107" t="str">
        <f>MID(F43,6,3) &amp; "-" &amp; MID(F43,3,2)</f>
        <v>Jun-25</v>
      </c>
      <c r="B457" s="105">
        <f>VLOOKUP("Mercado Diario",$A$45:$N$64,6,FALSE)</f>
        <v>72.468000000000004</v>
      </c>
      <c r="C457" s="105">
        <f>VLOOKUP("Mercado Intradiario",$A$45:$N$64,6,FALSE)</f>
        <v>-0.13</v>
      </c>
      <c r="D457" s="105">
        <f t="shared" si="15"/>
        <v>72.338000000000008</v>
      </c>
      <c r="E457" s="105">
        <f>SUM(F82:F90)</f>
        <v>14.652000000000005</v>
      </c>
      <c r="F457" s="105">
        <f>VLOOKUP("Pago capacidad",$A$45:$N$64,6,FALSE)</f>
        <v>0.15</v>
      </c>
      <c r="G457" s="105">
        <f>VLOOKUP("Mecanismo Ajuste RD-L10/2022 Coste OM",$A$45:$N$64,6,FALSE)+VLOOKUP("Mecanismo Ajuste RD-L10/2022 Coste OS",$A$45:$N$64,6,FALSE)+VLOOKUP("Mecanismo Ajuste RD-L10/2022 Ajuste OS",$A$45:$N$64,6,FALSE)</f>
        <v>0</v>
      </c>
      <c r="H457" s="105">
        <f t="shared" si="16"/>
        <v>87.140000000000015</v>
      </c>
      <c r="I457" s="92">
        <f>VLOOKUP("Energía final MWh",$A$45:$N$60,6,FALSE)/1000</f>
        <v>20730.203096999998</v>
      </c>
      <c r="J457" s="195" t="str">
        <f t="shared" si="17"/>
        <v>J</v>
      </c>
    </row>
    <row r="458" spans="1:14">
      <c r="A458" s="107" t="str">
        <f>MID(G43,6,3) &amp; "-" &amp; MID(G43,3,2)</f>
        <v>Jul-25</v>
      </c>
      <c r="B458" s="105">
        <f>VLOOKUP("Mercado Diario",$A$45:$N$64,7,FALSE)</f>
        <v>70.442999999999998</v>
      </c>
      <c r="C458" s="105">
        <f>VLOOKUP("Mercado Intradiario",$A$45:$N$64,7,FALSE)</f>
        <v>-0.15</v>
      </c>
      <c r="D458" s="105">
        <f t="shared" si="15"/>
        <v>70.292999999999992</v>
      </c>
      <c r="E458" s="105">
        <f>SUM(G82:G90)</f>
        <v>14.452999999999998</v>
      </c>
      <c r="F458" s="105">
        <f>VLOOKUP("Pago capacidad",$A$45:$N$64,7,FALSE)</f>
        <v>0.28000000000000003</v>
      </c>
      <c r="G458" s="105">
        <f>VLOOKUP("Mecanismo Ajuste RD-L10/2022 Coste OM",$A$45:$N$64,7,FALSE)+VLOOKUP("Mecanismo Ajuste RD-L10/2022 Coste OS",$A$45:$N$64,7,FALSE)+VLOOKUP("Mecanismo Ajuste RD-L10/2022 Ajuste OS",$A$45:$N$64,7,FALSE)</f>
        <v>0</v>
      </c>
      <c r="H458" s="105">
        <f t="shared" si="16"/>
        <v>85.025999999999996</v>
      </c>
      <c r="I458" s="92">
        <f>VLOOKUP("Energía final MWh",$A$45:$N$60,7,FALSE)/1000</f>
        <v>22211.148852999999</v>
      </c>
      <c r="J458" s="195" t="str">
        <f t="shared" si="17"/>
        <v>J</v>
      </c>
    </row>
    <row r="459" spans="1:14">
      <c r="A459" s="107" t="str">
        <f>MID(H43,6,3) &amp; "-" &amp; MID(H43,3,2)</f>
        <v>Ago-25</v>
      </c>
      <c r="B459" s="105">
        <f>VLOOKUP("Mercado Diario",$A$45:$N$64,8,FALSE)</f>
        <v>67.98</v>
      </c>
      <c r="C459" s="105">
        <f>VLOOKUP("Mercado Intradiario",$A$45:$N$64,8,FALSE)</f>
        <v>-0.1</v>
      </c>
      <c r="D459" s="105">
        <f t="shared" si="15"/>
        <v>67.88000000000001</v>
      </c>
      <c r="E459" s="105">
        <f>SUM(H82:H90)</f>
        <v>13.11</v>
      </c>
      <c r="F459" s="105">
        <f>VLOOKUP("Pago capacidad",$A$45:$N$64,8,FALSE)</f>
        <v>0.14000000000000001</v>
      </c>
      <c r="G459" s="105">
        <f>VLOOKUP("Mecanismo Ajuste RD-L10/2022 Coste OM",$A$45:$N$64,8,FALSE)+VLOOKUP("Mecanismo Ajuste RD-L10/2022 Coste OS",$A$45:$N$64,8,FALSE)+VLOOKUP("Mecanismo Ajuste RD-L10/2022 Ajuste OS",$A$45:$N$64,8,FALSE)</f>
        <v>0</v>
      </c>
      <c r="H459" s="105">
        <f t="shared" si="16"/>
        <v>81.13000000000001</v>
      </c>
      <c r="I459" s="92">
        <f>VLOOKUP("Energía final MWh",$A$45:$N$60,8,FALSE)/1000</f>
        <v>20935.693187000001</v>
      </c>
      <c r="J459" s="195" t="str">
        <f t="shared" si="17"/>
        <v>A</v>
      </c>
    </row>
    <row r="460" spans="1:14">
      <c r="A460" s="107" t="str">
        <f>MID(I43,6,3) &amp; "-" &amp; MID(I43,3,2)</f>
        <v>Sep-25</v>
      </c>
      <c r="B460" s="105">
        <f>VLOOKUP("Mercado Diario",$A$45:$N$64,9,FALSE)</f>
        <v>60.85</v>
      </c>
      <c r="C460" s="105">
        <f>VLOOKUP("Mercado Intradiario",$A$45:$N$64,9,FALSE)</f>
        <v>-0.14000000000000001</v>
      </c>
      <c r="D460" s="105">
        <f t="shared" si="15"/>
        <v>60.71</v>
      </c>
      <c r="E460" s="105">
        <f>SUM(I82:I90)</f>
        <v>16.430000000000003</v>
      </c>
      <c r="F460" s="105">
        <f>VLOOKUP("Pago capacidad",$A$45:$N$64,9,FALSE)</f>
        <v>0.15</v>
      </c>
      <c r="G460" s="105">
        <f>VLOOKUP("Mecanismo Ajuste RD-L10/2022 Coste OM",$A$45:$N$64,9,FALSE)+VLOOKUP("Mecanismo Ajuste RD-L10/2022 Coste OS",$A$45:$N$64,9,FALSE)+VLOOKUP("Mecanismo Ajuste RD-L10/2022 Ajuste OS",$A$45:$N$64,9,FALSE)</f>
        <v>0</v>
      </c>
      <c r="H460" s="105">
        <f t="shared" si="16"/>
        <v>77.290000000000006</v>
      </c>
      <c r="I460" s="92">
        <f>VLOOKUP("Energía final MWh",$A$45:$N$60,9,FALSE)/1000</f>
        <v>19542.167315999999</v>
      </c>
      <c r="J460" s="195" t="str">
        <f t="shared" si="17"/>
        <v>S</v>
      </c>
    </row>
    <row r="461" spans="1:14">
      <c r="A461" s="107" t="str">
        <f>MID(J43,6,3) &amp; "-" &amp; MID(J43,3,2)</f>
        <v>Oct-25</v>
      </c>
      <c r="B461" s="105">
        <f>VLOOKUP("Mercado Diario",$A$45:$N$64,10,FALSE)</f>
        <v>76.650000000000006</v>
      </c>
      <c r="C461" s="105">
        <f>VLOOKUP("Mercado Intradiario",$A$45:$N$64,10,FALSE)</f>
        <v>-0.21</v>
      </c>
      <c r="D461" s="105">
        <f t="shared" si="15"/>
        <v>76.440000000000012</v>
      </c>
      <c r="E461" s="105">
        <f>SUM(J82:J90)</f>
        <v>17.375999999999994</v>
      </c>
      <c r="F461" s="105">
        <f>VLOOKUP("Pago capacidad",$A$45:$N$64,10,FALSE)</f>
        <v>0.14000000000000001</v>
      </c>
      <c r="G461" s="105">
        <f>VLOOKUP("Mecanismo Ajuste RD-L10/2022 Coste OM",$A$45:$N$64,10,FALSE)+VLOOKUP("Mecanismo Ajuste RD-L10/2022 Coste OS",$A$45:$N$64,10,FALSE)+VLOOKUP("Mecanismo Ajuste RD-L10/2022 Ajuste OS",$A$45:$N$64,10,FALSE)</f>
        <v>0</v>
      </c>
      <c r="H461" s="105">
        <f t="shared" si="16"/>
        <v>93.956000000000003</v>
      </c>
      <c r="I461" s="92">
        <f>VLOOKUP("Energía final MWh",$A$45:$N$60,10,FALSE)/1000</f>
        <v>19196.58944</v>
      </c>
      <c r="J461" s="195" t="str">
        <f t="shared" si="17"/>
        <v>O</v>
      </c>
    </row>
    <row r="462" spans="1:14">
      <c r="A462" s="107" t="str">
        <f>MID(K43,6,3) &amp; "-" &amp; MID(K43,3,2)</f>
        <v>Nov-25</v>
      </c>
      <c r="B462" s="105">
        <f>VLOOKUP("Mercado Diario",$A$45:$N$64,11,FALSE)</f>
        <v>60.523000000000003</v>
      </c>
      <c r="C462" s="105">
        <f>VLOOKUP("Mercado Intradiario",$A$45:$N$64,11,FALSE)</f>
        <v>-0.21</v>
      </c>
      <c r="D462" s="105">
        <f t="shared" si="15"/>
        <v>60.313000000000002</v>
      </c>
      <c r="E462" s="105">
        <f>SUM(K82:K90)</f>
        <v>16.023</v>
      </c>
      <c r="F462" s="105">
        <f>VLOOKUP("Pago capacidad",$A$45:$N$64,11,FALSE)</f>
        <v>0.18</v>
      </c>
      <c r="G462" s="105">
        <f>VLOOKUP("Mecanismo Ajuste RD-L10/2022 Coste OM",$A$45:$N$64,11,FALSE)+VLOOKUP("Mecanismo Ajuste RD-L10/2022 Coste OS",$A$45:$N$64,11,FALSE)+VLOOKUP("Mecanismo Ajuste RD-L10/2022 Ajuste OS",$A$45:$N$64,11,FALSE)</f>
        <v>0</v>
      </c>
      <c r="H462" s="105">
        <f t="shared" si="16"/>
        <v>76.516000000000005</v>
      </c>
      <c r="I462" s="92">
        <f>VLOOKUP("Energía final MWh",$A$45:$N$60,11,FALSE)/1000</f>
        <v>19892.075153000002</v>
      </c>
      <c r="J462" s="195" t="str">
        <f t="shared" si="17"/>
        <v>N</v>
      </c>
    </row>
    <row r="463" spans="1:14">
      <c r="A463" s="107" t="str">
        <f>MID(L43,6,3) &amp; "-" &amp; MID(L43,3,2)</f>
        <v>Dic-25</v>
      </c>
      <c r="B463" s="105">
        <f>VLOOKUP("Mercado Diario",$A$45:$N$64,12,FALSE)</f>
        <v>80.186000000000007</v>
      </c>
      <c r="C463" s="105">
        <f>VLOOKUP("Mercado Intradiario",$A$45:$N$64,12,FALSE)</f>
        <v>-0.2</v>
      </c>
      <c r="D463" s="105">
        <f t="shared" si="15"/>
        <v>79.986000000000004</v>
      </c>
      <c r="E463" s="105">
        <f>SUM(L82:L90)</f>
        <v>13.666</v>
      </c>
      <c r="F463" s="105">
        <f>VLOOKUP("Pago capacidad",$A$45:$N$64,12,FALSE)</f>
        <v>0.27</v>
      </c>
      <c r="G463" s="105">
        <f>VLOOKUP("Mecanismo Ajuste RD-L10/2022 Coste OM",$A$45:$N$64,12,FALSE)+VLOOKUP("Mecanismo Ajuste RD-L10/2022 Coste OS",$A$45:$N$64,12,FALSE)+VLOOKUP("Mecanismo Ajuste RD-L10/2022 Ajuste OS",$A$45:$N$64,12,FALSE)</f>
        <v>0</v>
      </c>
      <c r="H463" s="105">
        <f t="shared" si="16"/>
        <v>93.921999999999997</v>
      </c>
      <c r="I463" s="92">
        <f>VLOOKUP("Energía final MWh",$A$45:$N$60,12,FALSE)/1000</f>
        <v>21396.364586</v>
      </c>
      <c r="J463" s="195" t="str">
        <f t="shared" si="17"/>
        <v>D</v>
      </c>
    </row>
    <row r="464" spans="1:14">
      <c r="A464" s="107" t="str">
        <f>MID(M43,6,3) &amp; "-" &amp; MID(M43,3,2)</f>
        <v>Ene-26</v>
      </c>
      <c r="B464" s="105">
        <f>VLOOKUP("Mercado Diario",$A$45:$N$64,13,FALSE)</f>
        <v>73.596000000000004</v>
      </c>
      <c r="C464" s="105">
        <f>VLOOKUP("Mercado Intradiario",$A$45:$N$64,13,FALSE)</f>
        <v>-0.13</v>
      </c>
      <c r="D464" s="105">
        <f t="shared" si="15"/>
        <v>73.466000000000008</v>
      </c>
      <c r="E464" s="105">
        <f>SUM(M82:M90)</f>
        <v>14.588000000000003</v>
      </c>
      <c r="F464" s="105">
        <f>VLOOKUP("Pago capacidad",$A$45:$N$64,13,FALSE)</f>
        <v>0.24</v>
      </c>
      <c r="G464" s="105"/>
      <c r="H464" s="105">
        <f t="shared" si="16"/>
        <v>88.294000000000011</v>
      </c>
      <c r="I464" s="92">
        <f>VLOOKUP("Energía final MWh",$A$45:$N$60,13,FALSE)/1000</f>
        <v>22656.740901999998</v>
      </c>
      <c r="J464" s="195" t="str">
        <f t="shared" si="17"/>
        <v>E</v>
      </c>
      <c r="K464" s="127"/>
      <c r="N464" t="s">
        <v>179</v>
      </c>
    </row>
    <row r="465" spans="1:15">
      <c r="A465" s="108" t="str">
        <f>MID(N43,6,3) &amp; "-" &amp; MID(N43,3,2)</f>
        <v>Feb-26</v>
      </c>
      <c r="B465" s="104">
        <f>VLOOKUP("Mercado Diario",$A$45:$N$64,14,FALSE)</f>
        <v>18.09</v>
      </c>
      <c r="C465" s="104">
        <f>VLOOKUP("Mercado Intradiario",$A$45:$N$64,14,FALSE)</f>
        <v>-0.17</v>
      </c>
      <c r="D465" s="104">
        <f t="shared" si="15"/>
        <v>17.919999999999998</v>
      </c>
      <c r="E465" s="104">
        <f>SUM(N82:N90)</f>
        <v>24.447000000000003</v>
      </c>
      <c r="F465" s="104">
        <f>VLOOKUP("Pago capacidad",$A$45:$N$64,14,FALSE)</f>
        <v>0.25</v>
      </c>
      <c r="G465" s="104"/>
      <c r="H465" s="104">
        <f t="shared" si="16"/>
        <v>42.617000000000004</v>
      </c>
      <c r="I465" s="109">
        <f>VLOOKUP("Energía final MWh",$A$45:$N$60,14,FALSE)/1000</f>
        <v>19386.37587</v>
      </c>
      <c r="J465" s="196" t="str">
        <f t="shared" si="17"/>
        <v>F</v>
      </c>
      <c r="K465" s="49">
        <f>(H465/H464-1)*100</f>
        <v>-51.732847079076727</v>
      </c>
      <c r="L465" s="49">
        <f>(H465/H453-1)*100</f>
        <v>-66.361196621674949</v>
      </c>
      <c r="M465" s="49">
        <f>H465/H453</f>
        <v>0.3363880337832505</v>
      </c>
      <c r="N465" s="139">
        <f>E465/H465</f>
        <v>0.5736443203416477</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 ref="D319:P319"/>
    <mergeCell ref="A217:A235"/>
    <mergeCell ref="A198:A216"/>
    <mergeCell ref="B324:B325"/>
    <mergeCell ref="A154:A173"/>
    <mergeCell ref="A134:A153"/>
    <mergeCell ref="A260:A278"/>
    <mergeCell ref="A279:A297"/>
    <mergeCell ref="B4:AB4"/>
    <mergeCell ref="B5:AB5"/>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K28" sqref="K28"/>
    </sheetView>
  </sheetViews>
  <sheetFormatPr baseColWidth="10" defaultColWidth="11.453125" defaultRowHeight="12.5"/>
  <cols>
    <col min="1" max="1" width="0.453125" customWidth="1"/>
    <col min="2" max="2" width="2.54296875" customWidth="1"/>
    <col min="3" max="3" width="16.453125" customWidth="1"/>
    <col min="4" max="4" width="4.54296875" customWidth="1"/>
    <col min="5" max="5" width="95.54296875" customWidth="1"/>
  </cols>
  <sheetData>
    <row r="1" spans="2:8" ht="0.75" customHeight="1"/>
    <row r="2" spans="2:8" ht="21" customHeight="1">
      <c r="C2" s="94"/>
      <c r="D2" s="94"/>
      <c r="E2" s="177" t="s">
        <v>31</v>
      </c>
    </row>
    <row r="3" spans="2:8" ht="15" customHeight="1">
      <c r="C3" s="94"/>
      <c r="D3" s="94"/>
      <c r="E3" s="18" t="str">
        <f>Dat_01!A2</f>
        <v>Febrero 2026</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5" customHeight="1">
      <c r="B8" s="2"/>
      <c r="C8" s="96"/>
      <c r="D8" s="97" t="s">
        <v>65</v>
      </c>
      <c r="E8" s="98" t="s">
        <v>37</v>
      </c>
      <c r="F8" s="99"/>
      <c r="G8" s="74"/>
    </row>
    <row r="9" spans="2:8" s="1" customFormat="1" ht="12.65" customHeight="1">
      <c r="B9" s="2"/>
      <c r="C9" s="96"/>
      <c r="D9" s="97" t="s">
        <v>65</v>
      </c>
      <c r="E9" s="98" t="s">
        <v>218</v>
      </c>
      <c r="F9" s="99"/>
      <c r="G9" s="74"/>
    </row>
    <row r="10" spans="2:8" s="1" customFormat="1" ht="12.65" customHeight="1">
      <c r="B10" s="2"/>
      <c r="C10" s="96"/>
      <c r="D10" s="97" t="s">
        <v>65</v>
      </c>
      <c r="E10" s="98" t="s">
        <v>66</v>
      </c>
      <c r="F10" s="99"/>
      <c r="H10" s="94"/>
    </row>
    <row r="11" spans="2:8" s="1" customFormat="1" ht="12.65" customHeight="1">
      <c r="B11" s="2"/>
      <c r="C11" s="96"/>
      <c r="D11" s="97" t="s">
        <v>65</v>
      </c>
      <c r="E11" s="98" t="s">
        <v>67</v>
      </c>
      <c r="F11" s="99"/>
      <c r="H11" s="94"/>
    </row>
    <row r="12" spans="2:8" s="1" customFormat="1" ht="12.65" customHeight="1">
      <c r="B12" s="2"/>
      <c r="C12" s="96"/>
      <c r="D12" s="97" t="s">
        <v>65</v>
      </c>
      <c r="E12" s="98" t="s">
        <v>28</v>
      </c>
      <c r="F12" s="99"/>
    </row>
    <row r="13" spans="2:8" s="1" customFormat="1" ht="12.65" customHeight="1">
      <c r="B13" s="2"/>
      <c r="C13" s="96"/>
      <c r="D13" s="97" t="s">
        <v>65</v>
      </c>
      <c r="E13" s="98" t="s">
        <v>68</v>
      </c>
      <c r="F13" s="99"/>
    </row>
    <row r="14" spans="2:8" s="1" customFormat="1" ht="12.65" customHeight="1">
      <c r="B14" s="2"/>
      <c r="C14" s="96"/>
      <c r="D14" s="97" t="s">
        <v>65</v>
      </c>
      <c r="E14" s="98" t="s">
        <v>168</v>
      </c>
      <c r="F14" s="99"/>
    </row>
    <row r="15" spans="2:8" s="1" customFormat="1" ht="12.65" customHeight="1">
      <c r="B15" s="2"/>
      <c r="C15" s="96"/>
      <c r="D15" s="97" t="s">
        <v>65</v>
      </c>
      <c r="E15" s="98" t="s">
        <v>35</v>
      </c>
      <c r="F15" s="99"/>
    </row>
    <row r="16" spans="2:8" s="1" customFormat="1" ht="12.65" customHeight="1">
      <c r="B16" s="2"/>
      <c r="C16" s="96"/>
      <c r="D16" s="97" t="s">
        <v>65</v>
      </c>
      <c r="E16" s="98" t="s">
        <v>205</v>
      </c>
      <c r="F16" s="99"/>
    </row>
    <row r="17" spans="2:6" s="1" customFormat="1" ht="12.65" customHeight="1">
      <c r="B17" s="2"/>
      <c r="C17" s="96"/>
      <c r="D17" s="97" t="s">
        <v>65</v>
      </c>
      <c r="E17" s="98" t="s">
        <v>64</v>
      </c>
      <c r="F17" s="99"/>
    </row>
    <row r="18" spans="2:6" s="1" customFormat="1" ht="12.65" customHeight="1">
      <c r="B18" s="2"/>
      <c r="C18" s="96"/>
      <c r="D18" s="97" t="s">
        <v>65</v>
      </c>
      <c r="E18" s="98" t="s">
        <v>3</v>
      </c>
      <c r="F18" s="99"/>
    </row>
    <row r="19" spans="2:6" s="1" customFormat="1" ht="12.65" customHeight="1">
      <c r="B19" s="2"/>
      <c r="C19" s="96"/>
      <c r="D19" s="97" t="s">
        <v>65</v>
      </c>
      <c r="E19" s="98" t="s">
        <v>147</v>
      </c>
      <c r="F19" s="99"/>
    </row>
    <row r="20" spans="2:6" s="1" customFormat="1" ht="12.65" customHeight="1">
      <c r="B20" s="2"/>
      <c r="C20" s="96"/>
      <c r="D20" s="97" t="s">
        <v>65</v>
      </c>
      <c r="E20" s="98" t="s">
        <v>145</v>
      </c>
      <c r="F20" s="99"/>
    </row>
    <row r="21" spans="2:6" s="1" customFormat="1" ht="12.65" customHeight="1">
      <c r="B21" s="2"/>
      <c r="C21" s="96"/>
      <c r="D21" s="100" t="s">
        <v>65</v>
      </c>
      <c r="E21" s="98" t="s">
        <v>24</v>
      </c>
      <c r="F21" s="99"/>
    </row>
    <row r="22" spans="2:6" s="1" customFormat="1" ht="8.25" customHeight="1">
      <c r="B22" s="2"/>
      <c r="C22" s="96"/>
      <c r="D22" s="100"/>
      <c r="E22" s="101"/>
      <c r="F22" s="99"/>
    </row>
    <row r="23" spans="2:6" ht="11.25" customHeight="1"/>
    <row r="24" spans="2:6">
      <c r="C24" s="102" t="s">
        <v>199</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U42" sqref="U42"/>
    </sheetView>
  </sheetViews>
  <sheetFormatPr baseColWidth="10" defaultColWidth="10.54296875" defaultRowHeight="10.5"/>
  <cols>
    <col min="1" max="1" width="10.54296875" style="41" hidden="1" customWidth="1"/>
    <col min="2" max="2" width="2.54296875" style="41" customWidth="1"/>
    <col min="3" max="3" width="23.54296875" style="41" customWidth="1"/>
    <col min="4" max="4" width="2.54296875" style="41" customWidth="1"/>
    <col min="5" max="58" width="10.54296875" style="41" customWidth="1"/>
    <col min="59" max="16384" width="10.54296875" style="41"/>
  </cols>
  <sheetData>
    <row r="2" spans="3:12" ht="13">
      <c r="C2"/>
      <c r="D2"/>
      <c r="L2" s="17" t="s">
        <v>31</v>
      </c>
    </row>
    <row r="3" spans="3:12" ht="13">
      <c r="C3"/>
      <c r="D3"/>
      <c r="L3" s="18" t="str">
        <f>Indice!E3</f>
        <v>Febrero 2026</v>
      </c>
    </row>
    <row r="4" spans="3:12" ht="13">
      <c r="C4" s="19" t="s">
        <v>30</v>
      </c>
    </row>
    <row r="5" spans="3:12">
      <c r="C5" s="3"/>
    </row>
    <row r="6" spans="3:12">
      <c r="C6" s="4"/>
    </row>
    <row r="7" spans="3:12" ht="10.5" customHeight="1">
      <c r="C7" s="220" t="s">
        <v>37</v>
      </c>
    </row>
    <row r="8" spans="3:12" ht="10.5" customHeight="1">
      <c r="C8" s="220"/>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118" zoomScaleNormal="118" workbookViewId="0">
      <selection activeCell="K9" sqref="K9"/>
    </sheetView>
  </sheetViews>
  <sheetFormatPr baseColWidth="10" defaultRowHeight="12.5"/>
  <cols>
    <col min="1" max="1" width="0.453125" customWidth="1"/>
    <col min="2" max="2" width="2.54296875" customWidth="1"/>
    <col min="3" max="3" width="23.54296875" customWidth="1"/>
    <col min="4" max="4" width="1.453125" customWidth="1"/>
    <col min="5" max="5" width="105.54296875" customWidth="1"/>
    <col min="6" max="6" width="11.453125" style="7" customWidth="1"/>
    <col min="8" max="11" width="11.453125" customWidth="1"/>
  </cols>
  <sheetData>
    <row r="1" spans="2:8" ht="0.65" customHeight="1">
      <c r="F1"/>
    </row>
    <row r="2" spans="2:8" ht="21" customHeight="1">
      <c r="E2" s="17" t="s">
        <v>31</v>
      </c>
      <c r="F2"/>
    </row>
    <row r="3" spans="2:8" ht="15" customHeight="1">
      <c r="E3" s="18" t="str">
        <f>Indice!E3</f>
        <v>Febrero 2026</v>
      </c>
      <c r="F3"/>
    </row>
    <row r="4" spans="2:8" s="1" customFormat="1" ht="20.149999999999999" customHeight="1">
      <c r="B4" s="2"/>
      <c r="C4" s="118" t="s">
        <v>30</v>
      </c>
    </row>
    <row r="5" spans="2:8" s="1" customFormat="1" ht="12.65" customHeight="1">
      <c r="B5" s="2"/>
      <c r="C5" s="3"/>
    </row>
    <row r="6" spans="2:8" s="1" customFormat="1" ht="13.4" customHeight="1">
      <c r="B6" s="2"/>
      <c r="C6" s="4"/>
      <c r="D6" s="5"/>
      <c r="E6" s="5"/>
    </row>
    <row r="7" spans="2:8" s="1" customFormat="1" ht="12.75" customHeight="1">
      <c r="B7" s="2"/>
      <c r="C7" s="220" t="s">
        <v>219</v>
      </c>
      <c r="D7" s="5"/>
      <c r="E7" s="6"/>
      <c r="H7" s="128"/>
    </row>
    <row r="8" spans="2:8" s="1" customFormat="1" ht="12.75" customHeight="1">
      <c r="B8" s="2"/>
      <c r="C8" s="220"/>
      <c r="D8" s="5"/>
      <c r="E8" s="6"/>
    </row>
    <row r="9" spans="2:8" s="1" customFormat="1">
      <c r="B9" s="2"/>
      <c r="C9" s="220"/>
      <c r="D9" s="5"/>
      <c r="E9" s="6"/>
    </row>
    <row r="10" spans="2:8" s="1" customFormat="1" ht="12.75" customHeight="1">
      <c r="B10" s="2"/>
      <c r="C10" s="220"/>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H10" sqref="H10"/>
    </sheetView>
  </sheetViews>
  <sheetFormatPr baseColWidth="10" defaultRowHeight="12.5"/>
  <cols>
    <col min="1" max="1" width="0.453125" customWidth="1"/>
    <col min="2" max="2" width="2.54296875" customWidth="1"/>
    <col min="3" max="3" width="23.54296875" customWidth="1"/>
    <col min="4" max="4" width="1.453125" customWidth="1"/>
    <col min="5" max="5" width="105.54296875" customWidth="1"/>
    <col min="6" max="6" width="11.453125" style="7" customWidth="1"/>
  </cols>
  <sheetData>
    <row r="1" spans="2:19" ht="0.65" customHeight="1">
      <c r="F1"/>
    </row>
    <row r="2" spans="2:19" ht="21" customHeight="1">
      <c r="E2" s="17" t="s">
        <v>31</v>
      </c>
      <c r="F2"/>
    </row>
    <row r="3" spans="2:19" ht="15" customHeight="1">
      <c r="E3" s="78" t="str">
        <f>Indice!E3</f>
        <v>Febrero 2026</v>
      </c>
      <c r="F3"/>
    </row>
    <row r="4" spans="2:19" s="1" customFormat="1" ht="20.149999999999999" customHeight="1">
      <c r="B4" s="2"/>
      <c r="C4" s="19" t="s">
        <v>30</v>
      </c>
    </row>
    <row r="5" spans="2:19" s="1" customFormat="1" ht="12.65" customHeight="1">
      <c r="B5" s="2"/>
      <c r="C5" s="3"/>
    </row>
    <row r="6" spans="2:19" s="1" customFormat="1" ht="13.4" customHeight="1">
      <c r="B6" s="2"/>
      <c r="C6" s="4"/>
      <c r="D6" s="5"/>
      <c r="E6" s="5"/>
    </row>
    <row r="7" spans="2:19" s="1" customFormat="1" ht="12.75" customHeight="1">
      <c r="B7" s="2"/>
      <c r="C7" s="220" t="s">
        <v>44</v>
      </c>
      <c r="D7" s="5"/>
      <c r="E7" s="12"/>
    </row>
    <row r="8" spans="2:19" s="1" customFormat="1" ht="12.75" customHeight="1">
      <c r="B8" s="2"/>
      <c r="C8" s="220"/>
      <c r="D8" s="5"/>
      <c r="E8" s="12"/>
    </row>
    <row r="9" spans="2:19" s="1" customFormat="1" ht="18" customHeight="1">
      <c r="B9" s="2"/>
      <c r="C9" s="220"/>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L13" sqref="L13"/>
    </sheetView>
  </sheetViews>
  <sheetFormatPr baseColWidth="10" defaultColWidth="11.453125" defaultRowHeight="12.5"/>
  <cols>
    <col min="1" max="1" width="3.54296875" style="20" customWidth="1"/>
    <col min="2" max="2" width="23.54296875" style="20" customWidth="1"/>
    <col min="3" max="3" width="11.453125" style="20"/>
    <col min="4" max="4" width="12.453125" style="20" customWidth="1"/>
    <col min="5" max="5" width="11.453125" style="20" customWidth="1"/>
    <col min="6" max="6" width="11.453125" style="20"/>
    <col min="7" max="7" width="12.453125" style="20" customWidth="1"/>
    <col min="8" max="10" width="11.453125" style="20"/>
    <col min="11" max="11" width="13" style="20" customWidth="1"/>
    <col min="12" max="16384" width="11.453125" style="20"/>
  </cols>
  <sheetData>
    <row r="1" spans="1:8">
      <c r="A1" s="20" t="s">
        <v>4</v>
      </c>
    </row>
    <row r="2" spans="1:8" ht="13">
      <c r="H2" s="17" t="s">
        <v>31</v>
      </c>
    </row>
    <row r="3" spans="1:8" ht="13">
      <c r="H3" s="78" t="str">
        <f>Indice!E3</f>
        <v>Febrero 2026</v>
      </c>
    </row>
    <row r="4" spans="1:8" ht="13">
      <c r="B4" s="19" t="s">
        <v>30</v>
      </c>
    </row>
    <row r="7" spans="1:8" ht="12.75" customHeight="1">
      <c r="B7" s="221" t="s">
        <v>38</v>
      </c>
    </row>
    <row r="8" spans="1:8">
      <c r="B8" s="221"/>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G17" sqref="G17"/>
    </sheetView>
  </sheetViews>
  <sheetFormatPr baseColWidth="10" defaultRowHeight="12.5"/>
  <cols>
    <col min="1" max="1" width="0.453125" customWidth="1"/>
    <col min="2" max="2" width="2.54296875" customWidth="1"/>
    <col min="3" max="3" width="23.54296875" customWidth="1"/>
    <col min="4" max="4" width="1.453125" customWidth="1"/>
    <col min="5" max="5" width="105.54296875" customWidth="1"/>
    <col min="6" max="6" width="11.453125" style="7" customWidth="1"/>
    <col min="7" max="7" width="28.453125" customWidth="1"/>
    <col min="8" max="20" width="9.453125" customWidth="1"/>
    <col min="24" max="36" width="13.453125" bestFit="1" customWidth="1"/>
  </cols>
  <sheetData>
    <row r="1" spans="2:39" ht="0.65"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Febrero 2026</v>
      </c>
      <c r="F3" s="11"/>
      <c r="G3" s="11"/>
      <c r="H3" s="11"/>
      <c r="I3" s="11"/>
      <c r="J3" s="11"/>
      <c r="K3" s="11"/>
      <c r="L3" s="11"/>
      <c r="M3" s="11"/>
      <c r="N3" s="11"/>
      <c r="O3" s="11"/>
      <c r="P3" s="11"/>
      <c r="Q3" s="11"/>
      <c r="R3" s="11"/>
      <c r="S3" s="11"/>
      <c r="T3" s="11"/>
    </row>
    <row r="4" spans="2:39" s="1" customFormat="1" ht="20.149999999999999" customHeight="1">
      <c r="C4" s="19" t="s">
        <v>30</v>
      </c>
    </row>
    <row r="5" spans="2:39" s="1" customFormat="1" ht="12.65" customHeight="1">
      <c r="B5" s="2"/>
      <c r="C5" s="3"/>
    </row>
    <row r="6" spans="2:39" s="1" customFormat="1" ht="13.4" customHeight="1">
      <c r="B6" s="2"/>
      <c r="C6" s="4"/>
      <c r="D6" s="5"/>
      <c r="E6" s="5"/>
    </row>
    <row r="7" spans="2:39" s="1" customFormat="1" ht="12.75" customHeight="1">
      <c r="B7" s="2"/>
      <c r="C7" s="221" t="s">
        <v>28</v>
      </c>
      <c r="D7" s="5"/>
      <c r="E7" s="12"/>
    </row>
    <row r="8" spans="2:39" s="1" customFormat="1" ht="12.75" customHeight="1">
      <c r="B8" s="2"/>
      <c r="C8" s="221"/>
      <c r="D8" s="5"/>
      <c r="E8" s="12"/>
    </row>
    <row r="9" spans="2:39" s="1" customFormat="1" ht="12.75" customHeight="1">
      <c r="B9" s="2"/>
      <c r="C9" s="221"/>
      <c r="D9" s="5"/>
      <c r="E9" s="12"/>
    </row>
    <row r="10" spans="2:39" s="1" customFormat="1" ht="12.75" customHeight="1">
      <c r="B10" s="2"/>
      <c r="C10" s="221"/>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99999999999999" customHeight="1">
      <c r="E25" s="39"/>
    </row>
    <row r="27" spans="2:39">
      <c r="E27" s="132" t="s">
        <v>186</v>
      </c>
    </row>
    <row r="34" spans="6:6">
      <c r="F34" s="70"/>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F8" sqref="F8"/>
    </sheetView>
  </sheetViews>
  <sheetFormatPr baseColWidth="10" defaultRowHeight="12.5"/>
  <cols>
    <col min="1" max="1" width="0.453125" customWidth="1"/>
    <col min="2" max="2" width="2.54296875" customWidth="1"/>
    <col min="3" max="3" width="23.54296875" customWidth="1"/>
    <col min="4" max="4" width="1.453125" customWidth="1"/>
    <col min="5" max="5" width="50.54296875" customWidth="1"/>
    <col min="6" max="6" width="18.54296875" style="7" customWidth="1"/>
    <col min="7" max="7" width="18.54296875" customWidth="1"/>
    <col min="8" max="9" width="9.453125" customWidth="1"/>
    <col min="11" max="11" width="26.54296875" bestFit="1" customWidth="1"/>
    <col min="12" max="12" width="12.453125" bestFit="1" customWidth="1"/>
    <col min="13" max="13" width="35.453125" bestFit="1" customWidth="1"/>
    <col min="14" max="14" width="20.453125" bestFit="1" customWidth="1"/>
    <col min="15" max="15" width="28.453125" bestFit="1" customWidth="1"/>
    <col min="16" max="16" width="12.453125" bestFit="1" customWidth="1"/>
    <col min="17" max="17" width="35.453125" bestFit="1" customWidth="1"/>
    <col min="18" max="18" width="20.453125" bestFit="1" customWidth="1"/>
  </cols>
  <sheetData>
    <row r="1" spans="2:11" ht="0.65" customHeight="1">
      <c r="F1"/>
    </row>
    <row r="2" spans="2:11" ht="21" customHeight="1">
      <c r="E2" s="222" t="s">
        <v>31</v>
      </c>
      <c r="F2" s="222"/>
      <c r="G2" s="222"/>
      <c r="H2" s="10"/>
      <c r="I2" s="10"/>
    </row>
    <row r="3" spans="2:11" ht="15" customHeight="1">
      <c r="E3" s="223" t="str">
        <f>Indice!E3</f>
        <v>Febrero 2026</v>
      </c>
      <c r="F3" s="223"/>
      <c r="G3" s="223"/>
      <c r="H3" s="11"/>
      <c r="I3" s="11"/>
    </row>
    <row r="4" spans="2:11" s="1" customFormat="1" ht="20.149999999999999" customHeight="1">
      <c r="C4" s="19" t="s">
        <v>30</v>
      </c>
    </row>
    <row r="5" spans="2:11" s="1" customFormat="1" ht="12.65" customHeight="1">
      <c r="B5" s="2"/>
      <c r="C5" s="3"/>
    </row>
    <row r="6" spans="2:11" s="1" customFormat="1" ht="13.4" customHeight="1">
      <c r="B6" s="2"/>
      <c r="C6" s="4"/>
      <c r="D6" s="5"/>
      <c r="E6" s="5"/>
      <c r="F6" s="73"/>
    </row>
    <row r="7" spans="2:11" s="57" customFormat="1" ht="15" customHeight="1">
      <c r="B7" s="54"/>
      <c r="C7" s="221" t="s">
        <v>63</v>
      </c>
      <c r="D7" s="55"/>
      <c r="E7" s="56"/>
      <c r="F7" s="72"/>
      <c r="G7" s="72"/>
      <c r="I7" s="130"/>
    </row>
    <row r="8" spans="2:11" s="57" customFormat="1" ht="15" customHeight="1">
      <c r="B8" s="54"/>
      <c r="C8" s="221"/>
      <c r="D8" s="55"/>
      <c r="E8" s="58"/>
      <c r="F8" s="59" t="str">
        <f>Dat_01!G97</f>
        <v>2025 Febrero</v>
      </c>
      <c r="G8" s="59" t="str">
        <f>Dat_01!C97</f>
        <v>2026 Febrero</v>
      </c>
      <c r="I8" s="130"/>
    </row>
    <row r="9" spans="2:11" s="1" customFormat="1" ht="15" customHeight="1">
      <c r="B9" s="2"/>
      <c r="C9" s="47"/>
      <c r="D9" s="5"/>
      <c r="E9" s="134" t="s">
        <v>150</v>
      </c>
      <c r="F9" s="135">
        <f>Dat_01!G98/1000000</f>
        <v>78.31865941833999</v>
      </c>
      <c r="G9" s="135">
        <f>Dat_01!C98/1000000</f>
        <v>427.46958793350007</v>
      </c>
      <c r="H9" s="57"/>
      <c r="I9" s="130"/>
      <c r="J9" s="57"/>
      <c r="K9" s="57"/>
    </row>
    <row r="10" spans="2:11" s="1" customFormat="1" ht="15" customHeight="1">
      <c r="B10" s="2"/>
      <c r="C10" s="221"/>
      <c r="D10" s="5"/>
      <c r="E10" s="134" t="s">
        <v>151</v>
      </c>
      <c r="F10" s="135">
        <f>Dat_01!G99/1000000</f>
        <v>136.23983014296002</v>
      </c>
      <c r="G10" s="135">
        <f>Dat_01!C99/1000000</f>
        <v>28.110245011500002</v>
      </c>
      <c r="H10" s="57"/>
      <c r="I10" s="130"/>
      <c r="J10" s="57"/>
      <c r="K10" s="57"/>
    </row>
    <row r="11" spans="2:11" s="1" customFormat="1" ht="15" customHeight="1">
      <c r="B11" s="2"/>
      <c r="C11" s="221"/>
      <c r="D11" s="5"/>
      <c r="E11" s="52" t="s">
        <v>40</v>
      </c>
      <c r="F11" s="136">
        <f>SUM(F9:F10)</f>
        <v>214.55848956130001</v>
      </c>
      <c r="G11" s="136">
        <f>SUM(G9:G10)</f>
        <v>455.57983294500008</v>
      </c>
      <c r="H11" s="57"/>
      <c r="I11" s="130"/>
      <c r="J11" s="57"/>
      <c r="K11" s="57"/>
    </row>
    <row r="12" spans="2:11" s="1" customFormat="1" ht="15" customHeight="1">
      <c r="B12" s="2"/>
      <c r="C12" s="221"/>
      <c r="D12" s="5"/>
      <c r="E12" s="52" t="s">
        <v>21</v>
      </c>
      <c r="F12" s="136">
        <f>Dat_01!G101/1000000</f>
        <v>89.09469118106</v>
      </c>
      <c r="G12" s="136">
        <f>Dat_01!C101/1000000</f>
        <v>58.93458264480001</v>
      </c>
      <c r="H12" s="57"/>
      <c r="I12" s="130"/>
      <c r="J12" s="57"/>
      <c r="K12" s="57"/>
    </row>
    <row r="13" spans="2:11" s="1" customFormat="1" ht="15" customHeight="1">
      <c r="B13" s="2"/>
      <c r="C13" s="4"/>
      <c r="D13" s="5"/>
      <c r="E13" s="52" t="s">
        <v>15</v>
      </c>
      <c r="F13" s="136">
        <f>IF(Dat_01!G102="-",0,Dat_01!G102/1000000)</f>
        <v>8.6593112379000008</v>
      </c>
      <c r="G13" s="136">
        <f>Dat_01!C102/1000000</f>
        <v>8.5300053828000006</v>
      </c>
      <c r="H13" s="57"/>
      <c r="I13" s="130"/>
      <c r="J13" s="57"/>
      <c r="K13" s="57"/>
    </row>
    <row r="14" spans="2:11" s="1" customFormat="1" ht="15" customHeight="1">
      <c r="B14" s="2"/>
      <c r="C14" s="4"/>
      <c r="D14" s="5"/>
      <c r="E14" s="52" t="s">
        <v>134</v>
      </c>
      <c r="F14" s="136">
        <f>(SUM(Dat_01!G103:G105)+IF(Dat_01!G106="-",0,Dat_01!G106))/1000000</f>
        <v>-6.3501615744599977</v>
      </c>
      <c r="G14" s="136">
        <f>(SUM(Dat_01!C103:C105)+IF(Dat_01!C106="-",0,Dat_01!C106))/1000000</f>
        <v>-48.911826320009993</v>
      </c>
      <c r="H14" s="57"/>
      <c r="I14" s="130"/>
      <c r="J14" s="57"/>
      <c r="K14" s="57"/>
    </row>
    <row r="15" spans="2:11" s="1" customFormat="1" ht="15" customHeight="1">
      <c r="B15" s="2"/>
      <c r="C15" s="4"/>
      <c r="D15" s="5"/>
      <c r="E15" s="52" t="s">
        <v>41</v>
      </c>
      <c r="F15" s="137">
        <f>IF(Dat_01!G107="-","-",Dat_01!G107/1000000)</f>
        <v>-1.7318622475800001</v>
      </c>
      <c r="G15" s="137">
        <f>IF(Dat_01!C107="-","-",Dat_01!C107/1000000)</f>
        <v>-0.1938637587</v>
      </c>
      <c r="H15" s="57"/>
      <c r="I15" s="130"/>
      <c r="J15" s="57"/>
      <c r="K15" s="57"/>
    </row>
    <row r="16" spans="2:11" s="1" customFormat="1" ht="15" customHeight="1">
      <c r="B16" s="2"/>
      <c r="C16" s="4"/>
      <c r="D16" s="5"/>
      <c r="E16" s="53" t="s">
        <v>135</v>
      </c>
      <c r="F16" s="138">
        <f>SUM(F11:F15)</f>
        <v>304.23046815821999</v>
      </c>
      <c r="G16" s="138">
        <f>SUM(G11:G15)</f>
        <v>473.93873089389018</v>
      </c>
      <c r="I16" s="94"/>
    </row>
    <row r="17" spans="2:10" s="1" customFormat="1" ht="15" customHeight="1">
      <c r="B17" s="2"/>
      <c r="C17" s="4"/>
      <c r="D17" s="4"/>
      <c r="E17" s="60" t="str">
        <f>"∆"&amp;MID(G8,1,4)&amp;"/"&amp;MID(F8,1,4)</f>
        <v>∆2026/2025</v>
      </c>
      <c r="F17" s="129"/>
      <c r="G17" s="61">
        <f>(G16-F16)/F16</f>
        <v>0.55782796431621917</v>
      </c>
      <c r="I17" s="4"/>
      <c r="J17" s="4"/>
    </row>
    <row r="18" spans="2:10" s="1" customFormat="1" ht="12.75" customHeight="1">
      <c r="B18" s="2"/>
      <c r="C18" s="4"/>
      <c r="D18" s="5"/>
      <c r="H18" s="51"/>
      <c r="I18" s="51"/>
    </row>
    <row r="19" spans="2:10" s="1" customFormat="1" ht="12.75" customHeight="1">
      <c r="B19" s="2"/>
      <c r="C19" s="4"/>
      <c r="D19" s="4"/>
      <c r="E19" s="224" t="s">
        <v>202</v>
      </c>
      <c r="F19" s="224"/>
      <c r="G19" s="224"/>
    </row>
    <row r="20" spans="2:10" s="1" customFormat="1" ht="12.75" customHeight="1">
      <c r="B20" s="2"/>
      <c r="C20" s="4"/>
      <c r="D20" s="4"/>
      <c r="E20" s="224"/>
      <c r="F20" s="224"/>
      <c r="G20" s="224"/>
    </row>
    <row r="24" spans="2:10" ht="16.399999999999999"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2" zoomScaleNormal="100" workbookViewId="0">
      <selection activeCell="E31" sqref="E31"/>
    </sheetView>
  </sheetViews>
  <sheetFormatPr baseColWidth="10" defaultRowHeight="12.5"/>
  <cols>
    <col min="1" max="1" width="0.453125" customWidth="1"/>
    <col min="2" max="2" width="2.54296875" customWidth="1"/>
    <col min="3" max="3" width="23.54296875" customWidth="1"/>
    <col min="4" max="4" width="1.453125" customWidth="1"/>
    <col min="5" max="5" width="105.54296875" customWidth="1"/>
    <col min="6" max="6" width="11.453125" style="7" customWidth="1"/>
    <col min="7" max="7" width="28.453125" customWidth="1"/>
    <col min="8" max="9" width="9.453125" customWidth="1"/>
  </cols>
  <sheetData>
    <row r="1" spans="2:9" ht="0.65" customHeight="1">
      <c r="F1"/>
    </row>
    <row r="2" spans="2:9" ht="21" customHeight="1">
      <c r="E2" s="17" t="s">
        <v>31</v>
      </c>
      <c r="F2" s="10"/>
      <c r="G2" s="10"/>
      <c r="H2" s="10"/>
      <c r="I2" s="10"/>
    </row>
    <row r="3" spans="2:9" ht="15" customHeight="1">
      <c r="E3" s="18" t="str">
        <f>Indice!E3</f>
        <v>Febrero 2026</v>
      </c>
      <c r="F3" s="11"/>
      <c r="G3" s="11"/>
      <c r="H3" s="11"/>
      <c r="I3" s="11"/>
    </row>
    <row r="4" spans="2:9" s="1" customFormat="1" ht="20.149999999999999" customHeight="1">
      <c r="C4" s="19" t="s">
        <v>30</v>
      </c>
    </row>
    <row r="5" spans="2:9" s="1" customFormat="1" ht="12.65" customHeight="1">
      <c r="B5" s="2"/>
      <c r="C5" s="3"/>
    </row>
    <row r="6" spans="2:9" s="1" customFormat="1" ht="13.4" customHeight="1">
      <c r="B6" s="2"/>
      <c r="C6" s="4"/>
      <c r="D6" s="5"/>
      <c r="E6" s="5"/>
    </row>
    <row r="7" spans="2:9" s="1" customFormat="1" ht="12.75" customHeight="1">
      <c r="B7" s="2"/>
      <c r="C7" s="221" t="s">
        <v>168</v>
      </c>
      <c r="D7" s="5"/>
      <c r="E7" s="12"/>
    </row>
    <row r="8" spans="2:9" s="1" customFormat="1" ht="12.75" customHeight="1">
      <c r="B8" s="2"/>
      <c r="C8" s="221"/>
      <c r="D8" s="5"/>
      <c r="E8" s="12"/>
    </row>
    <row r="9" spans="2:9" s="1" customFormat="1" ht="12.75" customHeight="1">
      <c r="B9" s="2"/>
      <c r="C9" s="221"/>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99999999999999"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2026-03-17T09:34:05Z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