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drawings/drawing15.xml" ContentType="application/vnd.openxmlformats-officedocument.drawingml.chartshapes+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8.xml" ContentType="application/vnd.openxmlformats-officedocument.drawingml.chartshapes+xml"/>
  <Override PartName="/xl/charts/chart10.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1.xml" ContentType="application/vnd.openxmlformats-officedocument.drawingml.chartshapes+xml"/>
  <Override PartName="/xl/charts/chart12.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4.xml" ContentType="application/vnd.openxmlformats-officedocument.drawingml.chartshapes+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7.xml" ContentType="application/vnd.openxmlformats-officedocument.drawingml.chartshapes+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0.xml" ContentType="application/vnd.openxmlformats-officedocument.drawingml.chartshapes+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3.xml" ContentType="application/vnd.openxmlformats-officedocument.drawingml.chartshapes+xml"/>
  <Override PartName="/xl/charts/chart20.xml" ContentType="application/vnd.openxmlformats-officedocument.drawingml.chart+xml"/>
  <Override PartName="/xl/drawings/drawing34.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always" codeName="ThisWorkbook"/>
  <mc:AlternateContent xmlns:mc="http://schemas.openxmlformats.org/markup-compatibility/2006">
    <mc:Choice Requires="x15">
      <x15ac:absPath xmlns:x15ac="http://schemas.microsoft.com/office/spreadsheetml/2010/11/ac" url="Z:\Departamento\Gestión de la Información\Publicaciones e Informes\Mensual\Boletín&amp;Consejo\BOLETIN ELECTRONICO\2026\ENE\INF_ELABORADA\"/>
    </mc:Choice>
  </mc:AlternateContent>
  <xr:revisionPtr revIDLastSave="0" documentId="13_ncr:1_{58CD5B5C-21BF-4037-A0CA-2AFFFD9EEF7A}" xr6:coauthVersionLast="47" xr6:coauthVersionMax="47" xr10:uidLastSave="{00000000-0000-0000-0000-000000000000}"/>
  <bookViews>
    <workbookView xWindow="-120" yWindow="-120" windowWidth="29040" windowHeight="15720" tabRatio="847" firstSheet="1" activeTab="1" xr2:uid="{5759C3D2-C91E-426B-9199-6DCD323BBCB5}"/>
  </bookViews>
  <sheets>
    <sheet name="Mozart Reports" sheetId="95" state="veryHidden" r:id="rId1"/>
    <sheet name="Indice" sheetId="92" r:id="rId2"/>
    <sheet name="M1" sheetId="70" r:id="rId3"/>
    <sheet name="M2" sheetId="71" r:id="rId4"/>
    <sheet name="M3" sheetId="3" r:id="rId5"/>
    <sheet name="M4" sheetId="53" r:id="rId6"/>
    <sheet name="M5" sheetId="10" r:id="rId7"/>
    <sheet name="M6" sheetId="76" r:id="rId8"/>
    <sheet name="M7" sheetId="75" r:id="rId9"/>
    <sheet name="M8" sheetId="58" r:id="rId10"/>
    <sheet name="M9" sheetId="77" r:id="rId11"/>
    <sheet name="M10" sheetId="83" r:id="rId12"/>
    <sheet name="M11" sheetId="85" r:id="rId13"/>
    <sheet name="M12" sheetId="86" r:id="rId14"/>
    <sheet name="M13" sheetId="84" r:id="rId15"/>
    <sheet name="M14" sheetId="87" r:id="rId16"/>
    <sheet name="Dat_01" sheetId="96" r:id="rId17"/>
  </sheets>
  <definedNames>
    <definedName name="asd">#REF!</definedName>
    <definedName name="BALANCE3">#REF!</definedName>
    <definedName name="CUADRO_ANTERIOR">[0]!CUADRO_ANTERIOR</definedName>
    <definedName name="cuadro_anterior_jcol">[0]!CUADRO_ANTERIOR</definedName>
    <definedName name="CUADRO_PROXIMO">[0]!CUADRO_PROXIMO</definedName>
    <definedName name="cuadro_proximo_jcol">[0]!CUADRO_PROXIMO</definedName>
    <definedName name="de">#REF!</definedName>
    <definedName name="deem">#REF!</definedName>
    <definedName name="Demanda">#REF!</definedName>
    <definedName name="dif">#REF!</definedName>
    <definedName name="Fecha">#REF!</definedName>
    <definedName name="FINALIZAR">[0]!FINALIZAR</definedName>
    <definedName name="finalizar_jcol">[0]!FINALIZAR</definedName>
    <definedName name="fl">[0]!CUADRO_PROXIMO</definedName>
    <definedName name="hola">[0]!FINALIZAR</definedName>
    <definedName name="Horas">#REF!</definedName>
    <definedName name="IMPRESION">[0]!IMPRESION</definedName>
    <definedName name="impresion_jcol">[0]!IMPRESION</definedName>
    <definedName name="Índice">[0]!INDICE</definedName>
    <definedName name="indice_jcol">[0]!INDICE</definedName>
    <definedName name="INES_melilla">#REF!</definedName>
    <definedName name="jkhjklhjkhjkl">[0]!PRINCIPAL</definedName>
    <definedName name="lionel">[0]!CUADRO_PROXIMO</definedName>
    <definedName name="M1_Fechas">OFFSET(Dat_01!$A$8,0,0,COUNT(Dat_01!$B$8:$B$38),1)</definedName>
    <definedName name="M1_Max">OFFSET(Dat_01!$C$8,0,0,COUNT(Dat_01!$B$8:$B$38),1)</definedName>
    <definedName name="M1_Min">OFFSET(Dat_01!$B$8,0,0,COUNT(Dat_01!$B$8:$B$38),1)</definedName>
    <definedName name="M1_Pro">OFFSET(Dat_01!$D$8,0,0,COUNT(Dat_01!$B$8:$B$38),1)</definedName>
    <definedName name="mio">#REF!</definedName>
    <definedName name="MM">#REF!</definedName>
    <definedName name="MMM">#REF!</definedName>
    <definedName name="MSTR.1046078A4CF38ECA518880B55263B1D6">#REF!</definedName>
    <definedName name="MSTR.1046078A4CF38ECA518880B55263B1D6.1">#REF!</definedName>
    <definedName name="MSTR.1046078A4CF38ECA518880B55263B1D6.10">#REF!</definedName>
    <definedName name="MSTR.1046078A4CF38ECA518880B55263B1D6.11">#REF!</definedName>
    <definedName name="MSTR.1046078A4CF38ECA518880B55263B1D6.12">#REF!</definedName>
    <definedName name="MSTR.1046078A4CF38ECA518880B55263B1D6.13">#REF!</definedName>
    <definedName name="MSTR.1046078A4CF38ECA518880B55263B1D6.14">#REF!</definedName>
    <definedName name="MSTR.1046078A4CF38ECA518880B55263B1D6.15">#REF!</definedName>
    <definedName name="MSTR.1046078A4CF38ECA518880B55263B1D6.16">#REF!</definedName>
    <definedName name="MSTR.1046078A4CF38ECA518880B55263B1D6.17">#REF!</definedName>
    <definedName name="MSTR.1046078A4CF38ECA518880B55263B1D6.18">#REF!</definedName>
    <definedName name="MSTR.1046078A4CF38ECA518880B55263B1D6.2">#REF!</definedName>
    <definedName name="MSTR.1046078A4CF38ECA518880B55263B1D6.3">#REF!</definedName>
    <definedName name="MSTR.1046078A4CF38ECA518880B55263B1D6.4">#REF!</definedName>
    <definedName name="MSTR.1046078A4CF38ECA518880B55263B1D6.5">#REF!</definedName>
    <definedName name="MSTR.1046078A4CF38ECA518880B55263B1D6.6">#REF!</definedName>
    <definedName name="MSTR.1046078A4CF38ECA518880B55263B1D6.7">#REF!</definedName>
    <definedName name="MSTR.1046078A4CF38ECA518880B55263B1D6.8">#REF!</definedName>
    <definedName name="MSTR.1046078A4CF38ECA518880B55263B1D6.9">#REF!</definedName>
    <definedName name="MSTR.1609E10940836077440B01BE364D7C30">#REF!</definedName>
    <definedName name="MSTR.1609E10940836077440B01BE364D7C30.1">#REF!</definedName>
    <definedName name="MSTR.1609E10940836077440B01BE364D7C30.10">#REF!</definedName>
    <definedName name="MSTR.1609E10940836077440B01BE364D7C30.11">#REF!</definedName>
    <definedName name="MSTR.1609E10940836077440B01BE364D7C30.12">#REF!</definedName>
    <definedName name="MSTR.1609E10940836077440B01BE364D7C30.13">#REF!</definedName>
    <definedName name="MSTR.1609E10940836077440B01BE364D7C30.14">#REF!</definedName>
    <definedName name="MSTR.1609E10940836077440B01BE364D7C30.15">#REF!</definedName>
    <definedName name="MSTR.1609E10940836077440B01BE364D7C30.16">#REF!</definedName>
    <definedName name="MSTR.1609E10940836077440B01BE364D7C30.17">#REF!</definedName>
    <definedName name="MSTR.1609E10940836077440B01BE364D7C30.18">#REF!</definedName>
    <definedName name="MSTR.1609E10940836077440B01BE364D7C30.19">#REF!</definedName>
    <definedName name="MSTR.1609E10940836077440B01BE364D7C30.2">#REF!</definedName>
    <definedName name="MSTR.1609E10940836077440B01BE364D7C30.20">#REF!</definedName>
    <definedName name="MSTR.1609E10940836077440B01BE364D7C30.21">#REF!</definedName>
    <definedName name="MSTR.1609E10940836077440B01BE364D7C30.22">#REF!</definedName>
    <definedName name="MSTR.1609E10940836077440B01BE364D7C30.23">#REF!</definedName>
    <definedName name="MSTR.1609E10940836077440B01BE364D7C30.24">#REF!</definedName>
    <definedName name="MSTR.1609E10940836077440B01BE364D7C30.25">#REF!</definedName>
    <definedName name="MSTR.1609E10940836077440B01BE364D7C30.26">#REF!</definedName>
    <definedName name="MSTR.1609E10940836077440B01BE364D7C30.27">#REF!</definedName>
    <definedName name="MSTR.1609E10940836077440B01BE364D7C30.28">#REF!</definedName>
    <definedName name="MSTR.1609E10940836077440B01BE364D7C30.29">#REF!</definedName>
    <definedName name="MSTR.1609E10940836077440B01BE364D7C30.3">#REF!</definedName>
    <definedName name="MSTR.1609E10940836077440B01BE364D7C30.30">#REF!</definedName>
    <definedName name="MSTR.1609E10940836077440B01BE364D7C30.31">#REF!</definedName>
    <definedName name="MSTR.1609E10940836077440B01BE364D7C30.32">#REF!</definedName>
    <definedName name="MSTR.1609E10940836077440B01BE364D7C30.33">#REF!</definedName>
    <definedName name="MSTR.1609E10940836077440B01BE364D7C30.34">#REF!</definedName>
    <definedName name="MSTR.1609E10940836077440B01BE364D7C30.35">#REF!</definedName>
    <definedName name="MSTR.1609E10940836077440B01BE364D7C30.36">#REF!</definedName>
    <definedName name="MSTR.1609E10940836077440B01BE364D7C30.37">#REF!</definedName>
    <definedName name="MSTR.1609E10940836077440B01BE364D7C30.38">#REF!</definedName>
    <definedName name="MSTR.1609E10940836077440B01BE364D7C30.39">#REF!</definedName>
    <definedName name="MSTR.1609E10940836077440B01BE364D7C30.4">#REF!</definedName>
    <definedName name="MSTR.1609E10940836077440B01BE364D7C30.40">#REF!</definedName>
    <definedName name="MSTR.1609E10940836077440B01BE364D7C30.41">#REF!</definedName>
    <definedName name="MSTR.1609E10940836077440B01BE364D7C30.42">#REF!</definedName>
    <definedName name="MSTR.1609E10940836077440B01BE364D7C30.43">#REF!</definedName>
    <definedName name="MSTR.1609E10940836077440B01BE364D7C30.5">#REF!</definedName>
    <definedName name="MSTR.1609E10940836077440B01BE364D7C30.6">#REF!</definedName>
    <definedName name="MSTR.1609E10940836077440B01BE364D7C30.7">#REF!</definedName>
    <definedName name="MSTR.1609E10940836077440B01BE364D7C30.8">#REF!</definedName>
    <definedName name="MSTR.1609E10940836077440B01BE364D7C30.9">#REF!</definedName>
    <definedName name="MSTR.162524EA11E544CB00000080EF65CE84">#REF!</definedName>
    <definedName name="MSTR.162524EA11E544CB00000080EF65CE84.1">#REF!</definedName>
    <definedName name="MSTR.162524EA11E544CB00000080EF65CE84.10">#REF!</definedName>
    <definedName name="MSTR.162524EA11E544CB00000080EF65CE84.11">#REF!</definedName>
    <definedName name="MSTR.162524EA11E544CB00000080EF65CE84.12">#REF!</definedName>
    <definedName name="MSTR.162524EA11E544CB00000080EF65CE84.13">#REF!</definedName>
    <definedName name="MSTR.162524EA11E544CB00000080EF65CE84.14">#REF!</definedName>
    <definedName name="MSTR.162524EA11E544CB00000080EF65CE84.15">#REF!</definedName>
    <definedName name="MSTR.162524EA11E544CB00000080EF65CE84.16">#REF!</definedName>
    <definedName name="MSTR.162524EA11E544CB00000080EF65CE84.17">#REF!</definedName>
    <definedName name="MSTR.162524EA11E544CB00000080EF65CE84.18">#REF!</definedName>
    <definedName name="MSTR.162524EA11E544CB00000080EF65CE84.19">#REF!</definedName>
    <definedName name="MSTR.162524EA11E544CB00000080EF65CE84.2">#REF!</definedName>
    <definedName name="MSTR.162524EA11E544CB00000080EF65CE84.20">#REF!</definedName>
    <definedName name="MSTR.162524EA11E544CB00000080EF65CE84.21">#REF!</definedName>
    <definedName name="MSTR.162524EA11E544CB00000080EF65CE84.22">#REF!</definedName>
    <definedName name="MSTR.162524EA11E544CB00000080EF65CE84.23">#REF!</definedName>
    <definedName name="MSTR.162524EA11E544CB00000080EF65CE84.24">#REF!</definedName>
    <definedName name="MSTR.162524EA11E544CB00000080EF65CE84.3">#REF!</definedName>
    <definedName name="MSTR.162524EA11E544CB00000080EF65CE84.4">#REF!</definedName>
    <definedName name="MSTR.162524EA11E544CB00000080EF65CE84.5">#REF!</definedName>
    <definedName name="MSTR.162524EA11E544CB00000080EF65CE84.6">#REF!</definedName>
    <definedName name="MSTR.162524EA11E544CB00000080EF65CE84.7">#REF!</definedName>
    <definedName name="MSTR.162524EA11E544CB00000080EF65CE84.8">#REF!</definedName>
    <definedName name="MSTR.162524EA11E544CB00000080EF65CE84.9">#REF!</definedName>
    <definedName name="MSTR.18A53A9C4AB31C3CA6B8999A6BA2CCCB">#REF!</definedName>
    <definedName name="MSTR.18A53A9C4AB31C3CA6B8999A6BA2CCCB.1">#REF!</definedName>
    <definedName name="MSTR.18A53A9C4AB31C3CA6B8999A6BA2CCCB.10">#REF!</definedName>
    <definedName name="MSTR.18A53A9C4AB31C3CA6B8999A6BA2CCCB.11">#REF!</definedName>
    <definedName name="MSTR.18A53A9C4AB31C3CA6B8999A6BA2CCCB.12">#REF!</definedName>
    <definedName name="MSTR.18A53A9C4AB31C3CA6B8999A6BA2CCCB.13">#REF!</definedName>
    <definedName name="MSTR.18A53A9C4AB31C3CA6B8999A6BA2CCCB.14">#REF!</definedName>
    <definedName name="MSTR.18A53A9C4AB31C3CA6B8999A6BA2CCCB.15">#REF!</definedName>
    <definedName name="MSTR.18A53A9C4AB31C3CA6B8999A6BA2CCCB.16">#REF!</definedName>
    <definedName name="MSTR.18A53A9C4AB31C3CA6B8999A6BA2CCCB.17">#REF!</definedName>
    <definedName name="MSTR.18A53A9C4AB31C3CA6B8999A6BA2CCCB.18">#REF!</definedName>
    <definedName name="MSTR.18A53A9C4AB31C3CA6B8999A6BA2CCCB.19">#REF!</definedName>
    <definedName name="MSTR.18A53A9C4AB31C3CA6B8999A6BA2CCCB.2">#REF!</definedName>
    <definedName name="MSTR.18A53A9C4AB31C3CA6B8999A6BA2CCCB.20">#REF!</definedName>
    <definedName name="MSTR.18A53A9C4AB31C3CA6B8999A6BA2CCCB.21">#REF!</definedName>
    <definedName name="MSTR.18A53A9C4AB31C3CA6B8999A6BA2CCCB.22">#REF!</definedName>
    <definedName name="MSTR.18A53A9C4AB31C3CA6B8999A6BA2CCCB.23">#REF!</definedName>
    <definedName name="MSTR.18A53A9C4AB31C3CA6B8999A6BA2CCCB.24">#REF!</definedName>
    <definedName name="MSTR.18A53A9C4AB31C3CA6B8999A6BA2CCCB.25">#REF!</definedName>
    <definedName name="MSTR.18A53A9C4AB31C3CA6B8999A6BA2CCCB.26">#REF!</definedName>
    <definedName name="MSTR.18A53A9C4AB31C3CA6B8999A6BA2CCCB.27">#REF!</definedName>
    <definedName name="MSTR.18A53A9C4AB31C3CA6B8999A6BA2CCCB.28">#REF!</definedName>
    <definedName name="MSTR.18A53A9C4AB31C3CA6B8999A6BA2CCCB.29">#REF!</definedName>
    <definedName name="MSTR.18A53A9C4AB31C3CA6B8999A6BA2CCCB.3">#REF!</definedName>
    <definedName name="MSTR.18A53A9C4AB31C3CA6B8999A6BA2CCCB.30">#REF!</definedName>
    <definedName name="MSTR.18A53A9C4AB31C3CA6B8999A6BA2CCCB.31">#REF!</definedName>
    <definedName name="MSTR.18A53A9C4AB31C3CA6B8999A6BA2CCCB.32">#REF!</definedName>
    <definedName name="MSTR.18A53A9C4AB31C3CA6B8999A6BA2CCCB.33">#REF!</definedName>
    <definedName name="MSTR.18A53A9C4AB31C3CA6B8999A6BA2CCCB.34">#REF!</definedName>
    <definedName name="MSTR.18A53A9C4AB31C3CA6B8999A6BA2CCCB.35">#REF!</definedName>
    <definedName name="MSTR.18A53A9C4AB31C3CA6B8999A6BA2CCCB.36">#REF!</definedName>
    <definedName name="MSTR.18A53A9C4AB31C3CA6B8999A6BA2CCCB.37">#REF!</definedName>
    <definedName name="MSTR.18A53A9C4AB31C3CA6B8999A6BA2CCCB.38">#REF!</definedName>
    <definedName name="MSTR.18A53A9C4AB31C3CA6B8999A6BA2CCCB.39">#REF!</definedName>
    <definedName name="MSTR.18A53A9C4AB31C3CA6B8999A6BA2CCCB.4">#REF!</definedName>
    <definedName name="MSTR.18A53A9C4AB31C3CA6B8999A6BA2CCCB.40">#REF!</definedName>
    <definedName name="MSTR.18A53A9C4AB31C3CA6B8999A6BA2CCCB.41">#REF!</definedName>
    <definedName name="MSTR.18A53A9C4AB31C3CA6B8999A6BA2CCCB.42">#REF!</definedName>
    <definedName name="MSTR.18A53A9C4AB31C3CA6B8999A6BA2CCCB.43">#REF!</definedName>
    <definedName name="MSTR.18A53A9C4AB31C3CA6B8999A6BA2CCCB.44">#REF!</definedName>
    <definedName name="MSTR.18A53A9C4AB31C3CA6B8999A6BA2CCCB.45">#REF!</definedName>
    <definedName name="MSTR.18A53A9C4AB31C3CA6B8999A6BA2CCCB.46">#REF!</definedName>
    <definedName name="MSTR.18A53A9C4AB31C3CA6B8999A6BA2CCCB.47">#REF!</definedName>
    <definedName name="MSTR.18A53A9C4AB31C3CA6B8999A6BA2CCCB.48">#REF!</definedName>
    <definedName name="MSTR.18A53A9C4AB31C3CA6B8999A6BA2CCCB.49">#REF!</definedName>
    <definedName name="MSTR.18A53A9C4AB31C3CA6B8999A6BA2CCCB.5">#REF!</definedName>
    <definedName name="MSTR.18A53A9C4AB31C3CA6B8999A6BA2CCCB.50">#REF!</definedName>
    <definedName name="MSTR.18A53A9C4AB31C3CA6B8999A6BA2CCCB.51">#REF!</definedName>
    <definedName name="MSTR.18A53A9C4AB31C3CA6B8999A6BA2CCCB.52">#REF!</definedName>
    <definedName name="MSTR.18A53A9C4AB31C3CA6B8999A6BA2CCCB.53">#REF!</definedName>
    <definedName name="MSTR.18A53A9C4AB31C3CA6B8999A6BA2CCCB.54">#REF!</definedName>
    <definedName name="MSTR.18A53A9C4AB31C3CA6B8999A6BA2CCCB.55">#REF!</definedName>
    <definedName name="MSTR.18A53A9C4AB31C3CA6B8999A6BA2CCCB.56">#REF!</definedName>
    <definedName name="MSTR.18A53A9C4AB31C3CA6B8999A6BA2CCCB.57">#REF!</definedName>
    <definedName name="MSTR.18A53A9C4AB31C3CA6B8999A6BA2CCCB.58">#REF!</definedName>
    <definedName name="MSTR.18A53A9C4AB31C3CA6B8999A6BA2CCCB.59">#REF!</definedName>
    <definedName name="MSTR.18A53A9C4AB31C3CA6B8999A6BA2CCCB.6">#REF!</definedName>
    <definedName name="MSTR.18A53A9C4AB31C3CA6B8999A6BA2CCCB.60">#REF!</definedName>
    <definedName name="MSTR.18A53A9C4AB31C3CA6B8999A6BA2CCCB.61">#REF!</definedName>
    <definedName name="MSTR.18A53A9C4AB31C3CA6B8999A6BA2CCCB.62">#REF!</definedName>
    <definedName name="MSTR.18A53A9C4AB31C3CA6B8999A6BA2CCCB.63">#REF!</definedName>
    <definedName name="MSTR.18A53A9C4AB31C3CA6B8999A6BA2CCCB.7">#REF!</definedName>
    <definedName name="MSTR.18A53A9C4AB31C3CA6B8999A6BA2CCCB.8">#REF!</definedName>
    <definedName name="MSTR.18A53A9C4AB31C3CA6B8999A6BA2CCCB.9">#REF!</definedName>
    <definedName name="MSTR.1C44A06811E53FED00000080EF4503B0">#REF!</definedName>
    <definedName name="MSTR.1C44A06811E53FED00000080EF4503B0.1">#REF!</definedName>
    <definedName name="MSTR.1C44A06811E53FED00000080EF4503B0.10">#REF!</definedName>
    <definedName name="MSTR.1C44A06811E53FED00000080EF4503B0.11">#REF!</definedName>
    <definedName name="MSTR.1C44A06811E53FED00000080EF4503B0.12">#REF!</definedName>
    <definedName name="MSTR.1C44A06811E53FED00000080EF4503B0.13">#REF!</definedName>
    <definedName name="MSTR.1C44A06811E53FED00000080EF4503B0.2">#REF!</definedName>
    <definedName name="MSTR.1C44A06811E53FED00000080EF4503B0.3">#REF!</definedName>
    <definedName name="MSTR.1C44A06811E53FED00000080EF4503B0.4">#REF!</definedName>
    <definedName name="MSTR.1C44A06811E53FED00000080EF4503B0.5">#REF!</definedName>
    <definedName name="MSTR.1C44A06811E53FED00000080EF4503B0.6">#REF!</definedName>
    <definedName name="MSTR.1C44A06811E53FED00000080EF4503B0.7">#REF!</definedName>
    <definedName name="MSTR.1C44A06811E53FED00000080EF4503B0.8">#REF!</definedName>
    <definedName name="MSTR.1C44A06811E53FED00000080EF4503B0.9">#REF!</definedName>
    <definedName name="MSTR.1F16545811E712C800000080EF25E636">#REF!</definedName>
    <definedName name="MSTR.1F16545811E712C800000080EF25E636.1">#REF!</definedName>
    <definedName name="MSTR.3481B37A11E805B912F40080EFD574EF">#REF!</definedName>
    <definedName name="MSTR.3481B37A11E805B912F40080EFD574EF.1">#REF!</definedName>
    <definedName name="MSTR.3481B37A11E805B912F40080EFD574EF.10">#REF!</definedName>
    <definedName name="MSTR.3481B37A11E805B912F40080EFD574EF.11">#REF!</definedName>
    <definedName name="MSTR.3481B37A11E805B912F40080EFD574EF.12">#REF!</definedName>
    <definedName name="MSTR.3481B37A11E805B912F40080EFD574EF.13">#REF!</definedName>
    <definedName name="MSTR.3481B37A11E805B912F40080EFD574EF.14">#REF!</definedName>
    <definedName name="MSTR.3481B37A11E805B912F40080EFD574EF.15">#REF!</definedName>
    <definedName name="MSTR.3481B37A11E805B912F40080EFD574EF.16">#REF!</definedName>
    <definedName name="MSTR.3481B37A11E805B912F40080EFD574EF.17">#REF!</definedName>
    <definedName name="MSTR.3481B37A11E805B912F40080EFD574EF.18">#REF!</definedName>
    <definedName name="MSTR.3481B37A11E805B912F40080EFD574EF.19">#REF!</definedName>
    <definedName name="MSTR.3481B37A11E805B912F40080EFD574EF.2">#REF!</definedName>
    <definedName name="MSTR.3481B37A11E805B912F40080EFD574EF.20">#REF!</definedName>
    <definedName name="MSTR.3481B37A11E805B912F40080EFD574EF.21">#REF!</definedName>
    <definedName name="MSTR.3481B37A11E805B912F40080EFD574EF.22">#REF!</definedName>
    <definedName name="MSTR.3481B37A11E805B912F40080EFD574EF.23">#REF!</definedName>
    <definedName name="MSTR.3481B37A11E805B912F40080EFD574EF.24">#REF!</definedName>
    <definedName name="MSTR.3481B37A11E805B912F40080EFD574EF.25">#REF!</definedName>
    <definedName name="MSTR.3481B37A11E805B912F40080EFD574EF.26">#REF!</definedName>
    <definedName name="MSTR.3481B37A11E805B912F40080EFD574EF.27">#REF!</definedName>
    <definedName name="MSTR.3481B37A11E805B912F40080EFD574EF.28">#REF!</definedName>
    <definedName name="MSTR.3481B37A11E805B912F40080EFD574EF.29">#REF!</definedName>
    <definedName name="MSTR.3481B37A11E805B912F40080EFD574EF.3">#REF!</definedName>
    <definedName name="MSTR.3481B37A11E805B912F40080EFD574EF.30">#REF!</definedName>
    <definedName name="MSTR.3481B37A11E805B912F40080EFD574EF.31">#REF!</definedName>
    <definedName name="MSTR.3481B37A11E805B912F40080EFD574EF.32">#REF!</definedName>
    <definedName name="MSTR.3481B37A11E805B912F40080EFD574EF.33">#REF!</definedName>
    <definedName name="MSTR.3481B37A11E805B912F40080EFD574EF.34">#REF!</definedName>
    <definedName name="MSTR.3481B37A11E805B912F40080EFD574EF.35">#REF!</definedName>
    <definedName name="MSTR.3481B37A11E805B912F40080EFD574EF.36">#REF!</definedName>
    <definedName name="MSTR.3481B37A11E805B912F40080EFD574EF.37">#REF!</definedName>
    <definedName name="MSTR.3481B37A11E805B912F40080EFD574EF.38">#REF!</definedName>
    <definedName name="MSTR.3481B37A11E805B912F40080EFD574EF.39">#REF!</definedName>
    <definedName name="MSTR.3481B37A11E805B912F40080EFD574EF.4">#REF!</definedName>
    <definedName name="MSTR.3481B37A11E805B912F40080EFD574EF.40">#REF!</definedName>
    <definedName name="MSTR.3481B37A11E805B912F40080EFD574EF.41">#REF!</definedName>
    <definedName name="MSTR.3481B37A11E805B912F40080EFD574EF.42">#REF!</definedName>
    <definedName name="MSTR.3481B37A11E805B912F40080EFD574EF.43">#REF!</definedName>
    <definedName name="MSTR.3481B37A11E805B912F40080EFD574EF.44">#REF!</definedName>
    <definedName name="MSTR.3481B37A11E805B912F40080EFD574EF.45">#REF!</definedName>
    <definedName name="MSTR.3481B37A11E805B912F40080EFD574EF.46">#REF!</definedName>
    <definedName name="MSTR.3481B37A11E805B912F40080EFD574EF.47">#REF!</definedName>
    <definedName name="MSTR.3481B37A11E805B912F40080EFD574EF.48">#REF!</definedName>
    <definedName name="MSTR.3481B37A11E805B912F40080EFD574EF.49">#REF!</definedName>
    <definedName name="MSTR.3481B37A11E805B912F40080EFD574EF.5">#REF!</definedName>
    <definedName name="MSTR.3481B37A11E805B912F40080EFD574EF.6">#REF!</definedName>
    <definedName name="MSTR.3481B37A11E805B912F40080EFD574EF.7">#REF!</definedName>
    <definedName name="MSTR.3481B37A11E805B912F40080EFD574EF.8">#REF!</definedName>
    <definedName name="MSTR.3481B37A11E805B912F40080EFD574EF.9">#REF!</definedName>
    <definedName name="MSTR.366C90B74AD9C560FCC20182468ED56D">#REF!</definedName>
    <definedName name="MSTR.366C90B74AD9C560FCC20182468ED56D.1">#REF!</definedName>
    <definedName name="MSTR.366C90B74AD9C560FCC20182468ED56D.10">#REF!</definedName>
    <definedName name="MSTR.366C90B74AD9C560FCC20182468ED56D.11">#REF!</definedName>
    <definedName name="MSTR.366C90B74AD9C560FCC20182468ED56D.12">#REF!</definedName>
    <definedName name="MSTR.366C90B74AD9C560FCC20182468ED56D.13">#REF!</definedName>
    <definedName name="MSTR.366C90B74AD9C560FCC20182468ED56D.14">#REF!</definedName>
    <definedName name="MSTR.366C90B74AD9C560FCC20182468ED56D.15">#REF!</definedName>
    <definedName name="MSTR.366C90B74AD9C560FCC20182468ED56D.16">#REF!</definedName>
    <definedName name="MSTR.366C90B74AD9C560FCC20182468ED56D.17">#REF!</definedName>
    <definedName name="MSTR.366C90B74AD9C560FCC20182468ED56D.18">#REF!</definedName>
    <definedName name="MSTR.366C90B74AD9C560FCC20182468ED56D.19">#REF!</definedName>
    <definedName name="MSTR.366C90B74AD9C560FCC20182468ED56D.2">#REF!</definedName>
    <definedName name="MSTR.366C90B74AD9C560FCC20182468ED56D.20">#REF!</definedName>
    <definedName name="MSTR.366C90B74AD9C560FCC20182468ED56D.21">#REF!</definedName>
    <definedName name="MSTR.366C90B74AD9C560FCC20182468ED56D.3">#REF!</definedName>
    <definedName name="MSTR.366C90B74AD9C560FCC20182468ED56D.4">#REF!</definedName>
    <definedName name="MSTR.366C90B74AD9C560FCC20182468ED56D.5">#REF!</definedName>
    <definedName name="MSTR.366C90B74AD9C560FCC20182468ED56D.6">#REF!</definedName>
    <definedName name="MSTR.366C90B74AD9C560FCC20182468ED56D.7">#REF!</definedName>
    <definedName name="MSTR.366C90B74AD9C560FCC20182468ED56D.8">#REF!</definedName>
    <definedName name="MSTR.366C90B74AD9C560FCC20182468ED56D.9">#REF!</definedName>
    <definedName name="MSTR.4290739411E5D3BF79790080EF35F8EE">#REF!</definedName>
    <definedName name="MSTR.4290739411E5D3BF79790080EF35F8EE.1">#REF!</definedName>
    <definedName name="MSTR.4290739411E5D3BF79790080EF35F8EE.10">#REF!</definedName>
    <definedName name="MSTR.4290739411E5D3BF79790080EF35F8EE.11">#REF!</definedName>
    <definedName name="MSTR.4290739411E5D3BF79790080EF35F8EE.12">#REF!</definedName>
    <definedName name="MSTR.4290739411E5D3BF79790080EF35F8EE.13">#REF!</definedName>
    <definedName name="MSTR.4290739411E5D3BF79790080EF35F8EE.14">#REF!</definedName>
    <definedName name="MSTR.4290739411E5D3BF79790080EF35F8EE.15">#REF!</definedName>
    <definedName name="MSTR.4290739411E5D3BF79790080EF35F8EE.16">#REF!</definedName>
    <definedName name="MSTR.4290739411E5D3BF79790080EF35F8EE.17">#REF!</definedName>
    <definedName name="MSTR.4290739411E5D3BF79790080EF35F8EE.18">#REF!</definedName>
    <definedName name="MSTR.4290739411E5D3BF79790080EF35F8EE.19">#REF!</definedName>
    <definedName name="MSTR.4290739411E5D3BF79790080EF35F8EE.2">#REF!</definedName>
    <definedName name="MSTR.4290739411E5D3BF79790080EF35F8EE.20">#REF!</definedName>
    <definedName name="MSTR.4290739411E5D3BF79790080EF35F8EE.21">#REF!</definedName>
    <definedName name="MSTR.4290739411E5D3BF79790080EF35F8EE.22">#REF!</definedName>
    <definedName name="MSTR.4290739411E5D3BF79790080EF35F8EE.23">#REF!</definedName>
    <definedName name="MSTR.4290739411E5D3BF79790080EF35F8EE.24">#REF!</definedName>
    <definedName name="MSTR.4290739411E5D3BF79790080EF35F8EE.25">#REF!</definedName>
    <definedName name="MSTR.4290739411E5D3BF79790080EF35F8EE.26">#REF!</definedName>
    <definedName name="MSTR.4290739411E5D3BF79790080EF35F8EE.27">#REF!</definedName>
    <definedName name="MSTR.4290739411E5D3BF79790080EF35F8EE.3">#REF!</definedName>
    <definedName name="MSTR.4290739411E5D3BF79790080EF35F8EE.4">#REF!</definedName>
    <definedName name="MSTR.4290739411E5D3BF79790080EF35F8EE.5">#REF!</definedName>
    <definedName name="MSTR.4290739411E5D3BF79790080EF35F8EE.6">#REF!</definedName>
    <definedName name="MSTR.4290739411E5D3BF79790080EF35F8EE.7">#REF!</definedName>
    <definedName name="MSTR.4290739411E5D3BF79790080EF35F8EE.8">#REF!</definedName>
    <definedName name="MSTR.4290739411E5D3BF79790080EF35F8EE.9">#REF!</definedName>
    <definedName name="MSTR.44461D2011E5FC9A89AB0080EF055ECB">#REF!</definedName>
    <definedName name="MSTR.44461D2011E5FC9A89AB0080EF055ECB.1">#REF!</definedName>
    <definedName name="MSTR.44461D2011E5FC9A89AB0080EF055ECB.10">#REF!</definedName>
    <definedName name="MSTR.44461D2011E5FC9A89AB0080EF055ECB.11">#REF!</definedName>
    <definedName name="MSTR.44461D2011E5FC9A89AB0080EF055ECB.12">#REF!</definedName>
    <definedName name="MSTR.44461D2011E5FC9A89AB0080EF055ECB.13">#REF!</definedName>
    <definedName name="MSTR.44461D2011E5FC9A89AB0080EF055ECB.14">#REF!</definedName>
    <definedName name="MSTR.44461D2011E5FC9A89AB0080EF055ECB.15">#REF!</definedName>
    <definedName name="MSTR.44461D2011E5FC9A89AB0080EF055ECB.16">#REF!</definedName>
    <definedName name="MSTR.44461D2011E5FC9A89AB0080EF055ECB.17">#REF!</definedName>
    <definedName name="MSTR.44461D2011E5FC9A89AB0080EF055ECB.18">#REF!</definedName>
    <definedName name="MSTR.44461D2011E5FC9A89AB0080EF055ECB.19">#REF!</definedName>
    <definedName name="MSTR.44461D2011E5FC9A89AB0080EF055ECB.2">#REF!</definedName>
    <definedName name="MSTR.44461D2011E5FC9A89AB0080EF055ECB.20">#REF!</definedName>
    <definedName name="MSTR.44461D2011E5FC9A89AB0080EF055ECB.21">#REF!</definedName>
    <definedName name="MSTR.44461D2011E5FC9A89AB0080EF055ECB.22">#REF!</definedName>
    <definedName name="MSTR.44461D2011E5FC9A89AB0080EF055ECB.23">#REF!</definedName>
    <definedName name="MSTR.44461D2011E5FC9A89AB0080EF055ECB.24">#REF!</definedName>
    <definedName name="MSTR.44461D2011E5FC9A89AB0080EF055ECB.25">#REF!</definedName>
    <definedName name="MSTR.44461D2011E5FC9A89AB0080EF055ECB.26">#REF!</definedName>
    <definedName name="MSTR.44461D2011E5FC9A89AB0080EF055ECB.27">#REF!</definedName>
    <definedName name="MSTR.44461D2011E5FC9A89AB0080EF055ECB.28">#REF!</definedName>
    <definedName name="MSTR.44461D2011E5FC9A89AB0080EF055ECB.29">#REF!</definedName>
    <definedName name="MSTR.44461D2011E5FC9A89AB0080EF055ECB.3">#REF!</definedName>
    <definedName name="MSTR.44461D2011E5FC9A89AB0080EF055ECB.30">#REF!</definedName>
    <definedName name="MSTR.44461D2011E5FC9A89AB0080EF055ECB.4">#REF!</definedName>
    <definedName name="MSTR.44461D2011E5FC9A89AB0080EF055ECB.5">#REF!</definedName>
    <definedName name="MSTR.44461D2011E5FC9A89AB0080EF055ECB.6">#REF!</definedName>
    <definedName name="MSTR.44461D2011E5FC9A89AB0080EF055ECB.7">#REF!</definedName>
    <definedName name="MSTR.44461D2011E5FC9A89AB0080EF055ECB.8">#REF!</definedName>
    <definedName name="MSTR.44461D2011E5FC9A89AB0080EF055ECB.9">#REF!</definedName>
    <definedName name="MSTR.4ECD5C164CDAD1D43AD44C88EC311376">#REF!</definedName>
    <definedName name="MSTR.4ECD5C164CDAD1D43AD44C88EC311376.1">#REF!</definedName>
    <definedName name="MSTR.4ECD5C164CDAD1D43AD44C88EC311376.10">#REF!</definedName>
    <definedName name="MSTR.4ECD5C164CDAD1D43AD44C88EC311376.11">#REF!</definedName>
    <definedName name="MSTR.4ECD5C164CDAD1D43AD44C88EC311376.12">#REF!</definedName>
    <definedName name="MSTR.4ECD5C164CDAD1D43AD44C88EC311376.13">#REF!</definedName>
    <definedName name="MSTR.4ECD5C164CDAD1D43AD44C88EC311376.14">#REF!</definedName>
    <definedName name="MSTR.4ECD5C164CDAD1D43AD44C88EC311376.15">#REF!</definedName>
    <definedName name="MSTR.4ECD5C164CDAD1D43AD44C88EC311376.16">#REF!</definedName>
    <definedName name="MSTR.4ECD5C164CDAD1D43AD44C88EC311376.17">#REF!</definedName>
    <definedName name="MSTR.4ECD5C164CDAD1D43AD44C88EC311376.18">#REF!</definedName>
    <definedName name="MSTR.4ECD5C164CDAD1D43AD44C88EC311376.19">#REF!</definedName>
    <definedName name="MSTR.4ECD5C164CDAD1D43AD44C88EC311376.2">#REF!</definedName>
    <definedName name="MSTR.4ECD5C164CDAD1D43AD44C88EC311376.20">#REF!</definedName>
    <definedName name="MSTR.4ECD5C164CDAD1D43AD44C88EC311376.21">#REF!</definedName>
    <definedName name="MSTR.4ECD5C164CDAD1D43AD44C88EC311376.22">#REF!</definedName>
    <definedName name="MSTR.4ECD5C164CDAD1D43AD44C88EC311376.23">#REF!</definedName>
    <definedName name="MSTR.4ECD5C164CDAD1D43AD44C88EC311376.24">#REF!</definedName>
    <definedName name="MSTR.4ECD5C164CDAD1D43AD44C88EC311376.25">#REF!</definedName>
    <definedName name="MSTR.4ECD5C164CDAD1D43AD44C88EC311376.26">#REF!</definedName>
    <definedName name="MSTR.4ECD5C164CDAD1D43AD44C88EC311376.27">#REF!</definedName>
    <definedName name="MSTR.4ECD5C164CDAD1D43AD44C88EC311376.28">#REF!</definedName>
    <definedName name="MSTR.4ECD5C164CDAD1D43AD44C88EC311376.29">#REF!</definedName>
    <definedName name="MSTR.4ECD5C164CDAD1D43AD44C88EC311376.3">#REF!</definedName>
    <definedName name="MSTR.4ECD5C164CDAD1D43AD44C88EC311376.30">#REF!</definedName>
    <definedName name="MSTR.4ECD5C164CDAD1D43AD44C88EC311376.31">#REF!</definedName>
    <definedName name="MSTR.4ECD5C164CDAD1D43AD44C88EC311376.32">#REF!</definedName>
    <definedName name="MSTR.4ECD5C164CDAD1D43AD44C88EC311376.33">#REF!</definedName>
    <definedName name="MSTR.4ECD5C164CDAD1D43AD44C88EC311376.34">#REF!</definedName>
    <definedName name="MSTR.4ECD5C164CDAD1D43AD44C88EC311376.35">#REF!</definedName>
    <definedName name="MSTR.4ECD5C164CDAD1D43AD44C88EC311376.36">#REF!</definedName>
    <definedName name="MSTR.4ECD5C164CDAD1D43AD44C88EC311376.37">#REF!</definedName>
    <definedName name="MSTR.4ECD5C164CDAD1D43AD44C88EC311376.38">#REF!</definedName>
    <definedName name="MSTR.4ECD5C164CDAD1D43AD44C88EC311376.39">#REF!</definedName>
    <definedName name="MSTR.4ECD5C164CDAD1D43AD44C88EC311376.4">#REF!</definedName>
    <definedName name="MSTR.4ECD5C164CDAD1D43AD44C88EC311376.40">#REF!</definedName>
    <definedName name="MSTR.4ECD5C164CDAD1D43AD44C88EC311376.41">#REF!</definedName>
    <definedName name="MSTR.4ECD5C164CDAD1D43AD44C88EC311376.42">#REF!</definedName>
    <definedName name="MSTR.4ECD5C164CDAD1D43AD44C88EC311376.43">#REF!</definedName>
    <definedName name="MSTR.4ECD5C164CDAD1D43AD44C88EC311376.44">#REF!</definedName>
    <definedName name="MSTR.4ECD5C164CDAD1D43AD44C88EC311376.45">#REF!</definedName>
    <definedName name="MSTR.4ECD5C164CDAD1D43AD44C88EC311376.46">#REF!</definedName>
    <definedName name="MSTR.4ECD5C164CDAD1D43AD44C88EC311376.47">#REF!</definedName>
    <definedName name="MSTR.4ECD5C164CDAD1D43AD44C88EC311376.48">#REF!</definedName>
    <definedName name="MSTR.4ECD5C164CDAD1D43AD44C88EC311376.49">#REF!</definedName>
    <definedName name="MSTR.4ECD5C164CDAD1D43AD44C88EC311376.5">#REF!</definedName>
    <definedName name="MSTR.4ECD5C164CDAD1D43AD44C88EC311376.50">#REF!</definedName>
    <definedName name="MSTR.4ECD5C164CDAD1D43AD44C88EC311376.51">#REF!</definedName>
    <definedName name="MSTR.4ECD5C164CDAD1D43AD44C88EC311376.52">#REF!</definedName>
    <definedName name="MSTR.4ECD5C164CDAD1D43AD44C88EC311376.53">#REF!</definedName>
    <definedName name="MSTR.4ECD5C164CDAD1D43AD44C88EC311376.54">#REF!</definedName>
    <definedName name="MSTR.4ECD5C164CDAD1D43AD44C88EC311376.55">#REF!</definedName>
    <definedName name="MSTR.4ECD5C164CDAD1D43AD44C88EC311376.56">#REF!</definedName>
    <definedName name="MSTR.4ECD5C164CDAD1D43AD44C88EC311376.57">#REF!</definedName>
    <definedName name="MSTR.4ECD5C164CDAD1D43AD44C88EC311376.58">#REF!</definedName>
    <definedName name="MSTR.4ECD5C164CDAD1D43AD44C88EC311376.59">#REF!</definedName>
    <definedName name="MSTR.4ECD5C164CDAD1D43AD44C88EC311376.6">#REF!</definedName>
    <definedName name="MSTR.4ECD5C164CDAD1D43AD44C88EC311376.60">#REF!</definedName>
    <definedName name="MSTR.4ECD5C164CDAD1D43AD44C88EC311376.61">#REF!</definedName>
    <definedName name="MSTR.4ECD5C164CDAD1D43AD44C88EC311376.62">#REF!</definedName>
    <definedName name="MSTR.4ECD5C164CDAD1D43AD44C88EC311376.63">#REF!</definedName>
    <definedName name="MSTR.4ECD5C164CDAD1D43AD44C88EC311376.64">#REF!</definedName>
    <definedName name="MSTR.4ECD5C164CDAD1D43AD44C88EC311376.65">#REF!</definedName>
    <definedName name="MSTR.4ECD5C164CDAD1D43AD44C88EC311376.66">#REF!</definedName>
    <definedName name="MSTR.4ECD5C164CDAD1D43AD44C88EC311376.67">#REF!</definedName>
    <definedName name="MSTR.4ECD5C164CDAD1D43AD44C88EC311376.68">#REF!</definedName>
    <definedName name="MSTR.4ECD5C164CDAD1D43AD44C88EC311376.69">#REF!</definedName>
    <definedName name="MSTR.4ECD5C164CDAD1D43AD44C88EC311376.7">#REF!</definedName>
    <definedName name="MSTR.4ECD5C164CDAD1D43AD44C88EC311376.70">#REF!</definedName>
    <definedName name="MSTR.4ECD5C164CDAD1D43AD44C88EC311376.71">#REF!</definedName>
    <definedName name="MSTR.4ECD5C164CDAD1D43AD44C88EC311376.72">#REF!</definedName>
    <definedName name="MSTR.4ECD5C164CDAD1D43AD44C88EC311376.73">#REF!</definedName>
    <definedName name="MSTR.4ECD5C164CDAD1D43AD44C88EC311376.74">#REF!</definedName>
    <definedName name="MSTR.4ECD5C164CDAD1D43AD44C88EC311376.75">#REF!</definedName>
    <definedName name="MSTR.4ECD5C164CDAD1D43AD44C88EC311376.76">#REF!</definedName>
    <definedName name="MSTR.4ECD5C164CDAD1D43AD44C88EC311376.77">#REF!</definedName>
    <definedName name="MSTR.4ECD5C164CDAD1D43AD44C88EC311376.78">#REF!</definedName>
    <definedName name="MSTR.4ECD5C164CDAD1D43AD44C88EC311376.79">#REF!</definedName>
    <definedName name="MSTR.4ECD5C164CDAD1D43AD44C88EC311376.8">#REF!</definedName>
    <definedName name="MSTR.4ECD5C164CDAD1D43AD44C88EC311376.80">#REF!</definedName>
    <definedName name="MSTR.4ECD5C164CDAD1D43AD44C88EC311376.81">#REF!</definedName>
    <definedName name="MSTR.4ECD5C164CDAD1D43AD44C88EC311376.82">#REF!</definedName>
    <definedName name="MSTR.4ECD5C164CDAD1D43AD44C88EC311376.83">#REF!</definedName>
    <definedName name="MSTR.4ECD5C164CDAD1D43AD44C88EC311376.84">#REF!</definedName>
    <definedName name="MSTR.4ECD5C164CDAD1D43AD44C88EC311376.85">#REF!</definedName>
    <definedName name="MSTR.4ECD5C164CDAD1D43AD44C88EC311376.86">#REF!</definedName>
    <definedName name="MSTR.4ECD5C164CDAD1D43AD44C88EC311376.87">#REF!</definedName>
    <definedName name="MSTR.4ECD5C164CDAD1D43AD44C88EC311376.88">#REF!</definedName>
    <definedName name="MSTR.4ECD5C164CDAD1D43AD44C88EC311376.89">#REF!</definedName>
    <definedName name="MSTR.4ECD5C164CDAD1D43AD44C88EC311376.9">#REF!</definedName>
    <definedName name="MSTR.4ECD5C164CDAD1D43AD44C88EC311376.90">#REF!</definedName>
    <definedName name="MSTR.4ECD5C164CDAD1D43AD44C88EC311376.91">#REF!</definedName>
    <definedName name="MSTR.4ECD5C164CDAD1D43AD44C88EC311376.92">#REF!</definedName>
    <definedName name="MSTR.563EFCEA11E5377400000080EF151421">#REF!</definedName>
    <definedName name="MSTR.563EFCEA11E5377400000080EF151421.1">#REF!</definedName>
    <definedName name="MSTR.563EFCEA11E5377400000080EF151421.10">#REF!</definedName>
    <definedName name="MSTR.563EFCEA11E5377400000080EF151421.11">#REF!</definedName>
    <definedName name="MSTR.563EFCEA11E5377400000080EF151421.12">#REF!</definedName>
    <definedName name="MSTR.563EFCEA11E5377400000080EF151421.13">#REF!</definedName>
    <definedName name="MSTR.563EFCEA11E5377400000080EF151421.14">#REF!</definedName>
    <definedName name="MSTR.563EFCEA11E5377400000080EF151421.2">#REF!</definedName>
    <definedName name="MSTR.563EFCEA11E5377400000080EF151421.3">#REF!</definedName>
    <definedName name="MSTR.563EFCEA11E5377400000080EF151421.4">#REF!</definedName>
    <definedName name="MSTR.563EFCEA11E5377400000080EF151421.5">#REF!</definedName>
    <definedName name="MSTR.563EFCEA11E5377400000080EF151421.6">#REF!</definedName>
    <definedName name="MSTR.563EFCEA11E5377400000080EF151421.7">#REF!</definedName>
    <definedName name="MSTR.563EFCEA11E5377400000080EF151421.8">#REF!</definedName>
    <definedName name="MSTR.563EFCEA11E5377400000080EF151421.9">#REF!</definedName>
    <definedName name="MSTR.5C5D7EE0401A7C1CD1D23A84F94BE2AD">#REF!</definedName>
    <definedName name="MSTR.5C5D7EE0401A7C1CD1D23A84F94BE2AD.1">#REF!</definedName>
    <definedName name="MSTR.5C5D7EE0401A7C1CD1D23A84F94BE2AD.2">#REF!</definedName>
    <definedName name="MSTR.5C5D7EE0401A7C1CD1D23A84F94BE2AD.3">#REF!</definedName>
    <definedName name="MSTR.5C5D7EE0401A7C1CD1D23A84F94BE2AD.4">#REF!</definedName>
    <definedName name="MSTR.5C5D7EE0401A7C1CD1D23A84F94BE2AD.5">#REF!</definedName>
    <definedName name="MSTR.5C5D7EE0401A7C1CD1D23A84F94BE2AD.6">#REF!</definedName>
    <definedName name="MSTR.5C5D7EE0401A7C1CD1D23A84F94BE2AD.7">#REF!</definedName>
    <definedName name="MSTR.5C5D7EE0401A7C1CD1D23A84F94BE2AD.8">#REF!</definedName>
    <definedName name="MSTR.5C5D7EE0401A7C1CD1D23A84F94BE2AD.9">#REF!</definedName>
    <definedName name="MSTR.617E107E11E6DE2F1D4C0080EF85D27A">#REF!</definedName>
    <definedName name="MSTR.617E107E11E6DE2F1D4C0080EF85D27A.1">#REF!</definedName>
    <definedName name="MSTR.617E107E11E6DE2F1D4C0080EF85D27A.10">#REF!</definedName>
    <definedName name="MSTR.617E107E11E6DE2F1D4C0080EF85D27A.11">#REF!</definedName>
    <definedName name="MSTR.617E107E11E6DE2F1D4C0080EF85D27A.12">#REF!</definedName>
    <definedName name="MSTR.617E107E11E6DE2F1D4C0080EF85D27A.13">#REF!</definedName>
    <definedName name="MSTR.617E107E11E6DE2F1D4C0080EF85D27A.14">#REF!</definedName>
    <definedName name="MSTR.617E107E11E6DE2F1D4C0080EF85D27A.15">#REF!</definedName>
    <definedName name="MSTR.617E107E11E6DE2F1D4C0080EF85D27A.16">#REF!</definedName>
    <definedName name="MSTR.617E107E11E6DE2F1D4C0080EF85D27A.17">#REF!</definedName>
    <definedName name="MSTR.617E107E11E6DE2F1D4C0080EF85D27A.18">#REF!</definedName>
    <definedName name="MSTR.617E107E11E6DE2F1D4C0080EF85D27A.19">#REF!</definedName>
    <definedName name="MSTR.617E107E11E6DE2F1D4C0080EF85D27A.2">#REF!</definedName>
    <definedName name="MSTR.617E107E11E6DE2F1D4C0080EF85D27A.20">#REF!</definedName>
    <definedName name="MSTR.617E107E11E6DE2F1D4C0080EF85D27A.21">#REF!</definedName>
    <definedName name="MSTR.617E107E11E6DE2F1D4C0080EF85D27A.22">#REF!</definedName>
    <definedName name="MSTR.617E107E11E6DE2F1D4C0080EF85D27A.23">#REF!</definedName>
    <definedName name="MSTR.617E107E11E6DE2F1D4C0080EF85D27A.24">#REF!</definedName>
    <definedName name="MSTR.617E107E11E6DE2F1D4C0080EF85D27A.25">#REF!</definedName>
    <definedName name="MSTR.617E107E11E6DE2F1D4C0080EF85D27A.26">#REF!</definedName>
    <definedName name="MSTR.617E107E11E6DE2F1D4C0080EF85D27A.27">#REF!</definedName>
    <definedName name="MSTR.617E107E11E6DE2F1D4C0080EF85D27A.28">#REF!</definedName>
    <definedName name="MSTR.617E107E11E6DE2F1D4C0080EF85D27A.29">#REF!</definedName>
    <definedName name="MSTR.617E107E11E6DE2F1D4C0080EF85D27A.3">#REF!</definedName>
    <definedName name="MSTR.617E107E11E6DE2F1D4C0080EF85D27A.30">#REF!</definedName>
    <definedName name="MSTR.617E107E11E6DE2F1D4C0080EF85D27A.31">#REF!</definedName>
    <definedName name="MSTR.617E107E11E6DE2F1D4C0080EF85D27A.32">#REF!</definedName>
    <definedName name="MSTR.617E107E11E6DE2F1D4C0080EF85D27A.33">#REF!</definedName>
    <definedName name="MSTR.617E107E11E6DE2F1D4C0080EF85D27A.34">#REF!</definedName>
    <definedName name="MSTR.617E107E11E6DE2F1D4C0080EF85D27A.35">#REF!</definedName>
    <definedName name="MSTR.617E107E11E6DE2F1D4C0080EF85D27A.36">#REF!</definedName>
    <definedName name="MSTR.617E107E11E6DE2F1D4C0080EF85D27A.37">#REF!</definedName>
    <definedName name="MSTR.617E107E11E6DE2F1D4C0080EF85D27A.38">#REF!</definedName>
    <definedName name="MSTR.617E107E11E6DE2F1D4C0080EF85D27A.39">#REF!</definedName>
    <definedName name="MSTR.617E107E11E6DE2F1D4C0080EF85D27A.4">#REF!</definedName>
    <definedName name="MSTR.617E107E11E6DE2F1D4C0080EF85D27A.40">#REF!</definedName>
    <definedName name="MSTR.617E107E11E6DE2F1D4C0080EF85D27A.41">#REF!</definedName>
    <definedName name="MSTR.617E107E11E6DE2F1D4C0080EF85D27A.42">#REF!</definedName>
    <definedName name="MSTR.617E107E11E6DE2F1D4C0080EF85D27A.5">#REF!</definedName>
    <definedName name="MSTR.617E107E11E6DE2F1D4C0080EF85D27A.6">#REF!</definedName>
    <definedName name="MSTR.617E107E11E6DE2F1D4C0080EF85D27A.7">#REF!</definedName>
    <definedName name="MSTR.617E107E11E6DE2F1D4C0080EF85D27A.8">#REF!</definedName>
    <definedName name="MSTR.617E107E11E6DE2F1D4C0080EF85D27A.9">#REF!</definedName>
    <definedName name="MSTR.66711E2411E6DE291D330080EF35A0AA">#REF!</definedName>
    <definedName name="MSTR.66711E2411E6DE291D330080EF35A0AA.1">#REF!</definedName>
    <definedName name="MSTR.66711E2411E6DE291D330080EF35A0AA.10">#REF!</definedName>
    <definedName name="MSTR.66711E2411E6DE291D330080EF35A0AA.11">#REF!</definedName>
    <definedName name="MSTR.66711E2411E6DE291D330080EF35A0AA.12">#REF!</definedName>
    <definedName name="MSTR.66711E2411E6DE291D330080EF35A0AA.13">#REF!</definedName>
    <definedName name="MSTR.66711E2411E6DE291D330080EF35A0AA.14">#REF!</definedName>
    <definedName name="MSTR.66711E2411E6DE291D330080EF35A0AA.15">#REF!</definedName>
    <definedName name="MSTR.66711E2411E6DE291D330080EF35A0AA.16">#REF!</definedName>
    <definedName name="MSTR.66711E2411E6DE291D330080EF35A0AA.17">#REF!</definedName>
    <definedName name="MSTR.66711E2411E6DE291D330080EF35A0AA.18">#REF!</definedName>
    <definedName name="MSTR.66711E2411E6DE291D330080EF35A0AA.19">#REF!</definedName>
    <definedName name="MSTR.66711E2411E6DE291D330080EF35A0AA.2">#REF!</definedName>
    <definedName name="MSTR.66711E2411E6DE291D330080EF35A0AA.20">#REF!</definedName>
    <definedName name="MSTR.66711E2411E6DE291D330080EF35A0AA.21">#REF!</definedName>
    <definedName name="MSTR.66711E2411E6DE291D330080EF35A0AA.22">#REF!</definedName>
    <definedName name="MSTR.66711E2411E6DE291D330080EF35A0AA.23">#REF!</definedName>
    <definedName name="MSTR.66711E2411E6DE291D330080EF35A0AA.24">#REF!</definedName>
    <definedName name="MSTR.66711E2411E6DE291D330080EF35A0AA.25">#REF!</definedName>
    <definedName name="MSTR.66711E2411E6DE291D330080EF35A0AA.26">#REF!</definedName>
    <definedName name="MSTR.66711E2411E6DE291D330080EF35A0AA.27">#REF!</definedName>
    <definedName name="MSTR.66711E2411E6DE291D330080EF35A0AA.28">#REF!</definedName>
    <definedName name="MSTR.66711E2411E6DE291D330080EF35A0AA.29">#REF!</definedName>
    <definedName name="MSTR.66711E2411E6DE291D330080EF35A0AA.3">#REF!</definedName>
    <definedName name="MSTR.66711E2411E6DE291D330080EF35A0AA.30">#REF!</definedName>
    <definedName name="MSTR.66711E2411E6DE291D330080EF35A0AA.31">#REF!</definedName>
    <definedName name="MSTR.66711E2411E6DE291D330080EF35A0AA.32">#REF!</definedName>
    <definedName name="MSTR.66711E2411E6DE291D330080EF35A0AA.33">#REF!</definedName>
    <definedName name="MSTR.66711E2411E6DE291D330080EF35A0AA.34">#REF!</definedName>
    <definedName name="MSTR.66711E2411E6DE291D330080EF35A0AA.35">#REF!</definedName>
    <definedName name="MSTR.66711E2411E6DE291D330080EF35A0AA.36">#REF!</definedName>
    <definedName name="MSTR.66711E2411E6DE291D330080EF35A0AA.37">#REF!</definedName>
    <definedName name="MSTR.66711E2411E6DE291D330080EF35A0AA.38">#REF!</definedName>
    <definedName name="MSTR.66711E2411E6DE291D330080EF35A0AA.39">#REF!</definedName>
    <definedName name="MSTR.66711E2411E6DE291D330080EF35A0AA.4">#REF!</definedName>
    <definedName name="MSTR.66711E2411E6DE291D330080EF35A0AA.40">#REF!</definedName>
    <definedName name="MSTR.66711E2411E6DE291D330080EF35A0AA.41">#REF!</definedName>
    <definedName name="MSTR.66711E2411E6DE291D330080EF35A0AA.42">#REF!</definedName>
    <definedName name="MSTR.66711E2411E6DE291D330080EF35A0AA.43">#REF!</definedName>
    <definedName name="MSTR.66711E2411E6DE291D330080EF35A0AA.44">#REF!</definedName>
    <definedName name="MSTR.66711E2411E6DE291D330080EF35A0AA.45">#REF!</definedName>
    <definedName name="MSTR.66711E2411E6DE291D330080EF35A0AA.46">#REF!</definedName>
    <definedName name="MSTR.66711E2411E6DE291D330080EF35A0AA.47">#REF!</definedName>
    <definedName name="MSTR.66711E2411E6DE291D330080EF35A0AA.48">#REF!</definedName>
    <definedName name="MSTR.66711E2411E6DE291D330080EF35A0AA.49">#REF!</definedName>
    <definedName name="MSTR.66711E2411E6DE291D330080EF35A0AA.5">#REF!</definedName>
    <definedName name="MSTR.66711E2411E6DE291D330080EF35A0AA.50">#REF!</definedName>
    <definedName name="MSTR.66711E2411E6DE291D330080EF35A0AA.51">#REF!</definedName>
    <definedName name="MSTR.66711E2411E6DE291D330080EF35A0AA.52">#REF!</definedName>
    <definedName name="MSTR.66711E2411E6DE291D330080EF35A0AA.53">#REF!</definedName>
    <definedName name="MSTR.66711E2411E6DE291D330080EF35A0AA.54">#REF!</definedName>
    <definedName name="MSTR.66711E2411E6DE291D330080EF35A0AA.55">#REF!</definedName>
    <definedName name="MSTR.66711E2411E6DE291D330080EF35A0AA.56">#REF!</definedName>
    <definedName name="MSTR.66711E2411E6DE291D330080EF35A0AA.57">#REF!</definedName>
    <definedName name="MSTR.66711E2411E6DE291D330080EF35A0AA.58">#REF!</definedName>
    <definedName name="MSTR.66711E2411E6DE291D330080EF35A0AA.59">#REF!</definedName>
    <definedName name="MSTR.66711E2411E6DE291D330080EF35A0AA.6">#REF!</definedName>
    <definedName name="MSTR.66711E2411E6DE291D330080EF35A0AA.60">#REF!</definedName>
    <definedName name="MSTR.66711E2411E6DE291D330080EF35A0AA.61">#REF!</definedName>
    <definedName name="MSTR.66711E2411E6DE291D330080EF35A0AA.62">#REF!</definedName>
    <definedName name="MSTR.66711E2411E6DE291D330080EF35A0AA.63">#REF!</definedName>
    <definedName name="MSTR.66711E2411E6DE291D330080EF35A0AA.7">#REF!</definedName>
    <definedName name="MSTR.66711E2411E6DE291D330080EF35A0AA.8">#REF!</definedName>
    <definedName name="MSTR.66711E2411E6DE291D330080EF35A0AA.9">#REF!</definedName>
    <definedName name="MSTR.6E38459A11E5FC8B39B10080EFF56469">#REF!</definedName>
    <definedName name="MSTR.6E38459A11E5FC8B39B10080EFF56469.1">#REF!</definedName>
    <definedName name="MSTR.6E38459A11E5FC8B39B10080EFF56469.2">#REF!</definedName>
    <definedName name="MSTR.7387488940B2E3126B41E79EBA963D9D">#REF!</definedName>
    <definedName name="MSTR.7387488940B2E3126B41E79EBA963D9D.1">#REF!</definedName>
    <definedName name="MSTR.7387488940B2E3126B41E79EBA963D9D.10">#REF!</definedName>
    <definedName name="MSTR.7387488940B2E3126B41E79EBA963D9D.11">#REF!</definedName>
    <definedName name="MSTR.7387488940B2E3126B41E79EBA963D9D.12">#REF!</definedName>
    <definedName name="MSTR.7387488940B2E3126B41E79EBA963D9D.13">#REF!</definedName>
    <definedName name="MSTR.7387488940B2E3126B41E79EBA963D9D.14">#REF!</definedName>
    <definedName name="MSTR.7387488940B2E3126B41E79EBA963D9D.15">#REF!</definedName>
    <definedName name="MSTR.7387488940B2E3126B41E79EBA963D9D.16">#REF!</definedName>
    <definedName name="MSTR.7387488940B2E3126B41E79EBA963D9D.17">#REF!</definedName>
    <definedName name="MSTR.7387488940B2E3126B41E79EBA963D9D.18">#REF!</definedName>
    <definedName name="MSTR.7387488940B2E3126B41E79EBA963D9D.19">#REF!</definedName>
    <definedName name="MSTR.7387488940B2E3126B41E79EBA963D9D.2">#REF!</definedName>
    <definedName name="MSTR.7387488940B2E3126B41E79EBA963D9D.20">#REF!</definedName>
    <definedName name="MSTR.7387488940B2E3126B41E79EBA963D9D.21">#REF!</definedName>
    <definedName name="MSTR.7387488940B2E3126B41E79EBA963D9D.22">#REF!</definedName>
    <definedName name="MSTR.7387488940B2E3126B41E79EBA963D9D.23">#REF!</definedName>
    <definedName name="MSTR.7387488940B2E3126B41E79EBA963D9D.24">#REF!</definedName>
    <definedName name="MSTR.7387488940B2E3126B41E79EBA963D9D.25">#REF!</definedName>
    <definedName name="MSTR.7387488940B2E3126B41E79EBA963D9D.26">#REF!</definedName>
    <definedName name="MSTR.7387488940B2E3126B41E79EBA963D9D.27">#REF!</definedName>
    <definedName name="MSTR.7387488940B2E3126B41E79EBA963D9D.28">#REF!</definedName>
    <definedName name="MSTR.7387488940B2E3126B41E79EBA963D9D.29">#REF!</definedName>
    <definedName name="MSTR.7387488940B2E3126B41E79EBA963D9D.3">#REF!</definedName>
    <definedName name="MSTR.7387488940B2E3126B41E79EBA963D9D.30">#REF!</definedName>
    <definedName name="MSTR.7387488940B2E3126B41E79EBA963D9D.31">#REF!</definedName>
    <definedName name="MSTR.7387488940B2E3126B41E79EBA963D9D.32">#REF!</definedName>
    <definedName name="MSTR.7387488940B2E3126B41E79EBA963D9D.33">#REF!</definedName>
    <definedName name="MSTR.7387488940B2E3126B41E79EBA963D9D.34">#REF!</definedName>
    <definedName name="MSTR.7387488940B2E3126B41E79EBA963D9D.35">#REF!</definedName>
    <definedName name="MSTR.7387488940B2E3126B41E79EBA963D9D.36">#REF!</definedName>
    <definedName name="MSTR.7387488940B2E3126B41E79EBA963D9D.37">#REF!</definedName>
    <definedName name="MSTR.7387488940B2E3126B41E79EBA963D9D.38">#REF!</definedName>
    <definedName name="MSTR.7387488940B2E3126B41E79EBA963D9D.39">#REF!</definedName>
    <definedName name="MSTR.7387488940B2E3126B41E79EBA963D9D.4">#REF!</definedName>
    <definedName name="MSTR.7387488940B2E3126B41E79EBA963D9D.40">#REF!</definedName>
    <definedName name="MSTR.7387488940B2E3126B41E79EBA963D9D.41">#REF!</definedName>
    <definedName name="MSTR.7387488940B2E3126B41E79EBA963D9D.42">#REF!</definedName>
    <definedName name="MSTR.7387488940B2E3126B41E79EBA963D9D.43">#REF!</definedName>
    <definedName name="MSTR.7387488940B2E3126B41E79EBA963D9D.44">#REF!</definedName>
    <definedName name="MSTR.7387488940B2E3126B41E79EBA963D9D.45">#REF!</definedName>
    <definedName name="MSTR.7387488940B2E3126B41E79EBA963D9D.46">#REF!</definedName>
    <definedName name="MSTR.7387488940B2E3126B41E79EBA963D9D.47">#REF!</definedName>
    <definedName name="MSTR.7387488940B2E3126B41E79EBA963D9D.48">#REF!</definedName>
    <definedName name="MSTR.7387488940B2E3126B41E79EBA963D9D.49">#REF!</definedName>
    <definedName name="MSTR.7387488940B2E3126B41E79EBA963D9D.5">#REF!</definedName>
    <definedName name="MSTR.7387488940B2E3126B41E79EBA963D9D.50">#REF!</definedName>
    <definedName name="MSTR.7387488940B2E3126B41E79EBA963D9D.51">#REF!</definedName>
    <definedName name="MSTR.7387488940B2E3126B41E79EBA963D9D.6">#REF!</definedName>
    <definedName name="MSTR.7387488940B2E3126B41E79EBA963D9D.7">#REF!</definedName>
    <definedName name="MSTR.7387488940B2E3126B41E79EBA963D9D.8">#REF!</definedName>
    <definedName name="MSTR.7387488940B2E3126B41E79EBA963D9D.9">#REF!</definedName>
    <definedName name="MSTR.7A0F0D1F49BFAEDBBBD917A296B79D22">#REF!</definedName>
    <definedName name="MSTR.7A0F0D1F49BFAEDBBBD917A296B79D22.1">#REF!</definedName>
    <definedName name="MSTR.7A0F0D1F49BFAEDBBBD917A296B79D22.10">#REF!</definedName>
    <definedName name="MSTR.7A0F0D1F49BFAEDBBBD917A296B79D22.11">#REF!</definedName>
    <definedName name="MSTR.7A0F0D1F49BFAEDBBBD917A296B79D22.12">#REF!</definedName>
    <definedName name="MSTR.7A0F0D1F49BFAEDBBBD917A296B79D22.13">#REF!</definedName>
    <definedName name="MSTR.7A0F0D1F49BFAEDBBBD917A296B79D22.14">#REF!</definedName>
    <definedName name="MSTR.7A0F0D1F49BFAEDBBBD917A296B79D22.15">#REF!</definedName>
    <definedName name="MSTR.7A0F0D1F49BFAEDBBBD917A296B79D22.16">#REF!</definedName>
    <definedName name="MSTR.7A0F0D1F49BFAEDBBBD917A296B79D22.17">#REF!</definedName>
    <definedName name="MSTR.7A0F0D1F49BFAEDBBBD917A296B79D22.18">#REF!</definedName>
    <definedName name="MSTR.7A0F0D1F49BFAEDBBBD917A296B79D22.19">#REF!</definedName>
    <definedName name="MSTR.7A0F0D1F49BFAEDBBBD917A296B79D22.2">#REF!</definedName>
    <definedName name="MSTR.7A0F0D1F49BFAEDBBBD917A296B79D22.20">#REF!</definedName>
    <definedName name="MSTR.7A0F0D1F49BFAEDBBBD917A296B79D22.21">#REF!</definedName>
    <definedName name="MSTR.7A0F0D1F49BFAEDBBBD917A296B79D22.22">#REF!</definedName>
    <definedName name="MSTR.7A0F0D1F49BFAEDBBBD917A296B79D22.23">#REF!</definedName>
    <definedName name="MSTR.7A0F0D1F49BFAEDBBBD917A296B79D22.24">#REF!</definedName>
    <definedName name="MSTR.7A0F0D1F49BFAEDBBBD917A296B79D22.25">#REF!</definedName>
    <definedName name="MSTR.7A0F0D1F49BFAEDBBBD917A296B79D22.26">#REF!</definedName>
    <definedName name="MSTR.7A0F0D1F49BFAEDBBBD917A296B79D22.27">#REF!</definedName>
    <definedName name="MSTR.7A0F0D1F49BFAEDBBBD917A296B79D22.28">#REF!</definedName>
    <definedName name="MSTR.7A0F0D1F49BFAEDBBBD917A296B79D22.29">#REF!</definedName>
    <definedName name="MSTR.7A0F0D1F49BFAEDBBBD917A296B79D22.3">#REF!</definedName>
    <definedName name="MSTR.7A0F0D1F49BFAEDBBBD917A296B79D22.30">#REF!</definedName>
    <definedName name="MSTR.7A0F0D1F49BFAEDBBBD917A296B79D22.31">#REF!</definedName>
    <definedName name="MSTR.7A0F0D1F49BFAEDBBBD917A296B79D22.32">#REF!</definedName>
    <definedName name="MSTR.7A0F0D1F49BFAEDBBBD917A296B79D22.33">#REF!</definedName>
    <definedName name="MSTR.7A0F0D1F49BFAEDBBBD917A296B79D22.34">#REF!</definedName>
    <definedName name="MSTR.7A0F0D1F49BFAEDBBBD917A296B79D22.35">#REF!</definedName>
    <definedName name="MSTR.7A0F0D1F49BFAEDBBBD917A296B79D22.36">#REF!</definedName>
    <definedName name="MSTR.7A0F0D1F49BFAEDBBBD917A296B79D22.37">#REF!</definedName>
    <definedName name="MSTR.7A0F0D1F49BFAEDBBBD917A296B79D22.38">#REF!</definedName>
    <definedName name="MSTR.7A0F0D1F49BFAEDBBBD917A296B79D22.39">#REF!</definedName>
    <definedName name="MSTR.7A0F0D1F49BFAEDBBBD917A296B79D22.4">#REF!</definedName>
    <definedName name="MSTR.7A0F0D1F49BFAEDBBBD917A296B79D22.40">#REF!</definedName>
    <definedName name="MSTR.7A0F0D1F49BFAEDBBBD917A296B79D22.41">#REF!</definedName>
    <definedName name="MSTR.7A0F0D1F49BFAEDBBBD917A296B79D22.5">#REF!</definedName>
    <definedName name="MSTR.7A0F0D1F49BFAEDBBBD917A296B79D22.6">#REF!</definedName>
    <definedName name="MSTR.7A0F0D1F49BFAEDBBBD917A296B79D22.7">#REF!</definedName>
    <definedName name="MSTR.7A0F0D1F49BFAEDBBBD917A296B79D22.8">#REF!</definedName>
    <definedName name="MSTR.7A0F0D1F49BFAEDBBBD917A296B79D22.9">#REF!</definedName>
    <definedName name="MSTR.82081BD04F3B31D938A895B1E6EF601C">#REF!</definedName>
    <definedName name="MSTR.82081BD04F3B31D938A895B1E6EF601C.1">#REF!</definedName>
    <definedName name="MSTR.82081BD04F3B31D938A895B1E6EF601C.10">#REF!</definedName>
    <definedName name="MSTR.82081BD04F3B31D938A895B1E6EF601C.11">#REF!</definedName>
    <definedName name="MSTR.82081BD04F3B31D938A895B1E6EF601C.12">#REF!</definedName>
    <definedName name="MSTR.82081BD04F3B31D938A895B1E6EF601C.13">#REF!</definedName>
    <definedName name="MSTR.82081BD04F3B31D938A895B1E6EF601C.14">#REF!</definedName>
    <definedName name="MSTR.82081BD04F3B31D938A895B1E6EF601C.15">#REF!</definedName>
    <definedName name="MSTR.82081BD04F3B31D938A895B1E6EF601C.16">#REF!</definedName>
    <definedName name="MSTR.82081BD04F3B31D938A895B1E6EF601C.17">#REF!</definedName>
    <definedName name="MSTR.82081BD04F3B31D938A895B1E6EF601C.18">#REF!</definedName>
    <definedName name="MSTR.82081BD04F3B31D938A895B1E6EF601C.19">#REF!</definedName>
    <definedName name="MSTR.82081BD04F3B31D938A895B1E6EF601C.2">#REF!</definedName>
    <definedName name="MSTR.82081BD04F3B31D938A895B1E6EF601C.20">#REF!</definedName>
    <definedName name="MSTR.82081BD04F3B31D938A895B1E6EF601C.21">#REF!</definedName>
    <definedName name="MSTR.82081BD04F3B31D938A895B1E6EF601C.22">#REF!</definedName>
    <definedName name="MSTR.82081BD04F3B31D938A895B1E6EF601C.23">#REF!</definedName>
    <definedName name="MSTR.82081BD04F3B31D938A895B1E6EF601C.24">#REF!</definedName>
    <definedName name="MSTR.82081BD04F3B31D938A895B1E6EF601C.25">#REF!</definedName>
    <definedName name="MSTR.82081BD04F3B31D938A895B1E6EF601C.26">#REF!</definedName>
    <definedName name="MSTR.82081BD04F3B31D938A895B1E6EF601C.27">#REF!</definedName>
    <definedName name="MSTR.82081BD04F3B31D938A895B1E6EF601C.28">#REF!</definedName>
    <definedName name="MSTR.82081BD04F3B31D938A895B1E6EF601C.29">#REF!</definedName>
    <definedName name="MSTR.82081BD04F3B31D938A895B1E6EF601C.3">#REF!</definedName>
    <definedName name="MSTR.82081BD04F3B31D938A895B1E6EF601C.30">#REF!</definedName>
    <definedName name="MSTR.82081BD04F3B31D938A895B1E6EF601C.31">#REF!</definedName>
    <definedName name="MSTR.82081BD04F3B31D938A895B1E6EF601C.32">#REF!</definedName>
    <definedName name="MSTR.82081BD04F3B31D938A895B1E6EF601C.33">#REF!</definedName>
    <definedName name="MSTR.82081BD04F3B31D938A895B1E6EF601C.34">#REF!</definedName>
    <definedName name="MSTR.82081BD04F3B31D938A895B1E6EF601C.35">#REF!</definedName>
    <definedName name="MSTR.82081BD04F3B31D938A895B1E6EF601C.36">#REF!</definedName>
    <definedName name="MSTR.82081BD04F3B31D938A895B1E6EF601C.37">#REF!</definedName>
    <definedName name="MSTR.82081BD04F3B31D938A895B1E6EF601C.38">#REF!</definedName>
    <definedName name="MSTR.82081BD04F3B31D938A895B1E6EF601C.39">#REF!</definedName>
    <definedName name="MSTR.82081BD04F3B31D938A895B1E6EF601C.4">#REF!</definedName>
    <definedName name="MSTR.82081BD04F3B31D938A895B1E6EF601C.40">#REF!</definedName>
    <definedName name="MSTR.82081BD04F3B31D938A895B1E6EF601C.41">#REF!</definedName>
    <definedName name="MSTR.82081BD04F3B31D938A895B1E6EF601C.42">#REF!</definedName>
    <definedName name="MSTR.82081BD04F3B31D938A895B1E6EF601C.43">#REF!</definedName>
    <definedName name="MSTR.82081BD04F3B31D938A895B1E6EF601C.44">#REF!</definedName>
    <definedName name="MSTR.82081BD04F3B31D938A895B1E6EF601C.45">#REF!</definedName>
    <definedName name="MSTR.82081BD04F3B31D938A895B1E6EF601C.46">#REF!</definedName>
    <definedName name="MSTR.82081BD04F3B31D938A895B1E6EF601C.47">#REF!</definedName>
    <definedName name="MSTR.82081BD04F3B31D938A895B1E6EF601C.48">#REF!</definedName>
    <definedName name="MSTR.82081BD04F3B31D938A895B1E6EF601C.49">#REF!</definedName>
    <definedName name="MSTR.82081BD04F3B31D938A895B1E6EF601C.5">#REF!</definedName>
    <definedName name="MSTR.82081BD04F3B31D938A895B1E6EF601C.50">#REF!</definedName>
    <definedName name="MSTR.82081BD04F3B31D938A895B1E6EF601C.51">#REF!</definedName>
    <definedName name="MSTR.82081BD04F3B31D938A895B1E6EF601C.52">#REF!</definedName>
    <definedName name="MSTR.82081BD04F3B31D938A895B1E6EF601C.53">#REF!</definedName>
    <definedName name="MSTR.82081BD04F3B31D938A895B1E6EF601C.6">#REF!</definedName>
    <definedName name="MSTR.82081BD04F3B31D938A895B1E6EF601C.7">#REF!</definedName>
    <definedName name="MSTR.82081BD04F3B31D938A895B1E6EF601C.8">#REF!</definedName>
    <definedName name="MSTR.82081BD04F3B31D938A895B1E6EF601C.9">#REF!</definedName>
    <definedName name="MSTR.8569D7D14AB8E0A89493D09B0B04C562">#REF!</definedName>
    <definedName name="MSTR.8569D7D14AB8E0A89493D09B0B04C562.1">#REF!</definedName>
    <definedName name="MSTR.8569D7D14AB8E0A89493D09B0B04C562.10">#REF!</definedName>
    <definedName name="MSTR.8569D7D14AB8E0A89493D09B0B04C562.100">#REF!</definedName>
    <definedName name="MSTR.8569D7D14AB8E0A89493D09B0B04C562.101">#REF!</definedName>
    <definedName name="MSTR.8569D7D14AB8E0A89493D09B0B04C562.102">#REF!</definedName>
    <definedName name="MSTR.8569D7D14AB8E0A89493D09B0B04C562.103">#REF!</definedName>
    <definedName name="MSTR.8569D7D14AB8E0A89493D09B0B04C562.104">#REF!</definedName>
    <definedName name="MSTR.8569D7D14AB8E0A89493D09B0B04C562.105">#REF!</definedName>
    <definedName name="MSTR.8569D7D14AB8E0A89493D09B0B04C562.106">#REF!</definedName>
    <definedName name="MSTR.8569D7D14AB8E0A89493D09B0B04C562.107">#REF!</definedName>
    <definedName name="MSTR.8569D7D14AB8E0A89493D09B0B04C562.108">#REF!</definedName>
    <definedName name="MSTR.8569D7D14AB8E0A89493D09B0B04C562.109">#REF!</definedName>
    <definedName name="MSTR.8569D7D14AB8E0A89493D09B0B04C562.11">#REF!</definedName>
    <definedName name="MSTR.8569D7D14AB8E0A89493D09B0B04C562.110">#REF!</definedName>
    <definedName name="MSTR.8569D7D14AB8E0A89493D09B0B04C562.111">#REF!</definedName>
    <definedName name="MSTR.8569D7D14AB8E0A89493D09B0B04C562.112">#REF!</definedName>
    <definedName name="MSTR.8569D7D14AB8E0A89493D09B0B04C562.113">#REF!</definedName>
    <definedName name="MSTR.8569D7D14AB8E0A89493D09B0B04C562.114">#REF!</definedName>
    <definedName name="MSTR.8569D7D14AB8E0A89493D09B0B04C562.115">#REF!</definedName>
    <definedName name="MSTR.8569D7D14AB8E0A89493D09B0B04C562.116">#REF!</definedName>
    <definedName name="MSTR.8569D7D14AB8E0A89493D09B0B04C562.117">#REF!</definedName>
    <definedName name="MSTR.8569D7D14AB8E0A89493D09B0B04C562.118">#REF!</definedName>
    <definedName name="MSTR.8569D7D14AB8E0A89493D09B0B04C562.119">#REF!</definedName>
    <definedName name="MSTR.8569D7D14AB8E0A89493D09B0B04C562.12">#REF!</definedName>
    <definedName name="MSTR.8569D7D14AB8E0A89493D09B0B04C562.120">#REF!</definedName>
    <definedName name="MSTR.8569D7D14AB8E0A89493D09B0B04C562.121">#REF!</definedName>
    <definedName name="MSTR.8569D7D14AB8E0A89493D09B0B04C562.122">#REF!</definedName>
    <definedName name="MSTR.8569D7D14AB8E0A89493D09B0B04C562.123">#REF!</definedName>
    <definedName name="MSTR.8569D7D14AB8E0A89493D09B0B04C562.124">#REF!</definedName>
    <definedName name="MSTR.8569D7D14AB8E0A89493D09B0B04C562.125">#REF!</definedName>
    <definedName name="MSTR.8569D7D14AB8E0A89493D09B0B04C562.126">#REF!</definedName>
    <definedName name="MSTR.8569D7D14AB8E0A89493D09B0B04C562.127">#REF!</definedName>
    <definedName name="MSTR.8569D7D14AB8E0A89493D09B0B04C562.128">#REF!</definedName>
    <definedName name="MSTR.8569D7D14AB8E0A89493D09B0B04C562.129">#REF!</definedName>
    <definedName name="MSTR.8569D7D14AB8E0A89493D09B0B04C562.13">#REF!</definedName>
    <definedName name="MSTR.8569D7D14AB8E0A89493D09B0B04C562.130">#REF!</definedName>
    <definedName name="MSTR.8569D7D14AB8E0A89493D09B0B04C562.131">#REF!</definedName>
    <definedName name="MSTR.8569D7D14AB8E0A89493D09B0B04C562.132">#REF!</definedName>
    <definedName name="MSTR.8569D7D14AB8E0A89493D09B0B04C562.133">#REF!</definedName>
    <definedName name="MSTR.8569D7D14AB8E0A89493D09B0B04C562.134">#REF!</definedName>
    <definedName name="MSTR.8569D7D14AB8E0A89493D09B0B04C562.135">#REF!</definedName>
    <definedName name="MSTR.8569D7D14AB8E0A89493D09B0B04C562.136">#REF!</definedName>
    <definedName name="MSTR.8569D7D14AB8E0A89493D09B0B04C562.137">#REF!</definedName>
    <definedName name="MSTR.8569D7D14AB8E0A89493D09B0B04C562.138">#REF!</definedName>
    <definedName name="MSTR.8569D7D14AB8E0A89493D09B0B04C562.139">#REF!</definedName>
    <definedName name="MSTR.8569D7D14AB8E0A89493D09B0B04C562.14">#REF!</definedName>
    <definedName name="MSTR.8569D7D14AB8E0A89493D09B0B04C562.140">#REF!</definedName>
    <definedName name="MSTR.8569D7D14AB8E0A89493D09B0B04C562.141">#REF!</definedName>
    <definedName name="MSTR.8569D7D14AB8E0A89493D09B0B04C562.142">#REF!</definedName>
    <definedName name="MSTR.8569D7D14AB8E0A89493D09B0B04C562.143">#REF!</definedName>
    <definedName name="MSTR.8569D7D14AB8E0A89493D09B0B04C562.144">#REF!</definedName>
    <definedName name="MSTR.8569D7D14AB8E0A89493D09B0B04C562.145">#REF!</definedName>
    <definedName name="MSTR.8569D7D14AB8E0A89493D09B0B04C562.146">#REF!</definedName>
    <definedName name="MSTR.8569D7D14AB8E0A89493D09B0B04C562.147">#REF!</definedName>
    <definedName name="MSTR.8569D7D14AB8E0A89493D09B0B04C562.148">#REF!</definedName>
    <definedName name="MSTR.8569D7D14AB8E0A89493D09B0B04C562.149">#REF!</definedName>
    <definedName name="MSTR.8569D7D14AB8E0A89493D09B0B04C562.15">#REF!</definedName>
    <definedName name="MSTR.8569D7D14AB8E0A89493D09B0B04C562.150">#REF!</definedName>
    <definedName name="MSTR.8569D7D14AB8E0A89493D09B0B04C562.151">#REF!</definedName>
    <definedName name="MSTR.8569D7D14AB8E0A89493D09B0B04C562.152">#REF!</definedName>
    <definedName name="MSTR.8569D7D14AB8E0A89493D09B0B04C562.153">#REF!</definedName>
    <definedName name="MSTR.8569D7D14AB8E0A89493D09B0B04C562.154">#REF!</definedName>
    <definedName name="MSTR.8569D7D14AB8E0A89493D09B0B04C562.155">#REF!</definedName>
    <definedName name="MSTR.8569D7D14AB8E0A89493D09B0B04C562.156">#REF!</definedName>
    <definedName name="MSTR.8569D7D14AB8E0A89493D09B0B04C562.157">#REF!</definedName>
    <definedName name="MSTR.8569D7D14AB8E0A89493D09B0B04C562.158">#REF!</definedName>
    <definedName name="MSTR.8569D7D14AB8E0A89493D09B0B04C562.159">#REF!</definedName>
    <definedName name="MSTR.8569D7D14AB8E0A89493D09B0B04C562.16">#REF!</definedName>
    <definedName name="MSTR.8569D7D14AB8E0A89493D09B0B04C562.160">#REF!</definedName>
    <definedName name="MSTR.8569D7D14AB8E0A89493D09B0B04C562.161">#REF!</definedName>
    <definedName name="MSTR.8569D7D14AB8E0A89493D09B0B04C562.162">#REF!</definedName>
    <definedName name="MSTR.8569D7D14AB8E0A89493D09B0B04C562.163">#REF!</definedName>
    <definedName name="MSTR.8569D7D14AB8E0A89493D09B0B04C562.164">#REF!</definedName>
    <definedName name="MSTR.8569D7D14AB8E0A89493D09B0B04C562.165">#REF!</definedName>
    <definedName name="MSTR.8569D7D14AB8E0A89493D09B0B04C562.166">#REF!</definedName>
    <definedName name="MSTR.8569D7D14AB8E0A89493D09B0B04C562.167">#REF!</definedName>
    <definedName name="MSTR.8569D7D14AB8E0A89493D09B0B04C562.168">#REF!</definedName>
    <definedName name="MSTR.8569D7D14AB8E0A89493D09B0B04C562.169">#REF!</definedName>
    <definedName name="MSTR.8569D7D14AB8E0A89493D09B0B04C562.17">#REF!</definedName>
    <definedName name="MSTR.8569D7D14AB8E0A89493D09B0B04C562.170">#REF!</definedName>
    <definedName name="MSTR.8569D7D14AB8E0A89493D09B0B04C562.171">#REF!</definedName>
    <definedName name="MSTR.8569D7D14AB8E0A89493D09B0B04C562.172">#REF!</definedName>
    <definedName name="MSTR.8569D7D14AB8E0A89493D09B0B04C562.173">#REF!</definedName>
    <definedName name="MSTR.8569D7D14AB8E0A89493D09B0B04C562.174">#REF!</definedName>
    <definedName name="MSTR.8569D7D14AB8E0A89493D09B0B04C562.175">#REF!</definedName>
    <definedName name="MSTR.8569D7D14AB8E0A89493D09B0B04C562.176">#REF!</definedName>
    <definedName name="MSTR.8569D7D14AB8E0A89493D09B0B04C562.177">#REF!</definedName>
    <definedName name="MSTR.8569D7D14AB8E0A89493D09B0B04C562.178">#REF!</definedName>
    <definedName name="MSTR.8569D7D14AB8E0A89493D09B0B04C562.179">#REF!</definedName>
    <definedName name="MSTR.8569D7D14AB8E0A89493D09B0B04C562.18">#REF!</definedName>
    <definedName name="MSTR.8569D7D14AB8E0A89493D09B0B04C562.180">#REF!</definedName>
    <definedName name="MSTR.8569D7D14AB8E0A89493D09B0B04C562.181">#REF!</definedName>
    <definedName name="MSTR.8569D7D14AB8E0A89493D09B0B04C562.182">#REF!</definedName>
    <definedName name="MSTR.8569D7D14AB8E0A89493D09B0B04C562.183">#REF!</definedName>
    <definedName name="MSTR.8569D7D14AB8E0A89493D09B0B04C562.184">#REF!</definedName>
    <definedName name="MSTR.8569D7D14AB8E0A89493D09B0B04C562.185">#REF!</definedName>
    <definedName name="MSTR.8569D7D14AB8E0A89493D09B0B04C562.186">#REF!</definedName>
    <definedName name="MSTR.8569D7D14AB8E0A89493D09B0B04C562.187">#REF!</definedName>
    <definedName name="MSTR.8569D7D14AB8E0A89493D09B0B04C562.188">#REF!</definedName>
    <definedName name="MSTR.8569D7D14AB8E0A89493D09B0B04C562.189">#REF!</definedName>
    <definedName name="MSTR.8569D7D14AB8E0A89493D09B0B04C562.19">#REF!</definedName>
    <definedName name="MSTR.8569D7D14AB8E0A89493D09B0B04C562.190">#REF!</definedName>
    <definedName name="MSTR.8569D7D14AB8E0A89493D09B0B04C562.191">#REF!</definedName>
    <definedName name="MSTR.8569D7D14AB8E0A89493D09B0B04C562.192">#REF!</definedName>
    <definedName name="MSTR.8569D7D14AB8E0A89493D09B0B04C562.193">#REF!</definedName>
    <definedName name="MSTR.8569D7D14AB8E0A89493D09B0B04C562.194">#REF!</definedName>
    <definedName name="MSTR.8569D7D14AB8E0A89493D09B0B04C562.195">#REF!</definedName>
    <definedName name="MSTR.8569D7D14AB8E0A89493D09B0B04C562.196">#REF!</definedName>
    <definedName name="MSTR.8569D7D14AB8E0A89493D09B0B04C562.197">#REF!</definedName>
    <definedName name="MSTR.8569D7D14AB8E0A89493D09B0B04C562.198">#REF!</definedName>
    <definedName name="MSTR.8569D7D14AB8E0A89493D09B0B04C562.199">#REF!</definedName>
    <definedName name="MSTR.8569D7D14AB8E0A89493D09B0B04C562.2">#REF!</definedName>
    <definedName name="MSTR.8569D7D14AB8E0A89493D09B0B04C562.20">#REF!</definedName>
    <definedName name="MSTR.8569D7D14AB8E0A89493D09B0B04C562.200">#REF!</definedName>
    <definedName name="MSTR.8569D7D14AB8E0A89493D09B0B04C562.201">#REF!</definedName>
    <definedName name="MSTR.8569D7D14AB8E0A89493D09B0B04C562.202">#REF!</definedName>
    <definedName name="MSTR.8569D7D14AB8E0A89493D09B0B04C562.203">#REF!</definedName>
    <definedName name="MSTR.8569D7D14AB8E0A89493D09B0B04C562.204">#REF!</definedName>
    <definedName name="MSTR.8569D7D14AB8E0A89493D09B0B04C562.205">#REF!</definedName>
    <definedName name="MSTR.8569D7D14AB8E0A89493D09B0B04C562.206">#REF!</definedName>
    <definedName name="MSTR.8569D7D14AB8E0A89493D09B0B04C562.207">#REF!</definedName>
    <definedName name="MSTR.8569D7D14AB8E0A89493D09B0B04C562.208">#REF!</definedName>
    <definedName name="MSTR.8569D7D14AB8E0A89493D09B0B04C562.209">#REF!</definedName>
    <definedName name="MSTR.8569D7D14AB8E0A89493D09B0B04C562.21">#REF!</definedName>
    <definedName name="MSTR.8569D7D14AB8E0A89493D09B0B04C562.210">#REF!</definedName>
    <definedName name="MSTR.8569D7D14AB8E0A89493D09B0B04C562.211">#REF!</definedName>
    <definedName name="MSTR.8569D7D14AB8E0A89493D09B0B04C562.212">#REF!</definedName>
    <definedName name="MSTR.8569D7D14AB8E0A89493D09B0B04C562.213">#REF!</definedName>
    <definedName name="MSTR.8569D7D14AB8E0A89493D09B0B04C562.214">#REF!</definedName>
    <definedName name="MSTR.8569D7D14AB8E0A89493D09B0B04C562.215">#REF!</definedName>
    <definedName name="MSTR.8569D7D14AB8E0A89493D09B0B04C562.216">#REF!</definedName>
    <definedName name="MSTR.8569D7D14AB8E0A89493D09B0B04C562.217">#REF!</definedName>
    <definedName name="MSTR.8569D7D14AB8E0A89493D09B0B04C562.218">#REF!</definedName>
    <definedName name="MSTR.8569D7D14AB8E0A89493D09B0B04C562.219">#REF!</definedName>
    <definedName name="MSTR.8569D7D14AB8E0A89493D09B0B04C562.22">#REF!</definedName>
    <definedName name="MSTR.8569D7D14AB8E0A89493D09B0B04C562.220">#REF!</definedName>
    <definedName name="MSTR.8569D7D14AB8E0A89493D09B0B04C562.221">#REF!</definedName>
    <definedName name="MSTR.8569D7D14AB8E0A89493D09B0B04C562.222">#REF!</definedName>
    <definedName name="MSTR.8569D7D14AB8E0A89493D09B0B04C562.223">#REF!</definedName>
    <definedName name="MSTR.8569D7D14AB8E0A89493D09B0B04C562.224">#REF!</definedName>
    <definedName name="MSTR.8569D7D14AB8E0A89493D09B0B04C562.225">#REF!</definedName>
    <definedName name="MSTR.8569D7D14AB8E0A89493D09B0B04C562.226">#REF!</definedName>
    <definedName name="MSTR.8569D7D14AB8E0A89493D09B0B04C562.227">#REF!</definedName>
    <definedName name="MSTR.8569D7D14AB8E0A89493D09B0B04C562.228">#REF!</definedName>
    <definedName name="MSTR.8569D7D14AB8E0A89493D09B0B04C562.229">#REF!</definedName>
    <definedName name="MSTR.8569D7D14AB8E0A89493D09B0B04C562.23">#REF!</definedName>
    <definedName name="MSTR.8569D7D14AB8E0A89493D09B0B04C562.230">#REF!</definedName>
    <definedName name="MSTR.8569D7D14AB8E0A89493D09B0B04C562.231">#REF!</definedName>
    <definedName name="MSTR.8569D7D14AB8E0A89493D09B0B04C562.232">#REF!</definedName>
    <definedName name="MSTR.8569D7D14AB8E0A89493D09B0B04C562.233">#REF!</definedName>
    <definedName name="MSTR.8569D7D14AB8E0A89493D09B0B04C562.234">#REF!</definedName>
    <definedName name="MSTR.8569D7D14AB8E0A89493D09B0B04C562.235">#REF!</definedName>
    <definedName name="MSTR.8569D7D14AB8E0A89493D09B0B04C562.236">#REF!</definedName>
    <definedName name="MSTR.8569D7D14AB8E0A89493D09B0B04C562.237">#REF!</definedName>
    <definedName name="MSTR.8569D7D14AB8E0A89493D09B0B04C562.238">#REF!</definedName>
    <definedName name="MSTR.8569D7D14AB8E0A89493D09B0B04C562.239">#REF!</definedName>
    <definedName name="MSTR.8569D7D14AB8E0A89493D09B0B04C562.24">#REF!</definedName>
    <definedName name="MSTR.8569D7D14AB8E0A89493D09B0B04C562.240">#REF!</definedName>
    <definedName name="MSTR.8569D7D14AB8E0A89493D09B0B04C562.241">#REF!</definedName>
    <definedName name="MSTR.8569D7D14AB8E0A89493D09B0B04C562.242">#REF!</definedName>
    <definedName name="MSTR.8569D7D14AB8E0A89493D09B0B04C562.243">#REF!</definedName>
    <definedName name="MSTR.8569D7D14AB8E0A89493D09B0B04C562.244">#REF!</definedName>
    <definedName name="MSTR.8569D7D14AB8E0A89493D09B0B04C562.245">#REF!</definedName>
    <definedName name="MSTR.8569D7D14AB8E0A89493D09B0B04C562.246">#REF!</definedName>
    <definedName name="MSTR.8569D7D14AB8E0A89493D09B0B04C562.247">#REF!</definedName>
    <definedName name="MSTR.8569D7D14AB8E0A89493D09B0B04C562.248">#REF!</definedName>
    <definedName name="MSTR.8569D7D14AB8E0A89493D09B0B04C562.249">#REF!</definedName>
    <definedName name="MSTR.8569D7D14AB8E0A89493D09B0B04C562.25">#REF!</definedName>
    <definedName name="MSTR.8569D7D14AB8E0A89493D09B0B04C562.250">#REF!</definedName>
    <definedName name="MSTR.8569D7D14AB8E0A89493D09B0B04C562.251">#REF!</definedName>
    <definedName name="MSTR.8569D7D14AB8E0A89493D09B0B04C562.252">#REF!</definedName>
    <definedName name="MSTR.8569D7D14AB8E0A89493D09B0B04C562.253">#REF!</definedName>
    <definedName name="MSTR.8569D7D14AB8E0A89493D09B0B04C562.254">#REF!</definedName>
    <definedName name="MSTR.8569D7D14AB8E0A89493D09B0B04C562.255">#REF!</definedName>
    <definedName name="MSTR.8569D7D14AB8E0A89493D09B0B04C562.256">#REF!</definedName>
    <definedName name="MSTR.8569D7D14AB8E0A89493D09B0B04C562.257">#REF!</definedName>
    <definedName name="MSTR.8569D7D14AB8E0A89493D09B0B04C562.258">#REF!</definedName>
    <definedName name="MSTR.8569D7D14AB8E0A89493D09B0B04C562.259">#REF!</definedName>
    <definedName name="MSTR.8569D7D14AB8E0A89493D09B0B04C562.26">#REF!</definedName>
    <definedName name="MSTR.8569D7D14AB8E0A89493D09B0B04C562.260">#REF!</definedName>
    <definedName name="MSTR.8569D7D14AB8E0A89493D09B0B04C562.261">#REF!</definedName>
    <definedName name="MSTR.8569D7D14AB8E0A89493D09B0B04C562.262">#REF!</definedName>
    <definedName name="MSTR.8569D7D14AB8E0A89493D09B0B04C562.263">#REF!</definedName>
    <definedName name="MSTR.8569D7D14AB8E0A89493D09B0B04C562.264">#REF!</definedName>
    <definedName name="MSTR.8569D7D14AB8E0A89493D09B0B04C562.265">#REF!</definedName>
    <definedName name="MSTR.8569D7D14AB8E0A89493D09B0B04C562.266">#REF!</definedName>
    <definedName name="MSTR.8569D7D14AB8E0A89493D09B0B04C562.267">#REF!</definedName>
    <definedName name="MSTR.8569D7D14AB8E0A89493D09B0B04C562.268">#REF!</definedName>
    <definedName name="MSTR.8569D7D14AB8E0A89493D09B0B04C562.269">#REF!</definedName>
    <definedName name="MSTR.8569D7D14AB8E0A89493D09B0B04C562.27">#REF!</definedName>
    <definedName name="MSTR.8569D7D14AB8E0A89493D09B0B04C562.270">#REF!</definedName>
    <definedName name="MSTR.8569D7D14AB8E0A89493D09B0B04C562.271">#REF!</definedName>
    <definedName name="MSTR.8569D7D14AB8E0A89493D09B0B04C562.272">#REF!</definedName>
    <definedName name="MSTR.8569D7D14AB8E0A89493D09B0B04C562.273">#REF!</definedName>
    <definedName name="MSTR.8569D7D14AB8E0A89493D09B0B04C562.274">#REF!</definedName>
    <definedName name="MSTR.8569D7D14AB8E0A89493D09B0B04C562.275">#REF!</definedName>
    <definedName name="MSTR.8569D7D14AB8E0A89493D09B0B04C562.276">#REF!</definedName>
    <definedName name="MSTR.8569D7D14AB8E0A89493D09B0B04C562.277">#REF!</definedName>
    <definedName name="MSTR.8569D7D14AB8E0A89493D09B0B04C562.278">#REF!</definedName>
    <definedName name="MSTR.8569D7D14AB8E0A89493D09B0B04C562.279">#REF!</definedName>
    <definedName name="MSTR.8569D7D14AB8E0A89493D09B0B04C562.28">#REF!</definedName>
    <definedName name="MSTR.8569D7D14AB8E0A89493D09B0B04C562.280">#REF!</definedName>
    <definedName name="MSTR.8569D7D14AB8E0A89493D09B0B04C562.281">#REF!</definedName>
    <definedName name="MSTR.8569D7D14AB8E0A89493D09B0B04C562.282">#REF!</definedName>
    <definedName name="MSTR.8569D7D14AB8E0A89493D09B0B04C562.283">#REF!</definedName>
    <definedName name="MSTR.8569D7D14AB8E0A89493D09B0B04C562.284">#REF!</definedName>
    <definedName name="MSTR.8569D7D14AB8E0A89493D09B0B04C562.285">#REF!</definedName>
    <definedName name="MSTR.8569D7D14AB8E0A89493D09B0B04C562.286">#REF!</definedName>
    <definedName name="MSTR.8569D7D14AB8E0A89493D09B0B04C562.287">#REF!</definedName>
    <definedName name="MSTR.8569D7D14AB8E0A89493D09B0B04C562.288">#REF!</definedName>
    <definedName name="MSTR.8569D7D14AB8E0A89493D09B0B04C562.289">#REF!</definedName>
    <definedName name="MSTR.8569D7D14AB8E0A89493D09B0B04C562.29">#REF!</definedName>
    <definedName name="MSTR.8569D7D14AB8E0A89493D09B0B04C562.290">#REF!</definedName>
    <definedName name="MSTR.8569D7D14AB8E0A89493D09B0B04C562.291">#REF!</definedName>
    <definedName name="MSTR.8569D7D14AB8E0A89493D09B0B04C562.292">#REF!</definedName>
    <definedName name="MSTR.8569D7D14AB8E0A89493D09B0B04C562.293">#REF!</definedName>
    <definedName name="MSTR.8569D7D14AB8E0A89493D09B0B04C562.294">#REF!</definedName>
    <definedName name="MSTR.8569D7D14AB8E0A89493D09B0B04C562.295">#REF!</definedName>
    <definedName name="MSTR.8569D7D14AB8E0A89493D09B0B04C562.296">#REF!</definedName>
    <definedName name="MSTR.8569D7D14AB8E0A89493D09B0B04C562.297">#REF!</definedName>
    <definedName name="MSTR.8569D7D14AB8E0A89493D09B0B04C562.298">#REF!</definedName>
    <definedName name="MSTR.8569D7D14AB8E0A89493D09B0B04C562.299">#REF!</definedName>
    <definedName name="MSTR.8569D7D14AB8E0A89493D09B0B04C562.3">#REF!</definedName>
    <definedName name="MSTR.8569D7D14AB8E0A89493D09B0B04C562.30">#REF!</definedName>
    <definedName name="MSTR.8569D7D14AB8E0A89493D09B0B04C562.300">#REF!</definedName>
    <definedName name="MSTR.8569D7D14AB8E0A89493D09B0B04C562.301">#REF!</definedName>
    <definedName name="MSTR.8569D7D14AB8E0A89493D09B0B04C562.302">#REF!</definedName>
    <definedName name="MSTR.8569D7D14AB8E0A89493D09B0B04C562.303">#REF!</definedName>
    <definedName name="MSTR.8569D7D14AB8E0A89493D09B0B04C562.304">#REF!</definedName>
    <definedName name="MSTR.8569D7D14AB8E0A89493D09B0B04C562.305">#REF!</definedName>
    <definedName name="MSTR.8569D7D14AB8E0A89493D09B0B04C562.306">#REF!</definedName>
    <definedName name="MSTR.8569D7D14AB8E0A89493D09B0B04C562.307">#REF!</definedName>
    <definedName name="MSTR.8569D7D14AB8E0A89493D09B0B04C562.308">#REF!</definedName>
    <definedName name="MSTR.8569D7D14AB8E0A89493D09B0B04C562.309">#REF!</definedName>
    <definedName name="MSTR.8569D7D14AB8E0A89493D09B0B04C562.31">#REF!</definedName>
    <definedName name="MSTR.8569D7D14AB8E0A89493D09B0B04C562.310">#REF!</definedName>
    <definedName name="MSTR.8569D7D14AB8E0A89493D09B0B04C562.311">#REF!</definedName>
    <definedName name="MSTR.8569D7D14AB8E0A89493D09B0B04C562.312">#REF!</definedName>
    <definedName name="MSTR.8569D7D14AB8E0A89493D09B0B04C562.313">#REF!</definedName>
    <definedName name="MSTR.8569D7D14AB8E0A89493D09B0B04C562.314">#REF!</definedName>
    <definedName name="MSTR.8569D7D14AB8E0A89493D09B0B04C562.315">#REF!</definedName>
    <definedName name="MSTR.8569D7D14AB8E0A89493D09B0B04C562.316">#REF!</definedName>
    <definedName name="MSTR.8569D7D14AB8E0A89493D09B0B04C562.317">#REF!</definedName>
    <definedName name="MSTR.8569D7D14AB8E0A89493D09B0B04C562.318">#REF!</definedName>
    <definedName name="MSTR.8569D7D14AB8E0A89493D09B0B04C562.319">#REF!</definedName>
    <definedName name="MSTR.8569D7D14AB8E0A89493D09B0B04C562.32">#REF!</definedName>
    <definedName name="MSTR.8569D7D14AB8E0A89493D09B0B04C562.320">#REF!</definedName>
    <definedName name="MSTR.8569D7D14AB8E0A89493D09B0B04C562.321">#REF!</definedName>
    <definedName name="MSTR.8569D7D14AB8E0A89493D09B0B04C562.322">#REF!</definedName>
    <definedName name="MSTR.8569D7D14AB8E0A89493D09B0B04C562.323">#REF!</definedName>
    <definedName name="MSTR.8569D7D14AB8E0A89493D09B0B04C562.324">#REF!</definedName>
    <definedName name="MSTR.8569D7D14AB8E0A89493D09B0B04C562.325">#REF!</definedName>
    <definedName name="MSTR.8569D7D14AB8E0A89493D09B0B04C562.326">#REF!</definedName>
    <definedName name="MSTR.8569D7D14AB8E0A89493D09B0B04C562.327">#REF!</definedName>
    <definedName name="MSTR.8569D7D14AB8E0A89493D09B0B04C562.328">#REF!</definedName>
    <definedName name="MSTR.8569D7D14AB8E0A89493D09B0B04C562.329">#REF!</definedName>
    <definedName name="MSTR.8569D7D14AB8E0A89493D09B0B04C562.33">#REF!</definedName>
    <definedName name="MSTR.8569D7D14AB8E0A89493D09B0B04C562.330">#REF!</definedName>
    <definedName name="MSTR.8569D7D14AB8E0A89493D09B0B04C562.331">#REF!</definedName>
    <definedName name="MSTR.8569D7D14AB8E0A89493D09B0B04C562.332">#REF!</definedName>
    <definedName name="MSTR.8569D7D14AB8E0A89493D09B0B04C562.333">#REF!</definedName>
    <definedName name="MSTR.8569D7D14AB8E0A89493D09B0B04C562.334">#REF!</definedName>
    <definedName name="MSTR.8569D7D14AB8E0A89493D09B0B04C562.335">#REF!</definedName>
    <definedName name="MSTR.8569D7D14AB8E0A89493D09B0B04C562.336">#REF!</definedName>
    <definedName name="MSTR.8569D7D14AB8E0A89493D09B0B04C562.337">#REF!</definedName>
    <definedName name="MSTR.8569D7D14AB8E0A89493D09B0B04C562.338">#REF!</definedName>
    <definedName name="MSTR.8569D7D14AB8E0A89493D09B0B04C562.339">#REF!</definedName>
    <definedName name="MSTR.8569D7D14AB8E0A89493D09B0B04C562.34">#REF!</definedName>
    <definedName name="MSTR.8569D7D14AB8E0A89493D09B0B04C562.340">#REF!</definedName>
    <definedName name="MSTR.8569D7D14AB8E0A89493D09B0B04C562.341">#REF!</definedName>
    <definedName name="MSTR.8569D7D14AB8E0A89493D09B0B04C562.342">#REF!</definedName>
    <definedName name="MSTR.8569D7D14AB8E0A89493D09B0B04C562.343">#REF!</definedName>
    <definedName name="MSTR.8569D7D14AB8E0A89493D09B0B04C562.344">#REF!</definedName>
    <definedName name="MSTR.8569D7D14AB8E0A89493D09B0B04C562.345">#REF!</definedName>
    <definedName name="MSTR.8569D7D14AB8E0A89493D09B0B04C562.346">#REF!</definedName>
    <definedName name="MSTR.8569D7D14AB8E0A89493D09B0B04C562.347">#REF!</definedName>
    <definedName name="MSTR.8569D7D14AB8E0A89493D09B0B04C562.348">#REF!</definedName>
    <definedName name="MSTR.8569D7D14AB8E0A89493D09B0B04C562.349">#REF!</definedName>
    <definedName name="MSTR.8569D7D14AB8E0A89493D09B0B04C562.35">#REF!</definedName>
    <definedName name="MSTR.8569D7D14AB8E0A89493D09B0B04C562.350">#REF!</definedName>
    <definedName name="MSTR.8569D7D14AB8E0A89493D09B0B04C562.351">#REF!</definedName>
    <definedName name="MSTR.8569D7D14AB8E0A89493D09B0B04C562.352">#REF!</definedName>
    <definedName name="MSTR.8569D7D14AB8E0A89493D09B0B04C562.353">#REF!</definedName>
    <definedName name="MSTR.8569D7D14AB8E0A89493D09B0B04C562.354">#REF!</definedName>
    <definedName name="MSTR.8569D7D14AB8E0A89493D09B0B04C562.355">#REF!</definedName>
    <definedName name="MSTR.8569D7D14AB8E0A89493D09B0B04C562.356">#REF!</definedName>
    <definedName name="MSTR.8569D7D14AB8E0A89493D09B0B04C562.357">#REF!</definedName>
    <definedName name="MSTR.8569D7D14AB8E0A89493D09B0B04C562.358">#REF!</definedName>
    <definedName name="MSTR.8569D7D14AB8E0A89493D09B0B04C562.359">#REF!</definedName>
    <definedName name="MSTR.8569D7D14AB8E0A89493D09B0B04C562.36">#REF!</definedName>
    <definedName name="MSTR.8569D7D14AB8E0A89493D09B0B04C562.360">#REF!</definedName>
    <definedName name="MSTR.8569D7D14AB8E0A89493D09B0B04C562.361">#REF!</definedName>
    <definedName name="MSTR.8569D7D14AB8E0A89493D09B0B04C562.362">#REF!</definedName>
    <definedName name="MSTR.8569D7D14AB8E0A89493D09B0B04C562.363">#REF!</definedName>
    <definedName name="MSTR.8569D7D14AB8E0A89493D09B0B04C562.364">#REF!</definedName>
    <definedName name="MSTR.8569D7D14AB8E0A89493D09B0B04C562.365">#REF!</definedName>
    <definedName name="MSTR.8569D7D14AB8E0A89493D09B0B04C562.366">#REF!</definedName>
    <definedName name="MSTR.8569D7D14AB8E0A89493D09B0B04C562.367">#REF!</definedName>
    <definedName name="MSTR.8569D7D14AB8E0A89493D09B0B04C562.368">#REF!</definedName>
    <definedName name="MSTR.8569D7D14AB8E0A89493D09B0B04C562.369">#REF!</definedName>
    <definedName name="MSTR.8569D7D14AB8E0A89493D09B0B04C562.37">#REF!</definedName>
    <definedName name="MSTR.8569D7D14AB8E0A89493D09B0B04C562.370">#REF!</definedName>
    <definedName name="MSTR.8569D7D14AB8E0A89493D09B0B04C562.371">#REF!</definedName>
    <definedName name="MSTR.8569D7D14AB8E0A89493D09B0B04C562.372">#REF!</definedName>
    <definedName name="MSTR.8569D7D14AB8E0A89493D09B0B04C562.373">#REF!</definedName>
    <definedName name="MSTR.8569D7D14AB8E0A89493D09B0B04C562.374">#REF!</definedName>
    <definedName name="MSTR.8569D7D14AB8E0A89493D09B0B04C562.375">#REF!</definedName>
    <definedName name="MSTR.8569D7D14AB8E0A89493D09B0B04C562.376">#REF!</definedName>
    <definedName name="MSTR.8569D7D14AB8E0A89493D09B0B04C562.377">#REF!</definedName>
    <definedName name="MSTR.8569D7D14AB8E0A89493D09B0B04C562.378">#REF!</definedName>
    <definedName name="MSTR.8569D7D14AB8E0A89493D09B0B04C562.379">#REF!</definedName>
    <definedName name="MSTR.8569D7D14AB8E0A89493D09B0B04C562.38">#REF!</definedName>
    <definedName name="MSTR.8569D7D14AB8E0A89493D09B0B04C562.380">#REF!</definedName>
    <definedName name="MSTR.8569D7D14AB8E0A89493D09B0B04C562.381">#REF!</definedName>
    <definedName name="MSTR.8569D7D14AB8E0A89493D09B0B04C562.382">#REF!</definedName>
    <definedName name="MSTR.8569D7D14AB8E0A89493D09B0B04C562.383">#REF!</definedName>
    <definedName name="MSTR.8569D7D14AB8E0A89493D09B0B04C562.384">#REF!</definedName>
    <definedName name="MSTR.8569D7D14AB8E0A89493D09B0B04C562.385">#REF!</definedName>
    <definedName name="MSTR.8569D7D14AB8E0A89493D09B0B04C562.386">#REF!</definedName>
    <definedName name="MSTR.8569D7D14AB8E0A89493D09B0B04C562.387">#REF!</definedName>
    <definedName name="MSTR.8569D7D14AB8E0A89493D09B0B04C562.388">#REF!</definedName>
    <definedName name="MSTR.8569D7D14AB8E0A89493D09B0B04C562.389">#REF!</definedName>
    <definedName name="MSTR.8569D7D14AB8E0A89493D09B0B04C562.39">#REF!</definedName>
    <definedName name="MSTR.8569D7D14AB8E0A89493D09B0B04C562.390">#REF!</definedName>
    <definedName name="MSTR.8569D7D14AB8E0A89493D09B0B04C562.391">#REF!</definedName>
    <definedName name="MSTR.8569D7D14AB8E0A89493D09B0B04C562.392">#REF!</definedName>
    <definedName name="MSTR.8569D7D14AB8E0A89493D09B0B04C562.393">#REF!</definedName>
    <definedName name="MSTR.8569D7D14AB8E0A89493D09B0B04C562.4">#REF!</definedName>
    <definedName name="MSTR.8569D7D14AB8E0A89493D09B0B04C562.40">#REF!</definedName>
    <definedName name="MSTR.8569D7D14AB8E0A89493D09B0B04C562.41">#REF!</definedName>
    <definedName name="MSTR.8569D7D14AB8E0A89493D09B0B04C562.42">#REF!</definedName>
    <definedName name="MSTR.8569D7D14AB8E0A89493D09B0B04C562.43">#REF!</definedName>
    <definedName name="MSTR.8569D7D14AB8E0A89493D09B0B04C562.44">#REF!</definedName>
    <definedName name="MSTR.8569D7D14AB8E0A89493D09B0B04C562.45">#REF!</definedName>
    <definedName name="MSTR.8569D7D14AB8E0A89493D09B0B04C562.46">#REF!</definedName>
    <definedName name="MSTR.8569D7D14AB8E0A89493D09B0B04C562.47">#REF!</definedName>
    <definedName name="MSTR.8569D7D14AB8E0A89493D09B0B04C562.48">#REF!</definedName>
    <definedName name="MSTR.8569D7D14AB8E0A89493D09B0B04C562.49">#REF!</definedName>
    <definedName name="MSTR.8569D7D14AB8E0A89493D09B0B04C562.5">#REF!</definedName>
    <definedName name="MSTR.8569D7D14AB8E0A89493D09B0B04C562.50">#REF!</definedName>
    <definedName name="MSTR.8569D7D14AB8E0A89493D09B0B04C562.51">#REF!</definedName>
    <definedName name="MSTR.8569D7D14AB8E0A89493D09B0B04C562.52">#REF!</definedName>
    <definedName name="MSTR.8569D7D14AB8E0A89493D09B0B04C562.53">#REF!</definedName>
    <definedName name="MSTR.8569D7D14AB8E0A89493D09B0B04C562.54">#REF!</definedName>
    <definedName name="MSTR.8569D7D14AB8E0A89493D09B0B04C562.55">#REF!</definedName>
    <definedName name="MSTR.8569D7D14AB8E0A89493D09B0B04C562.56">#REF!</definedName>
    <definedName name="MSTR.8569D7D14AB8E0A89493D09B0B04C562.57">#REF!</definedName>
    <definedName name="MSTR.8569D7D14AB8E0A89493D09B0B04C562.58">#REF!</definedName>
    <definedName name="MSTR.8569D7D14AB8E0A89493D09B0B04C562.59">#REF!</definedName>
    <definedName name="MSTR.8569D7D14AB8E0A89493D09B0B04C562.6">#REF!</definedName>
    <definedName name="MSTR.8569D7D14AB8E0A89493D09B0B04C562.60">#REF!</definedName>
    <definedName name="MSTR.8569D7D14AB8E0A89493D09B0B04C562.61">#REF!</definedName>
    <definedName name="MSTR.8569D7D14AB8E0A89493D09B0B04C562.62">#REF!</definedName>
    <definedName name="MSTR.8569D7D14AB8E0A89493D09B0B04C562.63">#REF!</definedName>
    <definedName name="MSTR.8569D7D14AB8E0A89493D09B0B04C562.64">#REF!</definedName>
    <definedName name="MSTR.8569D7D14AB8E0A89493D09B0B04C562.65">#REF!</definedName>
    <definedName name="MSTR.8569D7D14AB8E0A89493D09B0B04C562.66">#REF!</definedName>
    <definedName name="MSTR.8569D7D14AB8E0A89493D09B0B04C562.67">#REF!</definedName>
    <definedName name="MSTR.8569D7D14AB8E0A89493D09B0B04C562.68">#REF!</definedName>
    <definedName name="MSTR.8569D7D14AB8E0A89493D09B0B04C562.69">#REF!</definedName>
    <definedName name="MSTR.8569D7D14AB8E0A89493D09B0B04C562.7">#REF!</definedName>
    <definedName name="MSTR.8569D7D14AB8E0A89493D09B0B04C562.70">#REF!</definedName>
    <definedName name="MSTR.8569D7D14AB8E0A89493D09B0B04C562.71">#REF!</definedName>
    <definedName name="MSTR.8569D7D14AB8E0A89493D09B0B04C562.72">#REF!</definedName>
    <definedName name="MSTR.8569D7D14AB8E0A89493D09B0B04C562.73">#REF!</definedName>
    <definedName name="MSTR.8569D7D14AB8E0A89493D09B0B04C562.74">#REF!</definedName>
    <definedName name="MSTR.8569D7D14AB8E0A89493D09B0B04C562.75">#REF!</definedName>
    <definedName name="MSTR.8569D7D14AB8E0A89493D09B0B04C562.76">#REF!</definedName>
    <definedName name="MSTR.8569D7D14AB8E0A89493D09B0B04C562.77">#REF!</definedName>
    <definedName name="MSTR.8569D7D14AB8E0A89493D09B0B04C562.78">#REF!</definedName>
    <definedName name="MSTR.8569D7D14AB8E0A89493D09B0B04C562.79">#REF!</definedName>
    <definedName name="MSTR.8569D7D14AB8E0A89493D09B0B04C562.8">#REF!</definedName>
    <definedName name="MSTR.8569D7D14AB8E0A89493D09B0B04C562.80">#REF!</definedName>
    <definedName name="MSTR.8569D7D14AB8E0A89493D09B0B04C562.81">#REF!</definedName>
    <definedName name="MSTR.8569D7D14AB8E0A89493D09B0B04C562.82">#REF!</definedName>
    <definedName name="MSTR.8569D7D14AB8E0A89493D09B0B04C562.83">#REF!</definedName>
    <definedName name="MSTR.8569D7D14AB8E0A89493D09B0B04C562.84">#REF!</definedName>
    <definedName name="MSTR.8569D7D14AB8E0A89493D09B0B04C562.85">#REF!</definedName>
    <definedName name="MSTR.8569D7D14AB8E0A89493D09B0B04C562.86">#REF!</definedName>
    <definedName name="MSTR.8569D7D14AB8E0A89493D09B0B04C562.87">#REF!</definedName>
    <definedName name="MSTR.8569D7D14AB8E0A89493D09B0B04C562.88">#REF!</definedName>
    <definedName name="MSTR.8569D7D14AB8E0A89493D09B0B04C562.89">#REF!</definedName>
    <definedName name="MSTR.8569D7D14AB8E0A89493D09B0B04C562.9">#REF!</definedName>
    <definedName name="MSTR.8569D7D14AB8E0A89493D09B0B04C562.90">#REF!</definedName>
    <definedName name="MSTR.8569D7D14AB8E0A89493D09B0B04C562.91">#REF!</definedName>
    <definedName name="MSTR.8569D7D14AB8E0A89493D09B0B04C562.92">#REF!</definedName>
    <definedName name="MSTR.8569D7D14AB8E0A89493D09B0B04C562.93">#REF!</definedName>
    <definedName name="MSTR.8569D7D14AB8E0A89493D09B0B04C562.94">#REF!</definedName>
    <definedName name="MSTR.8569D7D14AB8E0A89493D09B0B04C562.95">#REF!</definedName>
    <definedName name="MSTR.8569D7D14AB8E0A89493D09B0B04C562.96">#REF!</definedName>
    <definedName name="MSTR.8569D7D14AB8E0A89493D09B0B04C562.97">#REF!</definedName>
    <definedName name="MSTR.8569D7D14AB8E0A89493D09B0B04C562.98">#REF!</definedName>
    <definedName name="MSTR.8569D7D14AB8E0A89493D09B0B04C562.99">#REF!</definedName>
    <definedName name="MSTR.85C6229C45F6074B7127208E69A9F05A">#REF!</definedName>
    <definedName name="MSTR.85C6229C45F6074B7127208E69A9F05A.1">#REF!</definedName>
    <definedName name="MSTR.85C6229C45F6074B7127208E69A9F05A.2">#REF!</definedName>
    <definedName name="MSTR.85C6229C45F6074B7127208E69A9F05A.3">#REF!</definedName>
    <definedName name="MSTR.85C6229C45F6074B7127208E69A9F05A.4">#REF!</definedName>
    <definedName name="MSTR.8A38786811E602457F460080EFD5FDC9">#REF!</definedName>
    <definedName name="MSTR.8A38786811E602457F460080EFD5FDC9.1">#REF!</definedName>
    <definedName name="MSTR.8A38786811E602457F460080EFD5FDC9.10">#REF!</definedName>
    <definedName name="MSTR.8A38786811E602457F460080EFD5FDC9.11">#REF!</definedName>
    <definedName name="MSTR.8A38786811E602457F460080EFD5FDC9.12">#REF!</definedName>
    <definedName name="MSTR.8A38786811E602457F460080EFD5FDC9.13">#REF!</definedName>
    <definedName name="MSTR.8A38786811E602457F460080EFD5FDC9.14">#REF!</definedName>
    <definedName name="MSTR.8A38786811E602457F460080EFD5FDC9.15">#REF!</definedName>
    <definedName name="MSTR.8A38786811E602457F460080EFD5FDC9.2">#REF!</definedName>
    <definedName name="MSTR.8A38786811E602457F460080EFD5FDC9.3">#REF!</definedName>
    <definedName name="MSTR.8A38786811E602457F460080EFD5FDC9.4">#REF!</definedName>
    <definedName name="MSTR.8A38786811E602457F460080EFD5FDC9.5">#REF!</definedName>
    <definedName name="MSTR.8A38786811E602457F460080EFD5FDC9.6">#REF!</definedName>
    <definedName name="MSTR.8A38786811E602457F460080EFD5FDC9.7">#REF!</definedName>
    <definedName name="MSTR.8A38786811E602457F460080EFD5FDC9.8">#REF!</definedName>
    <definedName name="MSTR.8A38786811E602457F460080EFD5FDC9.9">#REF!</definedName>
    <definedName name="MSTR.9C67AED411E6DE2F1D4C0080EF15F279">#REF!</definedName>
    <definedName name="MSTR.9C67AED411E6DE2F1D4C0080EF15F279.1">#REF!</definedName>
    <definedName name="MSTR.9C67AED411E6DE2F1D4C0080EF15F279.10">#REF!</definedName>
    <definedName name="MSTR.9C67AED411E6DE2F1D4C0080EF15F279.11">#REF!</definedName>
    <definedName name="MSTR.9C67AED411E6DE2F1D4C0080EF15F279.12">#REF!</definedName>
    <definedName name="MSTR.9C67AED411E6DE2F1D4C0080EF15F279.13">#REF!</definedName>
    <definedName name="MSTR.9C67AED411E6DE2F1D4C0080EF15F279.14">#REF!</definedName>
    <definedName name="MSTR.9C67AED411E6DE2F1D4C0080EF15F279.15">#REF!</definedName>
    <definedName name="MSTR.9C67AED411E6DE2F1D4C0080EF15F279.16">#REF!</definedName>
    <definedName name="MSTR.9C67AED411E6DE2F1D4C0080EF15F279.17">#REF!</definedName>
    <definedName name="MSTR.9C67AED411E6DE2F1D4C0080EF15F279.18">#REF!</definedName>
    <definedName name="MSTR.9C67AED411E6DE2F1D4C0080EF15F279.19">#REF!</definedName>
    <definedName name="MSTR.9C67AED411E6DE2F1D4C0080EF15F279.2">#REF!</definedName>
    <definedName name="MSTR.9C67AED411E6DE2F1D4C0080EF15F279.20">#REF!</definedName>
    <definedName name="MSTR.9C67AED411E6DE2F1D4C0080EF15F279.21">#REF!</definedName>
    <definedName name="MSTR.9C67AED411E6DE2F1D4C0080EF15F279.22">#REF!</definedName>
    <definedName name="MSTR.9C67AED411E6DE2F1D4C0080EF15F279.23">#REF!</definedName>
    <definedName name="MSTR.9C67AED411E6DE2F1D4C0080EF15F279.24">#REF!</definedName>
    <definedName name="MSTR.9C67AED411E6DE2F1D4C0080EF15F279.25">#REF!</definedName>
    <definedName name="MSTR.9C67AED411E6DE2F1D4C0080EF15F279.26">#REF!</definedName>
    <definedName name="MSTR.9C67AED411E6DE2F1D4C0080EF15F279.3">#REF!</definedName>
    <definedName name="MSTR.9C67AED411E6DE2F1D4C0080EF15F279.4">#REF!</definedName>
    <definedName name="MSTR.9C67AED411E6DE2F1D4C0080EF15F279.5">#REF!</definedName>
    <definedName name="MSTR.9C67AED411E6DE2F1D4C0080EF15F279.6">#REF!</definedName>
    <definedName name="MSTR.9C67AED411E6DE2F1D4C0080EF15F279.7">#REF!</definedName>
    <definedName name="MSTR.9C67AED411E6DE2F1D4C0080EF15F279.8">#REF!</definedName>
    <definedName name="MSTR.9C67AED411E6DE2F1D4C0080EF15F279.9">#REF!</definedName>
    <definedName name="MSTR.A206718C11E53FEC00000080EF6543B0">#REF!</definedName>
    <definedName name="MSTR.A206718C11E53FEC00000080EF6543B0.1">#REF!</definedName>
    <definedName name="MSTR.A206718C11E53FEC00000080EF6543B0.10">#REF!</definedName>
    <definedName name="MSTR.A206718C11E53FEC00000080EF6543B0.11">#REF!</definedName>
    <definedName name="MSTR.A206718C11E53FEC00000080EF6543B0.12">#REF!</definedName>
    <definedName name="MSTR.A206718C11E53FEC00000080EF6543B0.13">#REF!</definedName>
    <definedName name="MSTR.A206718C11E53FEC00000080EF6543B0.14">#REF!</definedName>
    <definedName name="MSTR.A206718C11E53FEC00000080EF6543B0.15">#REF!</definedName>
    <definedName name="MSTR.A206718C11E53FEC00000080EF6543B0.16">#REF!</definedName>
    <definedName name="MSTR.A206718C11E53FEC00000080EF6543B0.17">#REF!</definedName>
    <definedName name="MSTR.A206718C11E53FEC00000080EF6543B0.18">#REF!</definedName>
    <definedName name="MSTR.A206718C11E53FEC00000080EF6543B0.19">#REF!</definedName>
    <definedName name="MSTR.A206718C11E53FEC00000080EF6543B0.2">#REF!</definedName>
    <definedName name="MSTR.A206718C11E53FEC00000080EF6543B0.20">#REF!</definedName>
    <definedName name="MSTR.A206718C11E53FEC00000080EF6543B0.21">#REF!</definedName>
    <definedName name="MSTR.A206718C11E53FEC00000080EF6543B0.22">#REF!</definedName>
    <definedName name="MSTR.A206718C11E53FEC00000080EF6543B0.23">#REF!</definedName>
    <definedName name="MSTR.A206718C11E53FEC00000080EF6543B0.24">#REF!</definedName>
    <definedName name="MSTR.A206718C11E53FEC00000080EF6543B0.25">#REF!</definedName>
    <definedName name="MSTR.A206718C11E53FEC00000080EF6543B0.26">#REF!</definedName>
    <definedName name="MSTR.A206718C11E53FEC00000080EF6543B0.27">#REF!</definedName>
    <definedName name="MSTR.A206718C11E53FEC00000080EF6543B0.28">#REF!</definedName>
    <definedName name="MSTR.A206718C11E53FEC00000080EF6543B0.29">#REF!</definedName>
    <definedName name="MSTR.A206718C11E53FEC00000080EF6543B0.3">#REF!</definedName>
    <definedName name="MSTR.A206718C11E53FEC00000080EF6543B0.30">#REF!</definedName>
    <definedName name="MSTR.A206718C11E53FEC00000080EF6543B0.31">#REF!</definedName>
    <definedName name="MSTR.A206718C11E53FEC00000080EF6543B0.32">#REF!</definedName>
    <definedName name="MSTR.A206718C11E53FEC00000080EF6543B0.33">#REF!</definedName>
    <definedName name="MSTR.A206718C11E53FEC00000080EF6543B0.34">#REF!</definedName>
    <definedName name="MSTR.A206718C11E53FEC00000080EF6543B0.35">#REF!</definedName>
    <definedName name="MSTR.A206718C11E53FEC00000080EF6543B0.36">#REF!</definedName>
    <definedName name="MSTR.A206718C11E53FEC00000080EF6543B0.37">#REF!</definedName>
    <definedName name="MSTR.A206718C11E53FEC00000080EF6543B0.38">#REF!</definedName>
    <definedName name="MSTR.A206718C11E53FEC00000080EF6543B0.39">#REF!</definedName>
    <definedName name="MSTR.A206718C11E53FEC00000080EF6543B0.4">#REF!</definedName>
    <definedName name="MSTR.A206718C11E53FEC00000080EF6543B0.40">#REF!</definedName>
    <definedName name="MSTR.A206718C11E53FEC00000080EF6543B0.41">#REF!</definedName>
    <definedName name="MSTR.A206718C11E53FEC00000080EF6543B0.42">#REF!</definedName>
    <definedName name="MSTR.A206718C11E53FEC00000080EF6543B0.43">#REF!</definedName>
    <definedName name="MSTR.A206718C11E53FEC00000080EF6543B0.44">#REF!</definedName>
    <definedName name="MSTR.A206718C11E53FEC00000080EF6543B0.45">#REF!</definedName>
    <definedName name="MSTR.A206718C11E53FEC00000080EF6543B0.46">#REF!</definedName>
    <definedName name="MSTR.A206718C11E53FEC00000080EF6543B0.47">#REF!</definedName>
    <definedName name="MSTR.A206718C11E53FEC00000080EF6543B0.48">#REF!</definedName>
    <definedName name="MSTR.A206718C11E53FEC00000080EF6543B0.49">#REF!</definedName>
    <definedName name="MSTR.A206718C11E53FEC00000080EF6543B0.5">#REF!</definedName>
    <definedName name="MSTR.A206718C11E53FEC00000080EF6543B0.50">#REF!</definedName>
    <definedName name="MSTR.A206718C11E53FEC00000080EF6543B0.51">#REF!</definedName>
    <definedName name="MSTR.A206718C11E53FEC00000080EF6543B0.52">#REF!</definedName>
    <definedName name="MSTR.A206718C11E53FEC00000080EF6543B0.53">#REF!</definedName>
    <definedName name="MSTR.A206718C11E53FEC00000080EF6543B0.54">#REF!</definedName>
    <definedName name="MSTR.A206718C11E53FEC00000080EF6543B0.55">#REF!</definedName>
    <definedName name="MSTR.A206718C11E53FEC00000080EF6543B0.56">#REF!</definedName>
    <definedName name="MSTR.A206718C11E53FEC00000080EF6543B0.57">#REF!</definedName>
    <definedName name="MSTR.A206718C11E53FEC00000080EF6543B0.58">#REF!</definedName>
    <definedName name="MSTR.A206718C11E53FEC00000080EF6543B0.59">#REF!</definedName>
    <definedName name="MSTR.A206718C11E53FEC00000080EF6543B0.6">#REF!</definedName>
    <definedName name="MSTR.A206718C11E53FEC00000080EF6543B0.60">#REF!</definedName>
    <definedName name="MSTR.A206718C11E53FEC00000080EF6543B0.61">#REF!</definedName>
    <definedName name="MSTR.A206718C11E53FEC00000080EF6543B0.62">#REF!</definedName>
    <definedName name="MSTR.A206718C11E53FEC00000080EF6543B0.63">#REF!</definedName>
    <definedName name="MSTR.A206718C11E53FEC00000080EF6543B0.64">#REF!</definedName>
    <definedName name="MSTR.A206718C11E53FEC00000080EF6543B0.65">#REF!</definedName>
    <definedName name="MSTR.A206718C11E53FEC00000080EF6543B0.66">#REF!</definedName>
    <definedName name="MSTR.A206718C11E53FEC00000080EF6543B0.67">#REF!</definedName>
    <definedName name="MSTR.A206718C11E53FEC00000080EF6543B0.68">#REF!</definedName>
    <definedName name="MSTR.A206718C11E53FEC00000080EF6543B0.69">#REF!</definedName>
    <definedName name="MSTR.A206718C11E53FEC00000080EF6543B0.7">#REF!</definedName>
    <definedName name="MSTR.A206718C11E53FEC00000080EF6543B0.70">#REF!</definedName>
    <definedName name="MSTR.A206718C11E53FEC00000080EF6543B0.71">#REF!</definedName>
    <definedName name="MSTR.A206718C11E53FEC00000080EF6543B0.72">#REF!</definedName>
    <definedName name="MSTR.A206718C11E53FEC00000080EF6543B0.73">#REF!</definedName>
    <definedName name="MSTR.A206718C11E53FEC00000080EF6543B0.74">#REF!</definedName>
    <definedName name="MSTR.A206718C11E53FEC00000080EF6543B0.75">#REF!</definedName>
    <definedName name="MSTR.A206718C11E53FEC00000080EF6543B0.76">#REF!</definedName>
    <definedName name="MSTR.A206718C11E53FEC00000080EF6543B0.77">#REF!</definedName>
    <definedName name="MSTR.A206718C11E53FEC00000080EF6543B0.8">#REF!</definedName>
    <definedName name="MSTR.A206718C11E53FEC00000080EF6543B0.9">#REF!</definedName>
    <definedName name="MSTR.A34226D7460501864B3FABA8B44A8468">#REF!</definedName>
    <definedName name="MSTR.A34226D7460501864B3FABA8B44A8468.1">#REF!</definedName>
    <definedName name="MSTR.A34226D7460501864B3FABA8B44A8468.10">#REF!</definedName>
    <definedName name="MSTR.A34226D7460501864B3FABA8B44A8468.11">#REF!</definedName>
    <definedName name="MSTR.A34226D7460501864B3FABA8B44A8468.12">#REF!</definedName>
    <definedName name="MSTR.A34226D7460501864B3FABA8B44A8468.13">#REF!</definedName>
    <definedName name="MSTR.A34226D7460501864B3FABA8B44A8468.14">#REF!</definedName>
    <definedName name="MSTR.A34226D7460501864B3FABA8B44A8468.15">#REF!</definedName>
    <definedName name="MSTR.A34226D7460501864B3FABA8B44A8468.16">#REF!</definedName>
    <definedName name="MSTR.A34226D7460501864B3FABA8B44A8468.17">#REF!</definedName>
    <definedName name="MSTR.A34226D7460501864B3FABA8B44A8468.18">#REF!</definedName>
    <definedName name="MSTR.A34226D7460501864B3FABA8B44A8468.19">#REF!</definedName>
    <definedName name="MSTR.A34226D7460501864B3FABA8B44A8468.2">#REF!</definedName>
    <definedName name="MSTR.A34226D7460501864B3FABA8B44A8468.20">#REF!</definedName>
    <definedName name="MSTR.A34226D7460501864B3FABA8B44A8468.21">#REF!</definedName>
    <definedName name="MSTR.A34226D7460501864B3FABA8B44A8468.22">#REF!</definedName>
    <definedName name="MSTR.A34226D7460501864B3FABA8B44A8468.23">#REF!</definedName>
    <definedName name="MSTR.A34226D7460501864B3FABA8B44A8468.24">#REF!</definedName>
    <definedName name="MSTR.A34226D7460501864B3FABA8B44A8468.25">#REF!</definedName>
    <definedName name="MSTR.A34226D7460501864B3FABA8B44A8468.26">#REF!</definedName>
    <definedName name="MSTR.A34226D7460501864B3FABA8B44A8468.27">#REF!</definedName>
    <definedName name="MSTR.A34226D7460501864B3FABA8B44A8468.28">#REF!</definedName>
    <definedName name="MSTR.A34226D7460501864B3FABA8B44A8468.29">#REF!</definedName>
    <definedName name="MSTR.A34226D7460501864B3FABA8B44A8468.3">#REF!</definedName>
    <definedName name="MSTR.A34226D7460501864B3FABA8B44A8468.30">#REF!</definedName>
    <definedName name="MSTR.A34226D7460501864B3FABA8B44A8468.31">#REF!</definedName>
    <definedName name="MSTR.A34226D7460501864B3FABA8B44A8468.32">#REF!</definedName>
    <definedName name="MSTR.A34226D7460501864B3FABA8B44A8468.33">#REF!</definedName>
    <definedName name="MSTR.A34226D7460501864B3FABA8B44A8468.34">#REF!</definedName>
    <definedName name="MSTR.A34226D7460501864B3FABA8B44A8468.35">#REF!</definedName>
    <definedName name="MSTR.A34226D7460501864B3FABA8B44A8468.36">#REF!</definedName>
    <definedName name="MSTR.A34226D7460501864B3FABA8B44A8468.37">#REF!</definedName>
    <definedName name="MSTR.A34226D7460501864B3FABA8B44A8468.38">#REF!</definedName>
    <definedName name="MSTR.A34226D7460501864B3FABA8B44A8468.39">#REF!</definedName>
    <definedName name="MSTR.A34226D7460501864B3FABA8B44A8468.4">#REF!</definedName>
    <definedName name="MSTR.A34226D7460501864B3FABA8B44A8468.40">#REF!</definedName>
    <definedName name="MSTR.A34226D7460501864B3FABA8B44A8468.41">#REF!</definedName>
    <definedName name="MSTR.A34226D7460501864B3FABA8B44A8468.42">#REF!</definedName>
    <definedName name="MSTR.A34226D7460501864B3FABA8B44A8468.43">#REF!</definedName>
    <definedName name="MSTR.A34226D7460501864B3FABA8B44A8468.44">#REF!</definedName>
    <definedName name="MSTR.A34226D7460501864B3FABA8B44A8468.45">#REF!</definedName>
    <definedName name="MSTR.A34226D7460501864B3FABA8B44A8468.46">#REF!</definedName>
    <definedName name="MSTR.A34226D7460501864B3FABA8B44A8468.47">#REF!</definedName>
    <definedName name="MSTR.A34226D7460501864B3FABA8B44A8468.48">#REF!</definedName>
    <definedName name="MSTR.A34226D7460501864B3FABA8B44A8468.49">#REF!</definedName>
    <definedName name="MSTR.A34226D7460501864B3FABA8B44A8468.5">#REF!</definedName>
    <definedName name="MSTR.A34226D7460501864B3FABA8B44A8468.50">#REF!</definedName>
    <definedName name="MSTR.A34226D7460501864B3FABA8B44A8468.6">#REF!</definedName>
    <definedName name="MSTR.A34226D7460501864B3FABA8B44A8468.7">#REF!</definedName>
    <definedName name="MSTR.A34226D7460501864B3FABA8B44A8468.8">#REF!</definedName>
    <definedName name="MSTR.A34226D7460501864B3FABA8B44A8468.9">#REF!</definedName>
    <definedName name="MSTR.A6438B0611E712CF57180080EF954349">#REF!</definedName>
    <definedName name="MSTR.A6438B0611E712CF57180080EF954349.1">#REF!</definedName>
    <definedName name="MSTR.A6438B0611E712CF57180080EF954349.10">#REF!</definedName>
    <definedName name="MSTR.A6438B0611E712CF57180080EF954349.11">#REF!</definedName>
    <definedName name="MSTR.A6438B0611E712CF57180080EF954349.12">#REF!</definedName>
    <definedName name="MSTR.A6438B0611E712CF57180080EF954349.13">#REF!</definedName>
    <definedName name="MSTR.A6438B0611E712CF57180080EF954349.14">#REF!</definedName>
    <definedName name="MSTR.A6438B0611E712CF57180080EF954349.15">#REF!</definedName>
    <definedName name="MSTR.A6438B0611E712CF57180080EF954349.16">#REF!</definedName>
    <definedName name="MSTR.A6438B0611E712CF57180080EF954349.17">#REF!</definedName>
    <definedName name="MSTR.A6438B0611E712CF57180080EF954349.18">#REF!</definedName>
    <definedName name="MSTR.A6438B0611E712CF57180080EF954349.19">#REF!</definedName>
    <definedName name="MSTR.A6438B0611E712CF57180080EF954349.2">#REF!</definedName>
    <definedName name="MSTR.A6438B0611E712CF57180080EF954349.20">#REF!</definedName>
    <definedName name="MSTR.A6438B0611E712CF57180080EF954349.21">#REF!</definedName>
    <definedName name="MSTR.A6438B0611E712CF57180080EF954349.22">#REF!</definedName>
    <definedName name="MSTR.A6438B0611E712CF57180080EF954349.23">#REF!</definedName>
    <definedName name="MSTR.A6438B0611E712CF57180080EF954349.24">#REF!</definedName>
    <definedName name="MSTR.A6438B0611E712CF57180080EF954349.25">#REF!</definedName>
    <definedName name="MSTR.A6438B0611E712CF57180080EF954349.26">#REF!</definedName>
    <definedName name="MSTR.A6438B0611E712CF57180080EF954349.27">#REF!</definedName>
    <definedName name="MSTR.A6438B0611E712CF57180080EF954349.28">#REF!</definedName>
    <definedName name="MSTR.A6438B0611E712CF57180080EF954349.29">#REF!</definedName>
    <definedName name="MSTR.A6438B0611E712CF57180080EF954349.3">#REF!</definedName>
    <definedName name="MSTR.A6438B0611E712CF57180080EF954349.30">#REF!</definedName>
    <definedName name="MSTR.A6438B0611E712CF57180080EF954349.31">#REF!</definedName>
    <definedName name="MSTR.A6438B0611E712CF57180080EF954349.32">#REF!</definedName>
    <definedName name="MSTR.A6438B0611E712CF57180080EF954349.33">#REF!</definedName>
    <definedName name="MSTR.A6438B0611E712CF57180080EF954349.34">#REF!</definedName>
    <definedName name="MSTR.A6438B0611E712CF57180080EF954349.35">#REF!</definedName>
    <definedName name="MSTR.A6438B0611E712CF57180080EF954349.4">#REF!</definedName>
    <definedName name="MSTR.A6438B0611E712CF57180080EF954349.5">#REF!</definedName>
    <definedName name="MSTR.A6438B0611E712CF57180080EF954349.6">#REF!</definedName>
    <definedName name="MSTR.A6438B0611E712CF57180080EF954349.7">#REF!</definedName>
    <definedName name="MSTR.A6438B0611E712CF57180080EF954349.8">#REF!</definedName>
    <definedName name="MSTR.A6438B0611E712CF57180080EF954349.9">#REF!</definedName>
    <definedName name="MSTR.Ahorro_Enlace_Baleares__Diario_Simple_">#REF!</definedName>
    <definedName name="MSTR.Asignaciones__Mensual_simple_">#REF!</definedName>
    <definedName name="MSTR.Asignaciones__Periodo_simple___Combustible">#REF!</definedName>
    <definedName name="MSTR.Asignaciones_Gestión_de_desvíos">#REF!</definedName>
    <definedName name="MSTR.Asignaciones_Restricciones_TReal">#REF!</definedName>
    <definedName name="MSTR.B49E0E4A11E53FEC00000080EFF563AF">#REF!</definedName>
    <definedName name="MSTR.B49E0E4A11E53FEC00000080EFF563AF.1">#REF!</definedName>
    <definedName name="MSTR.B49E0E4A11E53FEC00000080EFF563AF.10">#REF!</definedName>
    <definedName name="MSTR.B49E0E4A11E53FEC00000080EFF563AF.11">#REF!</definedName>
    <definedName name="MSTR.B49E0E4A11E53FEC00000080EFF563AF.12">#REF!</definedName>
    <definedName name="MSTR.B49E0E4A11E53FEC00000080EFF563AF.13">#REF!</definedName>
    <definedName name="MSTR.B49E0E4A11E53FEC00000080EFF563AF.14">#REF!</definedName>
    <definedName name="MSTR.B49E0E4A11E53FEC00000080EFF563AF.15">#REF!</definedName>
    <definedName name="MSTR.B49E0E4A11E53FEC00000080EFF563AF.16">#REF!</definedName>
    <definedName name="MSTR.B49E0E4A11E53FEC00000080EFF563AF.17">#REF!</definedName>
    <definedName name="MSTR.B49E0E4A11E53FEC00000080EFF563AF.18">#REF!</definedName>
    <definedName name="MSTR.B49E0E4A11E53FEC00000080EFF563AF.19">#REF!</definedName>
    <definedName name="MSTR.B49E0E4A11E53FEC00000080EFF563AF.2">#REF!</definedName>
    <definedName name="MSTR.B49E0E4A11E53FEC00000080EFF563AF.20">#REF!</definedName>
    <definedName name="MSTR.B49E0E4A11E53FEC00000080EFF563AF.21">#REF!</definedName>
    <definedName name="MSTR.B49E0E4A11E53FEC00000080EFF563AF.22">#REF!</definedName>
    <definedName name="MSTR.B49E0E4A11E53FEC00000080EFF563AF.23">#REF!</definedName>
    <definedName name="MSTR.B49E0E4A11E53FEC00000080EFF563AF.24">#REF!</definedName>
    <definedName name="MSTR.B49E0E4A11E53FEC00000080EFF563AF.25">#REF!</definedName>
    <definedName name="MSTR.B49E0E4A11E53FEC00000080EFF563AF.26">#REF!</definedName>
    <definedName name="MSTR.B49E0E4A11E53FEC00000080EFF563AF.27">#REF!</definedName>
    <definedName name="MSTR.B49E0E4A11E53FEC00000080EFF563AF.28">#REF!</definedName>
    <definedName name="MSTR.B49E0E4A11E53FEC00000080EFF563AF.29">#REF!</definedName>
    <definedName name="MSTR.B49E0E4A11E53FEC00000080EFF563AF.3">#REF!</definedName>
    <definedName name="MSTR.B49E0E4A11E53FEC00000080EFF563AF.30">#REF!</definedName>
    <definedName name="MSTR.B49E0E4A11E53FEC00000080EFF563AF.31">#REF!</definedName>
    <definedName name="MSTR.B49E0E4A11E53FEC00000080EFF563AF.32">#REF!</definedName>
    <definedName name="MSTR.B49E0E4A11E53FEC00000080EFF563AF.33">#REF!</definedName>
    <definedName name="MSTR.B49E0E4A11E53FEC00000080EFF563AF.34">#REF!</definedName>
    <definedName name="MSTR.B49E0E4A11E53FEC00000080EFF563AF.35">#REF!</definedName>
    <definedName name="MSTR.B49E0E4A11E53FEC00000080EFF563AF.36">#REF!</definedName>
    <definedName name="MSTR.B49E0E4A11E53FEC00000080EFF563AF.37">#REF!</definedName>
    <definedName name="MSTR.B49E0E4A11E53FEC00000080EFF563AF.38">#REF!</definedName>
    <definedName name="MSTR.B49E0E4A11E53FEC00000080EFF563AF.39">#REF!</definedName>
    <definedName name="MSTR.B49E0E4A11E53FEC00000080EFF563AF.4">#REF!</definedName>
    <definedName name="MSTR.B49E0E4A11E53FEC00000080EFF563AF.40">#REF!</definedName>
    <definedName name="MSTR.B49E0E4A11E53FEC00000080EFF563AF.41">#REF!</definedName>
    <definedName name="MSTR.B49E0E4A11E53FEC00000080EFF563AF.42">#REF!</definedName>
    <definedName name="MSTR.B49E0E4A11E53FEC00000080EFF563AF.43">#REF!</definedName>
    <definedName name="MSTR.B49E0E4A11E53FEC00000080EFF563AF.44">#REF!</definedName>
    <definedName name="MSTR.B49E0E4A11E53FEC00000080EFF563AF.45">#REF!</definedName>
    <definedName name="MSTR.B49E0E4A11E53FEC00000080EFF563AF.46">#REF!</definedName>
    <definedName name="MSTR.B49E0E4A11E53FEC00000080EFF563AF.47">#REF!</definedName>
    <definedName name="MSTR.B49E0E4A11E53FEC00000080EFF563AF.48">#REF!</definedName>
    <definedName name="MSTR.B49E0E4A11E53FEC00000080EFF563AF.49">#REF!</definedName>
    <definedName name="MSTR.B49E0E4A11E53FEC00000080EFF563AF.5">#REF!</definedName>
    <definedName name="MSTR.B49E0E4A11E53FEC00000080EFF563AF.50">#REF!</definedName>
    <definedName name="MSTR.B49E0E4A11E53FEC00000080EFF563AF.51">#REF!</definedName>
    <definedName name="MSTR.B49E0E4A11E53FEC00000080EFF563AF.52">#REF!</definedName>
    <definedName name="MSTR.B49E0E4A11E53FEC00000080EFF563AF.53">#REF!</definedName>
    <definedName name="MSTR.B49E0E4A11E53FEC00000080EFF563AF.54">#REF!</definedName>
    <definedName name="MSTR.B49E0E4A11E53FEC00000080EFF563AF.55">#REF!</definedName>
    <definedName name="MSTR.B49E0E4A11E53FEC00000080EFF563AF.56">#REF!</definedName>
    <definedName name="MSTR.B49E0E4A11E53FEC00000080EFF563AF.57">#REF!</definedName>
    <definedName name="MSTR.B49E0E4A11E53FEC00000080EFF563AF.58">#REF!</definedName>
    <definedName name="MSTR.B49E0E4A11E53FEC00000080EFF563AF.59">#REF!</definedName>
    <definedName name="MSTR.B49E0E4A11E53FEC00000080EFF563AF.6">#REF!</definedName>
    <definedName name="MSTR.B49E0E4A11E53FEC00000080EFF563AF.60">#REF!</definedName>
    <definedName name="MSTR.B49E0E4A11E53FEC00000080EFF563AF.61">#REF!</definedName>
    <definedName name="MSTR.B49E0E4A11E53FEC00000080EFF563AF.62">#REF!</definedName>
    <definedName name="MSTR.B49E0E4A11E53FEC00000080EFF563AF.63">#REF!</definedName>
    <definedName name="MSTR.B49E0E4A11E53FEC00000080EFF563AF.64">#REF!</definedName>
    <definedName name="MSTR.B49E0E4A11E53FEC00000080EFF563AF.65">#REF!</definedName>
    <definedName name="MSTR.B49E0E4A11E53FEC00000080EFF563AF.66">#REF!</definedName>
    <definedName name="MSTR.B49E0E4A11E53FEC00000080EFF563AF.67">#REF!</definedName>
    <definedName name="MSTR.B49E0E4A11E53FEC00000080EFF563AF.68">#REF!</definedName>
    <definedName name="MSTR.B49E0E4A11E53FEC00000080EFF563AF.69">#REF!</definedName>
    <definedName name="MSTR.B49E0E4A11E53FEC00000080EFF563AF.7">#REF!</definedName>
    <definedName name="MSTR.B49E0E4A11E53FEC00000080EFF563AF.70">#REF!</definedName>
    <definedName name="MSTR.B49E0E4A11E53FEC00000080EFF563AF.71">#REF!</definedName>
    <definedName name="MSTR.B49E0E4A11E53FEC00000080EFF563AF.72">#REF!</definedName>
    <definedName name="MSTR.B49E0E4A11E53FEC00000080EFF563AF.8">#REF!</definedName>
    <definedName name="MSTR.B49E0E4A11E53FEC00000080EFF563AF.9">#REF!</definedName>
    <definedName name="MSTR.BALANCE">#REF!</definedName>
    <definedName name="MSTR.BALANCE1">#REF!</definedName>
    <definedName name="MSTR.BALANCE2">#REF!</definedName>
    <definedName name="MSTR.BALANCE3">#REF!</definedName>
    <definedName name="MSTR.C083CD4611E5943644E30080EF95049C">#REF!</definedName>
    <definedName name="MSTR.C083CD4611E5943644E30080EF95049C.1">#REF!</definedName>
    <definedName name="MSTR.C083CD4611E5943644E30080EF95049C.10">#REF!</definedName>
    <definedName name="MSTR.C083CD4611E5943644E30080EF95049C.100">#REF!</definedName>
    <definedName name="MSTR.C083CD4611E5943644E30080EF95049C.101">#REF!</definedName>
    <definedName name="MSTR.C083CD4611E5943644E30080EF95049C.102">#REF!</definedName>
    <definedName name="MSTR.C083CD4611E5943644E30080EF95049C.103">#REF!</definedName>
    <definedName name="MSTR.C083CD4611E5943644E30080EF95049C.104">#REF!</definedName>
    <definedName name="MSTR.C083CD4611E5943644E30080EF95049C.105">#REF!</definedName>
    <definedName name="MSTR.C083CD4611E5943644E30080EF95049C.106">#REF!</definedName>
    <definedName name="MSTR.C083CD4611E5943644E30080EF95049C.107">#REF!</definedName>
    <definedName name="MSTR.C083CD4611E5943644E30080EF95049C.108">#REF!</definedName>
    <definedName name="MSTR.C083CD4611E5943644E30080EF95049C.109">#REF!</definedName>
    <definedName name="MSTR.C083CD4611E5943644E30080EF95049C.11">#REF!</definedName>
    <definedName name="MSTR.C083CD4611E5943644E30080EF95049C.110">#REF!</definedName>
    <definedName name="MSTR.C083CD4611E5943644E30080EF95049C.111">#REF!</definedName>
    <definedName name="MSTR.C083CD4611E5943644E30080EF95049C.112">#REF!</definedName>
    <definedName name="MSTR.C083CD4611E5943644E30080EF95049C.113">#REF!</definedName>
    <definedName name="MSTR.C083CD4611E5943644E30080EF95049C.114">#REF!</definedName>
    <definedName name="MSTR.C083CD4611E5943644E30080EF95049C.115">#REF!</definedName>
    <definedName name="MSTR.C083CD4611E5943644E30080EF95049C.116">#REF!</definedName>
    <definedName name="MSTR.C083CD4611E5943644E30080EF95049C.117">#REF!</definedName>
    <definedName name="MSTR.C083CD4611E5943644E30080EF95049C.118">#REF!</definedName>
    <definedName name="MSTR.C083CD4611E5943644E30080EF95049C.119">#REF!</definedName>
    <definedName name="MSTR.C083CD4611E5943644E30080EF95049C.12">#REF!</definedName>
    <definedName name="MSTR.C083CD4611E5943644E30080EF95049C.120">#REF!</definedName>
    <definedName name="MSTR.C083CD4611E5943644E30080EF95049C.121">#REF!</definedName>
    <definedName name="MSTR.C083CD4611E5943644E30080EF95049C.122">#REF!</definedName>
    <definedName name="MSTR.C083CD4611E5943644E30080EF95049C.123">#REF!</definedName>
    <definedName name="MSTR.C083CD4611E5943644E30080EF95049C.124">#REF!</definedName>
    <definedName name="MSTR.C083CD4611E5943644E30080EF95049C.125">#REF!</definedName>
    <definedName name="MSTR.C083CD4611E5943644E30080EF95049C.126">#REF!</definedName>
    <definedName name="MSTR.C083CD4611E5943644E30080EF95049C.127">#REF!</definedName>
    <definedName name="MSTR.C083CD4611E5943644E30080EF95049C.128">#REF!</definedName>
    <definedName name="MSTR.C083CD4611E5943644E30080EF95049C.129">#REF!</definedName>
    <definedName name="MSTR.C083CD4611E5943644E30080EF95049C.13">#REF!</definedName>
    <definedName name="MSTR.C083CD4611E5943644E30080EF95049C.130">#REF!</definedName>
    <definedName name="MSTR.C083CD4611E5943644E30080EF95049C.131">#REF!</definedName>
    <definedName name="MSTR.C083CD4611E5943644E30080EF95049C.132">#REF!</definedName>
    <definedName name="MSTR.C083CD4611E5943644E30080EF95049C.133">#REF!</definedName>
    <definedName name="MSTR.C083CD4611E5943644E30080EF95049C.134">#REF!</definedName>
    <definedName name="MSTR.C083CD4611E5943644E30080EF95049C.135">#REF!</definedName>
    <definedName name="MSTR.C083CD4611E5943644E30080EF95049C.136">#REF!</definedName>
    <definedName name="MSTR.C083CD4611E5943644E30080EF95049C.137">#REF!</definedName>
    <definedName name="MSTR.C083CD4611E5943644E30080EF95049C.138">#REF!</definedName>
    <definedName name="MSTR.C083CD4611E5943644E30080EF95049C.139">#REF!</definedName>
    <definedName name="MSTR.C083CD4611E5943644E30080EF95049C.14">#REF!</definedName>
    <definedName name="MSTR.C083CD4611E5943644E30080EF95049C.140">#REF!</definedName>
    <definedName name="MSTR.C083CD4611E5943644E30080EF95049C.141">#REF!</definedName>
    <definedName name="MSTR.C083CD4611E5943644E30080EF95049C.142">#REF!</definedName>
    <definedName name="MSTR.C083CD4611E5943644E30080EF95049C.143">#REF!</definedName>
    <definedName name="MSTR.C083CD4611E5943644E30080EF95049C.144">#REF!</definedName>
    <definedName name="MSTR.C083CD4611E5943644E30080EF95049C.145">#REF!</definedName>
    <definedName name="MSTR.C083CD4611E5943644E30080EF95049C.146">#REF!</definedName>
    <definedName name="MSTR.C083CD4611E5943644E30080EF95049C.147">#REF!</definedName>
    <definedName name="MSTR.C083CD4611E5943644E30080EF95049C.148">#REF!</definedName>
    <definedName name="MSTR.C083CD4611E5943644E30080EF95049C.149">#REF!</definedName>
    <definedName name="MSTR.C083CD4611E5943644E30080EF95049C.15">#REF!</definedName>
    <definedName name="MSTR.C083CD4611E5943644E30080EF95049C.150">#REF!</definedName>
    <definedName name="MSTR.C083CD4611E5943644E30080EF95049C.151">#REF!</definedName>
    <definedName name="MSTR.C083CD4611E5943644E30080EF95049C.152">#REF!</definedName>
    <definedName name="MSTR.C083CD4611E5943644E30080EF95049C.153">#REF!</definedName>
    <definedName name="MSTR.C083CD4611E5943644E30080EF95049C.154">#REF!</definedName>
    <definedName name="MSTR.C083CD4611E5943644E30080EF95049C.155">#REF!</definedName>
    <definedName name="MSTR.C083CD4611E5943644E30080EF95049C.156">#REF!</definedName>
    <definedName name="MSTR.C083CD4611E5943644E30080EF95049C.157">#REF!</definedName>
    <definedName name="MSTR.C083CD4611E5943644E30080EF95049C.158">#REF!</definedName>
    <definedName name="MSTR.C083CD4611E5943644E30080EF95049C.159">#REF!</definedName>
    <definedName name="MSTR.C083CD4611E5943644E30080EF95049C.16">#REF!</definedName>
    <definedName name="MSTR.C083CD4611E5943644E30080EF95049C.160">#REF!</definedName>
    <definedName name="MSTR.C083CD4611E5943644E30080EF95049C.161">#REF!</definedName>
    <definedName name="MSTR.C083CD4611E5943644E30080EF95049C.162">#REF!</definedName>
    <definedName name="MSTR.C083CD4611E5943644E30080EF95049C.163">#REF!</definedName>
    <definedName name="MSTR.C083CD4611E5943644E30080EF95049C.164">#REF!</definedName>
    <definedName name="MSTR.C083CD4611E5943644E30080EF95049C.165">#REF!</definedName>
    <definedName name="MSTR.C083CD4611E5943644E30080EF95049C.166">#REF!</definedName>
    <definedName name="MSTR.C083CD4611E5943644E30080EF95049C.167">#REF!</definedName>
    <definedName name="MSTR.C083CD4611E5943644E30080EF95049C.168">#REF!</definedName>
    <definedName name="MSTR.C083CD4611E5943644E30080EF95049C.169">#REF!</definedName>
    <definedName name="MSTR.C083CD4611E5943644E30080EF95049C.17">#REF!</definedName>
    <definedName name="MSTR.C083CD4611E5943644E30080EF95049C.170">#REF!</definedName>
    <definedName name="MSTR.C083CD4611E5943644E30080EF95049C.171">#REF!</definedName>
    <definedName name="MSTR.C083CD4611E5943644E30080EF95049C.172">#REF!</definedName>
    <definedName name="MSTR.C083CD4611E5943644E30080EF95049C.173">#REF!</definedName>
    <definedName name="MSTR.C083CD4611E5943644E30080EF95049C.174">#REF!</definedName>
    <definedName name="MSTR.C083CD4611E5943644E30080EF95049C.175">#REF!</definedName>
    <definedName name="MSTR.C083CD4611E5943644E30080EF95049C.176">#REF!</definedName>
    <definedName name="MSTR.C083CD4611E5943644E30080EF95049C.177">#REF!</definedName>
    <definedName name="MSTR.C083CD4611E5943644E30080EF95049C.178">#REF!</definedName>
    <definedName name="MSTR.C083CD4611E5943644E30080EF95049C.179">#REF!</definedName>
    <definedName name="MSTR.C083CD4611E5943644E30080EF95049C.18">#REF!</definedName>
    <definedName name="MSTR.C083CD4611E5943644E30080EF95049C.180">#REF!</definedName>
    <definedName name="MSTR.C083CD4611E5943644E30080EF95049C.181">#REF!</definedName>
    <definedName name="MSTR.C083CD4611E5943644E30080EF95049C.182">#REF!</definedName>
    <definedName name="MSTR.C083CD4611E5943644E30080EF95049C.183">#REF!</definedName>
    <definedName name="MSTR.C083CD4611E5943644E30080EF95049C.184">#REF!</definedName>
    <definedName name="MSTR.C083CD4611E5943644E30080EF95049C.185">#REF!</definedName>
    <definedName name="MSTR.C083CD4611E5943644E30080EF95049C.186">#REF!</definedName>
    <definedName name="MSTR.C083CD4611E5943644E30080EF95049C.187">#REF!</definedName>
    <definedName name="MSTR.C083CD4611E5943644E30080EF95049C.188">#REF!</definedName>
    <definedName name="MSTR.C083CD4611E5943644E30080EF95049C.189">#REF!</definedName>
    <definedName name="MSTR.C083CD4611E5943644E30080EF95049C.19">#REF!</definedName>
    <definedName name="MSTR.C083CD4611E5943644E30080EF95049C.190">#REF!</definedName>
    <definedName name="MSTR.C083CD4611E5943644E30080EF95049C.191">#REF!</definedName>
    <definedName name="MSTR.C083CD4611E5943644E30080EF95049C.192">#REF!</definedName>
    <definedName name="MSTR.C083CD4611E5943644E30080EF95049C.193">#REF!</definedName>
    <definedName name="MSTR.C083CD4611E5943644E30080EF95049C.194">#REF!</definedName>
    <definedName name="MSTR.C083CD4611E5943644E30080EF95049C.195">#REF!</definedName>
    <definedName name="MSTR.C083CD4611E5943644E30080EF95049C.196">#REF!</definedName>
    <definedName name="MSTR.C083CD4611E5943644E30080EF95049C.197">#REF!</definedName>
    <definedName name="MSTR.C083CD4611E5943644E30080EF95049C.198">#REF!</definedName>
    <definedName name="MSTR.C083CD4611E5943644E30080EF95049C.199">#REF!</definedName>
    <definedName name="MSTR.C083CD4611E5943644E30080EF95049C.2">#REF!</definedName>
    <definedName name="MSTR.C083CD4611E5943644E30080EF95049C.20">#REF!</definedName>
    <definedName name="MSTR.C083CD4611E5943644E30080EF95049C.200">#REF!</definedName>
    <definedName name="MSTR.C083CD4611E5943644E30080EF95049C.201">#REF!</definedName>
    <definedName name="MSTR.C083CD4611E5943644E30080EF95049C.202">#REF!</definedName>
    <definedName name="MSTR.C083CD4611E5943644E30080EF95049C.203">#REF!</definedName>
    <definedName name="MSTR.C083CD4611E5943644E30080EF95049C.204">#REF!</definedName>
    <definedName name="MSTR.C083CD4611E5943644E30080EF95049C.205">#REF!</definedName>
    <definedName name="MSTR.C083CD4611E5943644E30080EF95049C.206">#REF!</definedName>
    <definedName name="MSTR.C083CD4611E5943644E30080EF95049C.207">#REF!</definedName>
    <definedName name="MSTR.C083CD4611E5943644E30080EF95049C.208">#REF!</definedName>
    <definedName name="MSTR.C083CD4611E5943644E30080EF95049C.209">#REF!</definedName>
    <definedName name="MSTR.C083CD4611E5943644E30080EF95049C.21">#REF!</definedName>
    <definedName name="MSTR.C083CD4611E5943644E30080EF95049C.210">#REF!</definedName>
    <definedName name="MSTR.C083CD4611E5943644E30080EF95049C.211">#REF!</definedName>
    <definedName name="MSTR.C083CD4611E5943644E30080EF95049C.212">#REF!</definedName>
    <definedName name="MSTR.C083CD4611E5943644E30080EF95049C.213">#REF!</definedName>
    <definedName name="MSTR.C083CD4611E5943644E30080EF95049C.214">#REF!</definedName>
    <definedName name="MSTR.C083CD4611E5943644E30080EF95049C.215">#REF!</definedName>
    <definedName name="MSTR.C083CD4611E5943644E30080EF95049C.216">#REF!</definedName>
    <definedName name="MSTR.C083CD4611E5943644E30080EF95049C.217">#REF!</definedName>
    <definedName name="MSTR.C083CD4611E5943644E30080EF95049C.218">#REF!</definedName>
    <definedName name="MSTR.C083CD4611E5943644E30080EF95049C.219">#REF!</definedName>
    <definedName name="MSTR.C083CD4611E5943644E30080EF95049C.22">#REF!</definedName>
    <definedName name="MSTR.C083CD4611E5943644E30080EF95049C.220">#REF!</definedName>
    <definedName name="MSTR.C083CD4611E5943644E30080EF95049C.221">#REF!</definedName>
    <definedName name="MSTR.C083CD4611E5943644E30080EF95049C.222">#REF!</definedName>
    <definedName name="MSTR.C083CD4611E5943644E30080EF95049C.223">#REF!</definedName>
    <definedName name="MSTR.C083CD4611E5943644E30080EF95049C.224">#REF!</definedName>
    <definedName name="MSTR.C083CD4611E5943644E30080EF95049C.225">#REF!</definedName>
    <definedName name="MSTR.C083CD4611E5943644E30080EF95049C.226">#REF!</definedName>
    <definedName name="MSTR.C083CD4611E5943644E30080EF95049C.227">#REF!</definedName>
    <definedName name="MSTR.C083CD4611E5943644E30080EF95049C.228">#REF!</definedName>
    <definedName name="MSTR.C083CD4611E5943644E30080EF95049C.229">#REF!</definedName>
    <definedName name="MSTR.C083CD4611E5943644E30080EF95049C.23">#REF!</definedName>
    <definedName name="MSTR.C083CD4611E5943644E30080EF95049C.230">#REF!</definedName>
    <definedName name="MSTR.C083CD4611E5943644E30080EF95049C.231">#REF!</definedName>
    <definedName name="MSTR.C083CD4611E5943644E30080EF95049C.232">#REF!</definedName>
    <definedName name="MSTR.C083CD4611E5943644E30080EF95049C.233">#REF!</definedName>
    <definedName name="MSTR.C083CD4611E5943644E30080EF95049C.234">#REF!</definedName>
    <definedName name="MSTR.C083CD4611E5943644E30080EF95049C.235">#REF!</definedName>
    <definedName name="MSTR.C083CD4611E5943644E30080EF95049C.236">#REF!</definedName>
    <definedName name="MSTR.C083CD4611E5943644E30080EF95049C.237">#REF!</definedName>
    <definedName name="MSTR.C083CD4611E5943644E30080EF95049C.238">#REF!</definedName>
    <definedName name="MSTR.C083CD4611E5943644E30080EF95049C.239">#REF!</definedName>
    <definedName name="MSTR.C083CD4611E5943644E30080EF95049C.24">#REF!</definedName>
    <definedName name="MSTR.C083CD4611E5943644E30080EF95049C.240">#REF!</definedName>
    <definedName name="MSTR.C083CD4611E5943644E30080EF95049C.241">#REF!</definedName>
    <definedName name="MSTR.C083CD4611E5943644E30080EF95049C.242">#REF!</definedName>
    <definedName name="MSTR.C083CD4611E5943644E30080EF95049C.243">#REF!</definedName>
    <definedName name="MSTR.C083CD4611E5943644E30080EF95049C.244">#REF!</definedName>
    <definedName name="MSTR.C083CD4611E5943644E30080EF95049C.245">#REF!</definedName>
    <definedName name="MSTR.C083CD4611E5943644E30080EF95049C.246">#REF!</definedName>
    <definedName name="MSTR.C083CD4611E5943644E30080EF95049C.247">#REF!</definedName>
    <definedName name="MSTR.C083CD4611E5943644E30080EF95049C.248">#REF!</definedName>
    <definedName name="MSTR.C083CD4611E5943644E30080EF95049C.249">#REF!</definedName>
    <definedName name="MSTR.C083CD4611E5943644E30080EF95049C.25">#REF!</definedName>
    <definedName name="MSTR.C083CD4611E5943644E30080EF95049C.250">#REF!</definedName>
    <definedName name="MSTR.C083CD4611E5943644E30080EF95049C.251">#REF!</definedName>
    <definedName name="MSTR.C083CD4611E5943644E30080EF95049C.252">#REF!</definedName>
    <definedName name="MSTR.C083CD4611E5943644E30080EF95049C.253">#REF!</definedName>
    <definedName name="MSTR.C083CD4611E5943644E30080EF95049C.254">#REF!</definedName>
    <definedName name="MSTR.C083CD4611E5943644E30080EF95049C.255">#REF!</definedName>
    <definedName name="MSTR.C083CD4611E5943644E30080EF95049C.256">#REF!</definedName>
    <definedName name="MSTR.C083CD4611E5943644E30080EF95049C.257">#REF!</definedName>
    <definedName name="MSTR.C083CD4611E5943644E30080EF95049C.258">#REF!</definedName>
    <definedName name="MSTR.C083CD4611E5943644E30080EF95049C.259">#REF!</definedName>
    <definedName name="MSTR.C083CD4611E5943644E30080EF95049C.26">#REF!</definedName>
    <definedName name="MSTR.C083CD4611E5943644E30080EF95049C.260">#REF!</definedName>
    <definedName name="MSTR.C083CD4611E5943644E30080EF95049C.261">#REF!</definedName>
    <definedName name="MSTR.C083CD4611E5943644E30080EF95049C.262">#REF!</definedName>
    <definedName name="MSTR.C083CD4611E5943644E30080EF95049C.263">#REF!</definedName>
    <definedName name="MSTR.C083CD4611E5943644E30080EF95049C.264">#REF!</definedName>
    <definedName name="MSTR.C083CD4611E5943644E30080EF95049C.265">#REF!</definedName>
    <definedName name="MSTR.C083CD4611E5943644E30080EF95049C.266">#REF!</definedName>
    <definedName name="MSTR.C083CD4611E5943644E30080EF95049C.267">#REF!</definedName>
    <definedName name="MSTR.C083CD4611E5943644E30080EF95049C.268">#REF!</definedName>
    <definedName name="MSTR.C083CD4611E5943644E30080EF95049C.269">#REF!</definedName>
    <definedName name="MSTR.C083CD4611E5943644E30080EF95049C.27">#REF!</definedName>
    <definedName name="MSTR.C083CD4611E5943644E30080EF95049C.270">#REF!</definedName>
    <definedName name="MSTR.C083CD4611E5943644E30080EF95049C.271">#REF!</definedName>
    <definedName name="MSTR.C083CD4611E5943644E30080EF95049C.272">#REF!</definedName>
    <definedName name="MSTR.C083CD4611E5943644E30080EF95049C.273">#REF!</definedName>
    <definedName name="MSTR.C083CD4611E5943644E30080EF95049C.274">#REF!</definedName>
    <definedName name="MSTR.C083CD4611E5943644E30080EF95049C.275">#REF!</definedName>
    <definedName name="MSTR.C083CD4611E5943644E30080EF95049C.276">#REF!</definedName>
    <definedName name="MSTR.C083CD4611E5943644E30080EF95049C.277">#REF!</definedName>
    <definedName name="MSTR.C083CD4611E5943644E30080EF95049C.278">#REF!</definedName>
    <definedName name="MSTR.C083CD4611E5943644E30080EF95049C.279">#REF!</definedName>
    <definedName name="MSTR.C083CD4611E5943644E30080EF95049C.28">#REF!</definedName>
    <definedName name="MSTR.C083CD4611E5943644E30080EF95049C.280">#REF!</definedName>
    <definedName name="MSTR.C083CD4611E5943644E30080EF95049C.281">#REF!</definedName>
    <definedName name="MSTR.C083CD4611E5943644E30080EF95049C.282">#REF!</definedName>
    <definedName name="MSTR.C083CD4611E5943644E30080EF95049C.283">#REF!</definedName>
    <definedName name="MSTR.C083CD4611E5943644E30080EF95049C.284">#REF!</definedName>
    <definedName name="MSTR.C083CD4611E5943644E30080EF95049C.285">#REF!</definedName>
    <definedName name="MSTR.C083CD4611E5943644E30080EF95049C.286">#REF!</definedName>
    <definedName name="MSTR.C083CD4611E5943644E30080EF95049C.287">#REF!</definedName>
    <definedName name="MSTR.C083CD4611E5943644E30080EF95049C.288">#REF!</definedName>
    <definedName name="MSTR.C083CD4611E5943644E30080EF95049C.289">#REF!</definedName>
    <definedName name="MSTR.C083CD4611E5943644E30080EF95049C.29">#REF!</definedName>
    <definedName name="MSTR.C083CD4611E5943644E30080EF95049C.290">#REF!</definedName>
    <definedName name="MSTR.C083CD4611E5943644E30080EF95049C.291">#REF!</definedName>
    <definedName name="MSTR.C083CD4611E5943644E30080EF95049C.292">#REF!</definedName>
    <definedName name="MSTR.C083CD4611E5943644E30080EF95049C.293">#REF!</definedName>
    <definedName name="MSTR.C083CD4611E5943644E30080EF95049C.294">#REF!</definedName>
    <definedName name="MSTR.C083CD4611E5943644E30080EF95049C.295">#REF!</definedName>
    <definedName name="MSTR.C083CD4611E5943644E30080EF95049C.296">#REF!</definedName>
    <definedName name="MSTR.C083CD4611E5943644E30080EF95049C.297">#REF!</definedName>
    <definedName name="MSTR.C083CD4611E5943644E30080EF95049C.298">#REF!</definedName>
    <definedName name="MSTR.C083CD4611E5943644E30080EF95049C.299">#REF!</definedName>
    <definedName name="MSTR.C083CD4611E5943644E30080EF95049C.3">#REF!</definedName>
    <definedName name="MSTR.C083CD4611E5943644E30080EF95049C.30">#REF!</definedName>
    <definedName name="MSTR.C083CD4611E5943644E30080EF95049C.300">#REF!</definedName>
    <definedName name="MSTR.C083CD4611E5943644E30080EF95049C.301">#REF!</definedName>
    <definedName name="MSTR.C083CD4611E5943644E30080EF95049C.302">#REF!</definedName>
    <definedName name="MSTR.C083CD4611E5943644E30080EF95049C.303">#REF!</definedName>
    <definedName name="MSTR.C083CD4611E5943644E30080EF95049C.304">#REF!</definedName>
    <definedName name="MSTR.C083CD4611E5943644E30080EF95049C.305">#REF!</definedName>
    <definedName name="MSTR.C083CD4611E5943644E30080EF95049C.306">#REF!</definedName>
    <definedName name="MSTR.C083CD4611E5943644E30080EF95049C.307">#REF!</definedName>
    <definedName name="MSTR.C083CD4611E5943644E30080EF95049C.308">#REF!</definedName>
    <definedName name="MSTR.C083CD4611E5943644E30080EF95049C.309">#REF!</definedName>
    <definedName name="MSTR.C083CD4611E5943644E30080EF95049C.31">#REF!</definedName>
    <definedName name="MSTR.C083CD4611E5943644E30080EF95049C.310">#REF!</definedName>
    <definedName name="MSTR.C083CD4611E5943644E30080EF95049C.311">#REF!</definedName>
    <definedName name="MSTR.C083CD4611E5943644E30080EF95049C.312">#REF!</definedName>
    <definedName name="MSTR.C083CD4611E5943644E30080EF95049C.313">#REF!</definedName>
    <definedName name="MSTR.C083CD4611E5943644E30080EF95049C.314">#REF!</definedName>
    <definedName name="MSTR.C083CD4611E5943644E30080EF95049C.315">#REF!</definedName>
    <definedName name="MSTR.C083CD4611E5943644E30080EF95049C.316">#REF!</definedName>
    <definedName name="MSTR.C083CD4611E5943644E30080EF95049C.317">#REF!</definedName>
    <definedName name="MSTR.C083CD4611E5943644E30080EF95049C.318">#REF!</definedName>
    <definedName name="MSTR.C083CD4611E5943644E30080EF95049C.319">#REF!</definedName>
    <definedName name="MSTR.C083CD4611E5943644E30080EF95049C.32">#REF!</definedName>
    <definedName name="MSTR.C083CD4611E5943644E30080EF95049C.320">#REF!</definedName>
    <definedName name="MSTR.C083CD4611E5943644E30080EF95049C.321">#REF!</definedName>
    <definedName name="MSTR.C083CD4611E5943644E30080EF95049C.322">#REF!</definedName>
    <definedName name="MSTR.C083CD4611E5943644E30080EF95049C.323">#REF!</definedName>
    <definedName name="MSTR.C083CD4611E5943644E30080EF95049C.324">#REF!</definedName>
    <definedName name="MSTR.C083CD4611E5943644E30080EF95049C.325">#REF!</definedName>
    <definedName name="MSTR.C083CD4611E5943644E30080EF95049C.326">#REF!</definedName>
    <definedName name="MSTR.C083CD4611E5943644E30080EF95049C.327">#REF!</definedName>
    <definedName name="MSTR.C083CD4611E5943644E30080EF95049C.328">#REF!</definedName>
    <definedName name="MSTR.C083CD4611E5943644E30080EF95049C.329">#REF!</definedName>
    <definedName name="MSTR.C083CD4611E5943644E30080EF95049C.33">#REF!</definedName>
    <definedName name="MSTR.C083CD4611E5943644E30080EF95049C.330">#REF!</definedName>
    <definedName name="MSTR.C083CD4611E5943644E30080EF95049C.331">#REF!</definedName>
    <definedName name="MSTR.C083CD4611E5943644E30080EF95049C.332">#REF!</definedName>
    <definedName name="MSTR.C083CD4611E5943644E30080EF95049C.333">#REF!</definedName>
    <definedName name="MSTR.C083CD4611E5943644E30080EF95049C.334">#REF!</definedName>
    <definedName name="MSTR.C083CD4611E5943644E30080EF95049C.335">#REF!</definedName>
    <definedName name="MSTR.C083CD4611E5943644E30080EF95049C.336">#REF!</definedName>
    <definedName name="MSTR.C083CD4611E5943644E30080EF95049C.337">#REF!</definedName>
    <definedName name="MSTR.C083CD4611E5943644E30080EF95049C.338">#REF!</definedName>
    <definedName name="MSTR.C083CD4611E5943644E30080EF95049C.339">#REF!</definedName>
    <definedName name="MSTR.C083CD4611E5943644E30080EF95049C.34">#REF!</definedName>
    <definedName name="MSTR.C083CD4611E5943644E30080EF95049C.340">#REF!</definedName>
    <definedName name="MSTR.C083CD4611E5943644E30080EF95049C.341">#REF!</definedName>
    <definedName name="MSTR.C083CD4611E5943644E30080EF95049C.342">#REF!</definedName>
    <definedName name="MSTR.C083CD4611E5943644E30080EF95049C.343">#REF!</definedName>
    <definedName name="MSTR.C083CD4611E5943644E30080EF95049C.344">#REF!</definedName>
    <definedName name="MSTR.C083CD4611E5943644E30080EF95049C.345">#REF!</definedName>
    <definedName name="MSTR.C083CD4611E5943644E30080EF95049C.346">#REF!</definedName>
    <definedName name="MSTR.C083CD4611E5943644E30080EF95049C.347">#REF!</definedName>
    <definedName name="MSTR.C083CD4611E5943644E30080EF95049C.348">#REF!</definedName>
    <definedName name="MSTR.C083CD4611E5943644E30080EF95049C.349">#REF!</definedName>
    <definedName name="MSTR.C083CD4611E5943644E30080EF95049C.35">#REF!</definedName>
    <definedName name="MSTR.C083CD4611E5943644E30080EF95049C.350">#REF!</definedName>
    <definedName name="MSTR.C083CD4611E5943644E30080EF95049C.351">#REF!</definedName>
    <definedName name="MSTR.C083CD4611E5943644E30080EF95049C.352">#REF!</definedName>
    <definedName name="MSTR.C083CD4611E5943644E30080EF95049C.353">#REF!</definedName>
    <definedName name="MSTR.C083CD4611E5943644E30080EF95049C.354">#REF!</definedName>
    <definedName name="MSTR.C083CD4611E5943644E30080EF95049C.355">#REF!</definedName>
    <definedName name="MSTR.C083CD4611E5943644E30080EF95049C.356">#REF!</definedName>
    <definedName name="MSTR.C083CD4611E5943644E30080EF95049C.357">#REF!</definedName>
    <definedName name="MSTR.C083CD4611E5943644E30080EF95049C.358">#REF!</definedName>
    <definedName name="MSTR.C083CD4611E5943644E30080EF95049C.359">#REF!</definedName>
    <definedName name="MSTR.C083CD4611E5943644E30080EF95049C.36">#REF!</definedName>
    <definedName name="MSTR.C083CD4611E5943644E30080EF95049C.360">#REF!</definedName>
    <definedName name="MSTR.C083CD4611E5943644E30080EF95049C.361">#REF!</definedName>
    <definedName name="MSTR.C083CD4611E5943644E30080EF95049C.362">#REF!</definedName>
    <definedName name="MSTR.C083CD4611E5943644E30080EF95049C.363">#REF!</definedName>
    <definedName name="MSTR.C083CD4611E5943644E30080EF95049C.364">#REF!</definedName>
    <definedName name="MSTR.C083CD4611E5943644E30080EF95049C.365">#REF!</definedName>
    <definedName name="MSTR.C083CD4611E5943644E30080EF95049C.366">#REF!</definedName>
    <definedName name="MSTR.C083CD4611E5943644E30080EF95049C.367">#REF!</definedName>
    <definedName name="MSTR.C083CD4611E5943644E30080EF95049C.368">#REF!</definedName>
    <definedName name="MSTR.C083CD4611E5943644E30080EF95049C.369">#REF!</definedName>
    <definedName name="MSTR.C083CD4611E5943644E30080EF95049C.37">#REF!</definedName>
    <definedName name="MSTR.C083CD4611E5943644E30080EF95049C.370">#REF!</definedName>
    <definedName name="MSTR.C083CD4611E5943644E30080EF95049C.371">#REF!</definedName>
    <definedName name="MSTR.C083CD4611E5943644E30080EF95049C.372">#REF!</definedName>
    <definedName name="MSTR.C083CD4611E5943644E30080EF95049C.373">#REF!</definedName>
    <definedName name="MSTR.C083CD4611E5943644E30080EF95049C.374">#REF!</definedName>
    <definedName name="MSTR.C083CD4611E5943644E30080EF95049C.375">#REF!</definedName>
    <definedName name="MSTR.C083CD4611E5943644E30080EF95049C.376">#REF!</definedName>
    <definedName name="MSTR.C083CD4611E5943644E30080EF95049C.377">#REF!</definedName>
    <definedName name="MSTR.C083CD4611E5943644E30080EF95049C.378">#REF!</definedName>
    <definedName name="MSTR.C083CD4611E5943644E30080EF95049C.379">#REF!</definedName>
    <definedName name="MSTR.C083CD4611E5943644E30080EF95049C.38">#REF!</definedName>
    <definedName name="MSTR.C083CD4611E5943644E30080EF95049C.380">#REF!</definedName>
    <definedName name="MSTR.C083CD4611E5943644E30080EF95049C.381">#REF!</definedName>
    <definedName name="MSTR.C083CD4611E5943644E30080EF95049C.382">#REF!</definedName>
    <definedName name="MSTR.C083CD4611E5943644E30080EF95049C.383">#REF!</definedName>
    <definedName name="MSTR.C083CD4611E5943644E30080EF95049C.384">#REF!</definedName>
    <definedName name="MSTR.C083CD4611E5943644E30080EF95049C.385">#REF!</definedName>
    <definedName name="MSTR.C083CD4611E5943644E30080EF95049C.386">#REF!</definedName>
    <definedName name="MSTR.C083CD4611E5943644E30080EF95049C.387">#REF!</definedName>
    <definedName name="MSTR.C083CD4611E5943644E30080EF95049C.388">#REF!</definedName>
    <definedName name="MSTR.C083CD4611E5943644E30080EF95049C.389">#REF!</definedName>
    <definedName name="MSTR.C083CD4611E5943644E30080EF95049C.39">#REF!</definedName>
    <definedName name="MSTR.C083CD4611E5943644E30080EF95049C.390">#REF!</definedName>
    <definedName name="MSTR.C083CD4611E5943644E30080EF95049C.391">#REF!</definedName>
    <definedName name="MSTR.C083CD4611E5943644E30080EF95049C.392">#REF!</definedName>
    <definedName name="MSTR.C083CD4611E5943644E30080EF95049C.393">#REF!</definedName>
    <definedName name="MSTR.C083CD4611E5943644E30080EF95049C.394">#REF!</definedName>
    <definedName name="MSTR.C083CD4611E5943644E30080EF95049C.395">#REF!</definedName>
    <definedName name="MSTR.C083CD4611E5943644E30080EF95049C.396">#REF!</definedName>
    <definedName name="MSTR.C083CD4611E5943644E30080EF95049C.397">#REF!</definedName>
    <definedName name="MSTR.C083CD4611E5943644E30080EF95049C.398">#REF!</definedName>
    <definedName name="MSTR.C083CD4611E5943644E30080EF95049C.399">#REF!</definedName>
    <definedName name="MSTR.C083CD4611E5943644E30080EF95049C.4">#REF!</definedName>
    <definedName name="MSTR.C083CD4611E5943644E30080EF95049C.40">#REF!</definedName>
    <definedName name="MSTR.C083CD4611E5943644E30080EF95049C.400">#REF!</definedName>
    <definedName name="MSTR.C083CD4611E5943644E30080EF95049C.401">#REF!</definedName>
    <definedName name="MSTR.C083CD4611E5943644E30080EF95049C.402">#REF!</definedName>
    <definedName name="MSTR.C083CD4611E5943644E30080EF95049C.403">#REF!</definedName>
    <definedName name="MSTR.C083CD4611E5943644E30080EF95049C.404">#REF!</definedName>
    <definedName name="MSTR.C083CD4611E5943644E30080EF95049C.405">#REF!</definedName>
    <definedName name="MSTR.C083CD4611E5943644E30080EF95049C.406">#REF!</definedName>
    <definedName name="MSTR.C083CD4611E5943644E30080EF95049C.407">#REF!</definedName>
    <definedName name="MSTR.C083CD4611E5943644E30080EF95049C.408">#REF!</definedName>
    <definedName name="MSTR.C083CD4611E5943644E30080EF95049C.409">#REF!</definedName>
    <definedName name="MSTR.C083CD4611E5943644E30080EF95049C.41">#REF!</definedName>
    <definedName name="MSTR.C083CD4611E5943644E30080EF95049C.410">#REF!</definedName>
    <definedName name="MSTR.C083CD4611E5943644E30080EF95049C.411">#REF!</definedName>
    <definedName name="MSTR.C083CD4611E5943644E30080EF95049C.412">#REF!</definedName>
    <definedName name="MSTR.C083CD4611E5943644E30080EF95049C.413">#REF!</definedName>
    <definedName name="MSTR.C083CD4611E5943644E30080EF95049C.414">#REF!</definedName>
    <definedName name="MSTR.C083CD4611E5943644E30080EF95049C.415">#REF!</definedName>
    <definedName name="MSTR.C083CD4611E5943644E30080EF95049C.416">#REF!</definedName>
    <definedName name="MSTR.C083CD4611E5943644E30080EF95049C.417">#REF!</definedName>
    <definedName name="MSTR.C083CD4611E5943644E30080EF95049C.418">#REF!</definedName>
    <definedName name="MSTR.C083CD4611E5943644E30080EF95049C.419">#REF!</definedName>
    <definedName name="MSTR.C083CD4611E5943644E30080EF95049C.42">#REF!</definedName>
    <definedName name="MSTR.C083CD4611E5943644E30080EF95049C.420">#REF!</definedName>
    <definedName name="MSTR.C083CD4611E5943644E30080EF95049C.421">#REF!</definedName>
    <definedName name="MSTR.C083CD4611E5943644E30080EF95049C.422">#REF!</definedName>
    <definedName name="MSTR.C083CD4611E5943644E30080EF95049C.423">#REF!</definedName>
    <definedName name="MSTR.C083CD4611E5943644E30080EF95049C.424">#REF!</definedName>
    <definedName name="MSTR.C083CD4611E5943644E30080EF95049C.425">#REF!</definedName>
    <definedName name="MSTR.C083CD4611E5943644E30080EF95049C.426">#REF!</definedName>
    <definedName name="MSTR.C083CD4611E5943644E30080EF95049C.427">#REF!</definedName>
    <definedName name="MSTR.C083CD4611E5943644E30080EF95049C.428">#REF!</definedName>
    <definedName name="MSTR.C083CD4611E5943644E30080EF95049C.429">#REF!</definedName>
    <definedName name="MSTR.C083CD4611E5943644E30080EF95049C.43">#REF!</definedName>
    <definedName name="MSTR.C083CD4611E5943644E30080EF95049C.430">#REF!</definedName>
    <definedName name="MSTR.C083CD4611E5943644E30080EF95049C.431">#REF!</definedName>
    <definedName name="MSTR.C083CD4611E5943644E30080EF95049C.432">#REF!</definedName>
    <definedName name="MSTR.C083CD4611E5943644E30080EF95049C.433">#REF!</definedName>
    <definedName name="MSTR.C083CD4611E5943644E30080EF95049C.434">#REF!</definedName>
    <definedName name="MSTR.C083CD4611E5943644E30080EF95049C.435">#REF!</definedName>
    <definedName name="MSTR.C083CD4611E5943644E30080EF95049C.436">#REF!</definedName>
    <definedName name="MSTR.C083CD4611E5943644E30080EF95049C.437">#REF!</definedName>
    <definedName name="MSTR.C083CD4611E5943644E30080EF95049C.438">#REF!</definedName>
    <definedName name="MSTR.C083CD4611E5943644E30080EF95049C.439">#REF!</definedName>
    <definedName name="MSTR.C083CD4611E5943644E30080EF95049C.44">#REF!</definedName>
    <definedName name="MSTR.C083CD4611E5943644E30080EF95049C.440">#REF!</definedName>
    <definedName name="MSTR.C083CD4611E5943644E30080EF95049C.441">#REF!</definedName>
    <definedName name="MSTR.C083CD4611E5943644E30080EF95049C.442">#REF!</definedName>
    <definedName name="MSTR.C083CD4611E5943644E30080EF95049C.443">#REF!</definedName>
    <definedName name="MSTR.C083CD4611E5943644E30080EF95049C.444">#REF!</definedName>
    <definedName name="MSTR.C083CD4611E5943644E30080EF95049C.445">#REF!</definedName>
    <definedName name="MSTR.C083CD4611E5943644E30080EF95049C.446">#REF!</definedName>
    <definedName name="MSTR.C083CD4611E5943644E30080EF95049C.447">#REF!</definedName>
    <definedName name="MSTR.C083CD4611E5943644E30080EF95049C.448">#REF!</definedName>
    <definedName name="MSTR.C083CD4611E5943644E30080EF95049C.449">#REF!</definedName>
    <definedName name="MSTR.C083CD4611E5943644E30080EF95049C.45">#REF!</definedName>
    <definedName name="MSTR.C083CD4611E5943644E30080EF95049C.450">#REF!</definedName>
    <definedName name="MSTR.C083CD4611E5943644E30080EF95049C.451">#REF!</definedName>
    <definedName name="MSTR.C083CD4611E5943644E30080EF95049C.452">#REF!</definedName>
    <definedName name="MSTR.C083CD4611E5943644E30080EF95049C.453">#REF!</definedName>
    <definedName name="MSTR.C083CD4611E5943644E30080EF95049C.454">#REF!</definedName>
    <definedName name="MSTR.C083CD4611E5943644E30080EF95049C.455">#REF!</definedName>
    <definedName name="MSTR.C083CD4611E5943644E30080EF95049C.456">#REF!</definedName>
    <definedName name="MSTR.C083CD4611E5943644E30080EF95049C.457">#REF!</definedName>
    <definedName name="MSTR.C083CD4611E5943644E30080EF95049C.458">#REF!</definedName>
    <definedName name="MSTR.C083CD4611E5943644E30080EF95049C.459">#REF!</definedName>
    <definedName name="MSTR.C083CD4611E5943644E30080EF95049C.46">#REF!</definedName>
    <definedName name="MSTR.C083CD4611E5943644E30080EF95049C.460">#REF!</definedName>
    <definedName name="MSTR.C083CD4611E5943644E30080EF95049C.461">#REF!</definedName>
    <definedName name="MSTR.C083CD4611E5943644E30080EF95049C.462">#REF!</definedName>
    <definedName name="MSTR.C083CD4611E5943644E30080EF95049C.463">#REF!</definedName>
    <definedName name="MSTR.C083CD4611E5943644E30080EF95049C.464">#REF!</definedName>
    <definedName name="MSTR.C083CD4611E5943644E30080EF95049C.465">#REF!</definedName>
    <definedName name="MSTR.C083CD4611E5943644E30080EF95049C.466">#REF!</definedName>
    <definedName name="MSTR.C083CD4611E5943644E30080EF95049C.467">#REF!</definedName>
    <definedName name="MSTR.C083CD4611E5943644E30080EF95049C.468">#REF!</definedName>
    <definedName name="MSTR.C083CD4611E5943644E30080EF95049C.469">#REF!</definedName>
    <definedName name="MSTR.C083CD4611E5943644E30080EF95049C.47">#REF!</definedName>
    <definedName name="MSTR.C083CD4611E5943644E30080EF95049C.470">#REF!</definedName>
    <definedName name="MSTR.C083CD4611E5943644E30080EF95049C.471">#REF!</definedName>
    <definedName name="MSTR.C083CD4611E5943644E30080EF95049C.472">#REF!</definedName>
    <definedName name="MSTR.C083CD4611E5943644E30080EF95049C.473">#REF!</definedName>
    <definedName name="MSTR.C083CD4611E5943644E30080EF95049C.474">#REF!</definedName>
    <definedName name="MSTR.C083CD4611E5943644E30080EF95049C.475">#REF!</definedName>
    <definedName name="MSTR.C083CD4611E5943644E30080EF95049C.476">#REF!</definedName>
    <definedName name="MSTR.C083CD4611E5943644E30080EF95049C.477">#REF!</definedName>
    <definedName name="MSTR.C083CD4611E5943644E30080EF95049C.478">#REF!</definedName>
    <definedName name="MSTR.C083CD4611E5943644E30080EF95049C.479">#REF!</definedName>
    <definedName name="MSTR.C083CD4611E5943644E30080EF95049C.48">#REF!</definedName>
    <definedName name="MSTR.C083CD4611E5943644E30080EF95049C.480">#REF!</definedName>
    <definedName name="MSTR.C083CD4611E5943644E30080EF95049C.481">#REF!</definedName>
    <definedName name="MSTR.C083CD4611E5943644E30080EF95049C.482">#REF!</definedName>
    <definedName name="MSTR.C083CD4611E5943644E30080EF95049C.483">#REF!</definedName>
    <definedName name="MSTR.C083CD4611E5943644E30080EF95049C.484">#REF!</definedName>
    <definedName name="MSTR.C083CD4611E5943644E30080EF95049C.485">#REF!</definedName>
    <definedName name="MSTR.C083CD4611E5943644E30080EF95049C.486">#REF!</definedName>
    <definedName name="MSTR.C083CD4611E5943644E30080EF95049C.487">#REF!</definedName>
    <definedName name="MSTR.C083CD4611E5943644E30080EF95049C.488">#REF!</definedName>
    <definedName name="MSTR.C083CD4611E5943644E30080EF95049C.489">#REF!</definedName>
    <definedName name="MSTR.C083CD4611E5943644E30080EF95049C.49">#REF!</definedName>
    <definedName name="MSTR.C083CD4611E5943644E30080EF95049C.490">#REF!</definedName>
    <definedName name="MSTR.C083CD4611E5943644E30080EF95049C.491">#REF!</definedName>
    <definedName name="MSTR.C083CD4611E5943644E30080EF95049C.492">#REF!</definedName>
    <definedName name="MSTR.C083CD4611E5943644E30080EF95049C.493">#REF!</definedName>
    <definedName name="MSTR.C083CD4611E5943644E30080EF95049C.494">#REF!</definedName>
    <definedName name="MSTR.C083CD4611E5943644E30080EF95049C.495">#REF!</definedName>
    <definedName name="MSTR.C083CD4611E5943644E30080EF95049C.496">#REF!</definedName>
    <definedName name="MSTR.C083CD4611E5943644E30080EF95049C.497">#REF!</definedName>
    <definedName name="MSTR.C083CD4611E5943644E30080EF95049C.498">#REF!</definedName>
    <definedName name="MSTR.C083CD4611E5943644E30080EF95049C.499">#REF!</definedName>
    <definedName name="MSTR.C083CD4611E5943644E30080EF95049C.5">#REF!</definedName>
    <definedName name="MSTR.C083CD4611E5943644E30080EF95049C.50">#REF!</definedName>
    <definedName name="MSTR.C083CD4611E5943644E30080EF95049C.500">#REF!</definedName>
    <definedName name="MSTR.C083CD4611E5943644E30080EF95049C.501">#REF!</definedName>
    <definedName name="MSTR.C083CD4611E5943644E30080EF95049C.502">#REF!</definedName>
    <definedName name="MSTR.C083CD4611E5943644E30080EF95049C.503">#REF!</definedName>
    <definedName name="MSTR.C083CD4611E5943644E30080EF95049C.504">#REF!</definedName>
    <definedName name="MSTR.C083CD4611E5943644E30080EF95049C.505">#REF!</definedName>
    <definedName name="MSTR.C083CD4611E5943644E30080EF95049C.506">#REF!</definedName>
    <definedName name="MSTR.C083CD4611E5943644E30080EF95049C.507">#REF!</definedName>
    <definedName name="MSTR.C083CD4611E5943644E30080EF95049C.508">#REF!</definedName>
    <definedName name="MSTR.C083CD4611E5943644E30080EF95049C.509">#REF!</definedName>
    <definedName name="MSTR.C083CD4611E5943644E30080EF95049C.51">#REF!</definedName>
    <definedName name="MSTR.C083CD4611E5943644E30080EF95049C.510">#REF!</definedName>
    <definedName name="MSTR.C083CD4611E5943644E30080EF95049C.511">#REF!</definedName>
    <definedName name="MSTR.C083CD4611E5943644E30080EF95049C.512">#REF!</definedName>
    <definedName name="MSTR.C083CD4611E5943644E30080EF95049C.513">#REF!</definedName>
    <definedName name="MSTR.C083CD4611E5943644E30080EF95049C.514">#REF!</definedName>
    <definedName name="MSTR.C083CD4611E5943644E30080EF95049C.515">#REF!</definedName>
    <definedName name="MSTR.C083CD4611E5943644E30080EF95049C.516">#REF!</definedName>
    <definedName name="MSTR.C083CD4611E5943644E30080EF95049C.517">#REF!</definedName>
    <definedName name="MSTR.C083CD4611E5943644E30080EF95049C.518">#REF!</definedName>
    <definedName name="MSTR.C083CD4611E5943644E30080EF95049C.519">#REF!</definedName>
    <definedName name="MSTR.C083CD4611E5943644E30080EF95049C.52">#REF!</definedName>
    <definedName name="MSTR.C083CD4611E5943644E30080EF95049C.520">#REF!</definedName>
    <definedName name="MSTR.C083CD4611E5943644E30080EF95049C.521">#REF!</definedName>
    <definedName name="MSTR.C083CD4611E5943644E30080EF95049C.522">#REF!</definedName>
    <definedName name="MSTR.C083CD4611E5943644E30080EF95049C.523">#REF!</definedName>
    <definedName name="MSTR.C083CD4611E5943644E30080EF95049C.524">#REF!</definedName>
    <definedName name="MSTR.C083CD4611E5943644E30080EF95049C.525">#REF!</definedName>
    <definedName name="MSTR.C083CD4611E5943644E30080EF95049C.526">#REF!</definedName>
    <definedName name="MSTR.C083CD4611E5943644E30080EF95049C.527">#REF!</definedName>
    <definedName name="MSTR.C083CD4611E5943644E30080EF95049C.528">#REF!</definedName>
    <definedName name="MSTR.C083CD4611E5943644E30080EF95049C.529">#REF!</definedName>
    <definedName name="MSTR.C083CD4611E5943644E30080EF95049C.53">#REF!</definedName>
    <definedName name="MSTR.C083CD4611E5943644E30080EF95049C.530">#REF!</definedName>
    <definedName name="MSTR.C083CD4611E5943644E30080EF95049C.531">#REF!</definedName>
    <definedName name="MSTR.C083CD4611E5943644E30080EF95049C.532">#REF!</definedName>
    <definedName name="MSTR.C083CD4611E5943644E30080EF95049C.533">#REF!</definedName>
    <definedName name="MSTR.C083CD4611E5943644E30080EF95049C.534">#REF!</definedName>
    <definedName name="MSTR.C083CD4611E5943644E30080EF95049C.535">#REF!</definedName>
    <definedName name="MSTR.C083CD4611E5943644E30080EF95049C.536">#REF!</definedName>
    <definedName name="MSTR.C083CD4611E5943644E30080EF95049C.537">#REF!</definedName>
    <definedName name="MSTR.C083CD4611E5943644E30080EF95049C.538">#REF!</definedName>
    <definedName name="MSTR.C083CD4611E5943644E30080EF95049C.539">#REF!</definedName>
    <definedName name="MSTR.C083CD4611E5943644E30080EF95049C.54">#REF!</definedName>
    <definedName name="MSTR.C083CD4611E5943644E30080EF95049C.540">#REF!</definedName>
    <definedName name="MSTR.C083CD4611E5943644E30080EF95049C.541">#REF!</definedName>
    <definedName name="MSTR.C083CD4611E5943644E30080EF95049C.542">#REF!</definedName>
    <definedName name="MSTR.C083CD4611E5943644E30080EF95049C.543">#REF!</definedName>
    <definedName name="MSTR.C083CD4611E5943644E30080EF95049C.544">#REF!</definedName>
    <definedName name="MSTR.C083CD4611E5943644E30080EF95049C.545">#REF!</definedName>
    <definedName name="MSTR.C083CD4611E5943644E30080EF95049C.546">#REF!</definedName>
    <definedName name="MSTR.C083CD4611E5943644E30080EF95049C.547">#REF!</definedName>
    <definedName name="MSTR.C083CD4611E5943644E30080EF95049C.548">#REF!</definedName>
    <definedName name="MSTR.C083CD4611E5943644E30080EF95049C.549">#REF!</definedName>
    <definedName name="MSTR.C083CD4611E5943644E30080EF95049C.55">#REF!</definedName>
    <definedName name="MSTR.C083CD4611E5943644E30080EF95049C.550">#REF!</definedName>
    <definedName name="MSTR.C083CD4611E5943644E30080EF95049C.551">#REF!</definedName>
    <definedName name="MSTR.C083CD4611E5943644E30080EF95049C.552">#REF!</definedName>
    <definedName name="MSTR.C083CD4611E5943644E30080EF95049C.553">#REF!</definedName>
    <definedName name="MSTR.C083CD4611E5943644E30080EF95049C.554">#REF!</definedName>
    <definedName name="MSTR.C083CD4611E5943644E30080EF95049C.555">#REF!</definedName>
    <definedName name="MSTR.C083CD4611E5943644E30080EF95049C.556">#REF!</definedName>
    <definedName name="MSTR.C083CD4611E5943644E30080EF95049C.557">#REF!</definedName>
    <definedName name="MSTR.C083CD4611E5943644E30080EF95049C.558">#REF!</definedName>
    <definedName name="MSTR.C083CD4611E5943644E30080EF95049C.559">#REF!</definedName>
    <definedName name="MSTR.C083CD4611E5943644E30080EF95049C.56">#REF!</definedName>
    <definedName name="MSTR.C083CD4611E5943644E30080EF95049C.560">#REF!</definedName>
    <definedName name="MSTR.C083CD4611E5943644E30080EF95049C.561">#REF!</definedName>
    <definedName name="MSTR.C083CD4611E5943644E30080EF95049C.562">#REF!</definedName>
    <definedName name="MSTR.C083CD4611E5943644E30080EF95049C.563">#REF!</definedName>
    <definedName name="MSTR.C083CD4611E5943644E30080EF95049C.564">#REF!</definedName>
    <definedName name="MSTR.C083CD4611E5943644E30080EF95049C.565">#REF!</definedName>
    <definedName name="MSTR.C083CD4611E5943644E30080EF95049C.566">#REF!</definedName>
    <definedName name="MSTR.C083CD4611E5943644E30080EF95049C.567">#REF!</definedName>
    <definedName name="MSTR.C083CD4611E5943644E30080EF95049C.568">#REF!</definedName>
    <definedName name="MSTR.C083CD4611E5943644E30080EF95049C.569">#REF!</definedName>
    <definedName name="MSTR.C083CD4611E5943644E30080EF95049C.57">#REF!</definedName>
    <definedName name="MSTR.C083CD4611E5943644E30080EF95049C.570">#REF!</definedName>
    <definedName name="MSTR.C083CD4611E5943644E30080EF95049C.571">#REF!</definedName>
    <definedName name="MSTR.C083CD4611E5943644E30080EF95049C.572">#REF!</definedName>
    <definedName name="MSTR.C083CD4611E5943644E30080EF95049C.573">#REF!</definedName>
    <definedName name="MSTR.C083CD4611E5943644E30080EF95049C.574">#REF!</definedName>
    <definedName name="MSTR.C083CD4611E5943644E30080EF95049C.575">#REF!</definedName>
    <definedName name="MSTR.C083CD4611E5943644E30080EF95049C.576">#REF!</definedName>
    <definedName name="MSTR.C083CD4611E5943644E30080EF95049C.577">#REF!</definedName>
    <definedName name="MSTR.C083CD4611E5943644E30080EF95049C.578">#REF!</definedName>
    <definedName name="MSTR.C083CD4611E5943644E30080EF95049C.579">#REF!</definedName>
    <definedName name="MSTR.C083CD4611E5943644E30080EF95049C.58">#REF!</definedName>
    <definedName name="MSTR.C083CD4611E5943644E30080EF95049C.580">#REF!</definedName>
    <definedName name="MSTR.C083CD4611E5943644E30080EF95049C.581">#REF!</definedName>
    <definedName name="MSTR.C083CD4611E5943644E30080EF95049C.582">#REF!</definedName>
    <definedName name="MSTR.C083CD4611E5943644E30080EF95049C.583">#REF!</definedName>
    <definedName name="MSTR.C083CD4611E5943644E30080EF95049C.584">#REF!</definedName>
    <definedName name="MSTR.C083CD4611E5943644E30080EF95049C.585">#REF!</definedName>
    <definedName name="MSTR.C083CD4611E5943644E30080EF95049C.586">#REF!</definedName>
    <definedName name="MSTR.C083CD4611E5943644E30080EF95049C.587">#REF!</definedName>
    <definedName name="MSTR.C083CD4611E5943644E30080EF95049C.588">#REF!</definedName>
    <definedName name="MSTR.C083CD4611E5943644E30080EF95049C.589">#REF!</definedName>
    <definedName name="MSTR.C083CD4611E5943644E30080EF95049C.59">#REF!</definedName>
    <definedName name="MSTR.C083CD4611E5943644E30080EF95049C.590">#REF!</definedName>
    <definedName name="MSTR.C083CD4611E5943644E30080EF95049C.591">#REF!</definedName>
    <definedName name="MSTR.C083CD4611E5943644E30080EF95049C.592">#REF!</definedName>
    <definedName name="MSTR.C083CD4611E5943644E30080EF95049C.593">#REF!</definedName>
    <definedName name="MSTR.C083CD4611E5943644E30080EF95049C.594">#REF!</definedName>
    <definedName name="MSTR.C083CD4611E5943644E30080EF95049C.595">#REF!</definedName>
    <definedName name="MSTR.C083CD4611E5943644E30080EF95049C.596">#REF!</definedName>
    <definedName name="MSTR.C083CD4611E5943644E30080EF95049C.597">#REF!</definedName>
    <definedName name="MSTR.C083CD4611E5943644E30080EF95049C.598">#REF!</definedName>
    <definedName name="MSTR.C083CD4611E5943644E30080EF95049C.599">#REF!</definedName>
    <definedName name="MSTR.C083CD4611E5943644E30080EF95049C.6">#REF!</definedName>
    <definedName name="MSTR.C083CD4611E5943644E30080EF95049C.60">#REF!</definedName>
    <definedName name="MSTR.C083CD4611E5943644E30080EF95049C.600">#REF!</definedName>
    <definedName name="MSTR.C083CD4611E5943644E30080EF95049C.601">#REF!</definedName>
    <definedName name="MSTR.C083CD4611E5943644E30080EF95049C.602">#REF!</definedName>
    <definedName name="MSTR.C083CD4611E5943644E30080EF95049C.603">#REF!</definedName>
    <definedName name="MSTR.C083CD4611E5943644E30080EF95049C.604">#REF!</definedName>
    <definedName name="MSTR.C083CD4611E5943644E30080EF95049C.605">#REF!</definedName>
    <definedName name="MSTR.C083CD4611E5943644E30080EF95049C.606">#REF!</definedName>
    <definedName name="MSTR.C083CD4611E5943644E30080EF95049C.607">#REF!</definedName>
    <definedName name="MSTR.C083CD4611E5943644E30080EF95049C.608">#REF!</definedName>
    <definedName name="MSTR.C083CD4611E5943644E30080EF95049C.609">#REF!</definedName>
    <definedName name="MSTR.C083CD4611E5943644E30080EF95049C.61">#REF!</definedName>
    <definedName name="MSTR.C083CD4611E5943644E30080EF95049C.610">#REF!</definedName>
    <definedName name="MSTR.C083CD4611E5943644E30080EF95049C.611">#REF!</definedName>
    <definedName name="MSTR.C083CD4611E5943644E30080EF95049C.612">#REF!</definedName>
    <definedName name="MSTR.C083CD4611E5943644E30080EF95049C.613">#REF!</definedName>
    <definedName name="MSTR.C083CD4611E5943644E30080EF95049C.614">#REF!</definedName>
    <definedName name="MSTR.C083CD4611E5943644E30080EF95049C.615">#REF!</definedName>
    <definedName name="MSTR.C083CD4611E5943644E30080EF95049C.616">#REF!</definedName>
    <definedName name="MSTR.C083CD4611E5943644E30080EF95049C.617">#REF!</definedName>
    <definedName name="MSTR.C083CD4611E5943644E30080EF95049C.618">#REF!</definedName>
    <definedName name="MSTR.C083CD4611E5943644E30080EF95049C.619">#REF!</definedName>
    <definedName name="MSTR.C083CD4611E5943644E30080EF95049C.62">#REF!</definedName>
    <definedName name="MSTR.C083CD4611E5943644E30080EF95049C.620">#REF!</definedName>
    <definedName name="MSTR.C083CD4611E5943644E30080EF95049C.621">#REF!</definedName>
    <definedName name="MSTR.C083CD4611E5943644E30080EF95049C.622">#REF!</definedName>
    <definedName name="MSTR.C083CD4611E5943644E30080EF95049C.623">#REF!</definedName>
    <definedName name="MSTR.C083CD4611E5943644E30080EF95049C.624">#REF!</definedName>
    <definedName name="MSTR.C083CD4611E5943644E30080EF95049C.625">#REF!</definedName>
    <definedName name="MSTR.C083CD4611E5943644E30080EF95049C.626">#REF!</definedName>
    <definedName name="MSTR.C083CD4611E5943644E30080EF95049C.627">#REF!</definedName>
    <definedName name="MSTR.C083CD4611E5943644E30080EF95049C.628">#REF!</definedName>
    <definedName name="MSTR.C083CD4611E5943644E30080EF95049C.629">#REF!</definedName>
    <definedName name="MSTR.C083CD4611E5943644E30080EF95049C.63">#REF!</definedName>
    <definedName name="MSTR.C083CD4611E5943644E30080EF95049C.630">#REF!</definedName>
    <definedName name="MSTR.C083CD4611E5943644E30080EF95049C.631">#REF!</definedName>
    <definedName name="MSTR.C083CD4611E5943644E30080EF95049C.632">#REF!</definedName>
    <definedName name="MSTR.C083CD4611E5943644E30080EF95049C.633">#REF!</definedName>
    <definedName name="MSTR.C083CD4611E5943644E30080EF95049C.634">#REF!</definedName>
    <definedName name="MSTR.C083CD4611E5943644E30080EF95049C.635">#REF!</definedName>
    <definedName name="MSTR.C083CD4611E5943644E30080EF95049C.636">#REF!</definedName>
    <definedName name="MSTR.C083CD4611E5943644E30080EF95049C.637">#REF!</definedName>
    <definedName name="MSTR.C083CD4611E5943644E30080EF95049C.638">#REF!</definedName>
    <definedName name="MSTR.C083CD4611E5943644E30080EF95049C.639">#REF!</definedName>
    <definedName name="MSTR.C083CD4611E5943644E30080EF95049C.64">#REF!</definedName>
    <definedName name="MSTR.C083CD4611E5943644E30080EF95049C.640">#REF!</definedName>
    <definedName name="MSTR.C083CD4611E5943644E30080EF95049C.641">#REF!</definedName>
    <definedName name="MSTR.C083CD4611E5943644E30080EF95049C.642">#REF!</definedName>
    <definedName name="MSTR.C083CD4611E5943644E30080EF95049C.643">#REF!</definedName>
    <definedName name="MSTR.C083CD4611E5943644E30080EF95049C.644">#REF!</definedName>
    <definedName name="MSTR.C083CD4611E5943644E30080EF95049C.645">#REF!</definedName>
    <definedName name="MSTR.C083CD4611E5943644E30080EF95049C.646">#REF!</definedName>
    <definedName name="MSTR.C083CD4611E5943644E30080EF95049C.647">#REF!</definedName>
    <definedName name="MSTR.C083CD4611E5943644E30080EF95049C.648">#REF!</definedName>
    <definedName name="MSTR.C083CD4611E5943644E30080EF95049C.649">#REF!</definedName>
    <definedName name="MSTR.C083CD4611E5943644E30080EF95049C.65">#REF!</definedName>
    <definedName name="MSTR.C083CD4611E5943644E30080EF95049C.650">#REF!</definedName>
    <definedName name="MSTR.C083CD4611E5943644E30080EF95049C.651">#REF!</definedName>
    <definedName name="MSTR.C083CD4611E5943644E30080EF95049C.652">#REF!</definedName>
    <definedName name="MSTR.C083CD4611E5943644E30080EF95049C.653">#REF!</definedName>
    <definedName name="MSTR.C083CD4611E5943644E30080EF95049C.654">#REF!</definedName>
    <definedName name="MSTR.C083CD4611E5943644E30080EF95049C.655">#REF!</definedName>
    <definedName name="MSTR.C083CD4611E5943644E30080EF95049C.656">#REF!</definedName>
    <definedName name="MSTR.C083CD4611E5943644E30080EF95049C.657">#REF!</definedName>
    <definedName name="MSTR.C083CD4611E5943644E30080EF95049C.658">#REF!</definedName>
    <definedName name="MSTR.C083CD4611E5943644E30080EF95049C.659">#REF!</definedName>
    <definedName name="MSTR.C083CD4611E5943644E30080EF95049C.66">#REF!</definedName>
    <definedName name="MSTR.C083CD4611E5943644E30080EF95049C.660">#REF!</definedName>
    <definedName name="MSTR.C083CD4611E5943644E30080EF95049C.661">#REF!</definedName>
    <definedName name="MSTR.C083CD4611E5943644E30080EF95049C.662">#REF!</definedName>
    <definedName name="MSTR.C083CD4611E5943644E30080EF95049C.663">#REF!</definedName>
    <definedName name="MSTR.C083CD4611E5943644E30080EF95049C.664">#REF!</definedName>
    <definedName name="MSTR.C083CD4611E5943644E30080EF95049C.665">#REF!</definedName>
    <definedName name="MSTR.C083CD4611E5943644E30080EF95049C.666">#REF!</definedName>
    <definedName name="MSTR.C083CD4611E5943644E30080EF95049C.667">#REF!</definedName>
    <definedName name="MSTR.C083CD4611E5943644E30080EF95049C.668">#REF!</definedName>
    <definedName name="MSTR.C083CD4611E5943644E30080EF95049C.669">#REF!</definedName>
    <definedName name="MSTR.C083CD4611E5943644E30080EF95049C.67">#REF!</definedName>
    <definedName name="MSTR.C083CD4611E5943644E30080EF95049C.670">#REF!</definedName>
    <definedName name="MSTR.C083CD4611E5943644E30080EF95049C.671">#REF!</definedName>
    <definedName name="MSTR.C083CD4611E5943644E30080EF95049C.672">#REF!</definedName>
    <definedName name="MSTR.C083CD4611E5943644E30080EF95049C.673">#REF!</definedName>
    <definedName name="MSTR.C083CD4611E5943644E30080EF95049C.674">#REF!</definedName>
    <definedName name="MSTR.C083CD4611E5943644E30080EF95049C.675">#REF!</definedName>
    <definedName name="MSTR.C083CD4611E5943644E30080EF95049C.676">#REF!</definedName>
    <definedName name="MSTR.C083CD4611E5943644E30080EF95049C.677">#REF!</definedName>
    <definedName name="MSTR.C083CD4611E5943644E30080EF95049C.678">#REF!</definedName>
    <definedName name="MSTR.C083CD4611E5943644E30080EF95049C.679">#REF!</definedName>
    <definedName name="MSTR.C083CD4611E5943644E30080EF95049C.68">#REF!</definedName>
    <definedName name="MSTR.C083CD4611E5943644E30080EF95049C.680">#REF!</definedName>
    <definedName name="MSTR.C083CD4611E5943644E30080EF95049C.681">#REF!</definedName>
    <definedName name="MSTR.C083CD4611E5943644E30080EF95049C.682">#REF!</definedName>
    <definedName name="MSTR.C083CD4611E5943644E30080EF95049C.683">#REF!</definedName>
    <definedName name="MSTR.C083CD4611E5943644E30080EF95049C.684">#REF!</definedName>
    <definedName name="MSTR.C083CD4611E5943644E30080EF95049C.685">#REF!</definedName>
    <definedName name="MSTR.C083CD4611E5943644E30080EF95049C.686">#REF!</definedName>
    <definedName name="MSTR.C083CD4611E5943644E30080EF95049C.687">#REF!</definedName>
    <definedName name="MSTR.C083CD4611E5943644E30080EF95049C.688">#REF!</definedName>
    <definedName name="MSTR.C083CD4611E5943644E30080EF95049C.689">#REF!</definedName>
    <definedName name="MSTR.C083CD4611E5943644E30080EF95049C.69">#REF!</definedName>
    <definedName name="MSTR.C083CD4611E5943644E30080EF95049C.690">#REF!</definedName>
    <definedName name="MSTR.C083CD4611E5943644E30080EF95049C.691">#REF!</definedName>
    <definedName name="MSTR.C083CD4611E5943644E30080EF95049C.692">#REF!</definedName>
    <definedName name="MSTR.C083CD4611E5943644E30080EF95049C.693">#REF!</definedName>
    <definedName name="MSTR.C083CD4611E5943644E30080EF95049C.694">#REF!</definedName>
    <definedName name="MSTR.C083CD4611E5943644E30080EF95049C.695">#REF!</definedName>
    <definedName name="MSTR.C083CD4611E5943644E30080EF95049C.696">#REF!</definedName>
    <definedName name="MSTR.C083CD4611E5943644E30080EF95049C.697">#REF!</definedName>
    <definedName name="MSTR.C083CD4611E5943644E30080EF95049C.698">#REF!</definedName>
    <definedName name="MSTR.C083CD4611E5943644E30080EF95049C.699">#REF!</definedName>
    <definedName name="MSTR.C083CD4611E5943644E30080EF95049C.7">#REF!</definedName>
    <definedName name="MSTR.C083CD4611E5943644E30080EF95049C.70">#REF!</definedName>
    <definedName name="MSTR.C083CD4611E5943644E30080EF95049C.700">#REF!</definedName>
    <definedName name="MSTR.C083CD4611E5943644E30080EF95049C.701">#REF!</definedName>
    <definedName name="MSTR.C083CD4611E5943644E30080EF95049C.702">#REF!</definedName>
    <definedName name="MSTR.C083CD4611E5943644E30080EF95049C.703">#REF!</definedName>
    <definedName name="MSTR.C083CD4611E5943644E30080EF95049C.704">#REF!</definedName>
    <definedName name="MSTR.C083CD4611E5943644E30080EF95049C.705">#REF!</definedName>
    <definedName name="MSTR.C083CD4611E5943644E30080EF95049C.706">#REF!</definedName>
    <definedName name="MSTR.C083CD4611E5943644E30080EF95049C.707">#REF!</definedName>
    <definedName name="MSTR.C083CD4611E5943644E30080EF95049C.708">#REF!</definedName>
    <definedName name="MSTR.C083CD4611E5943644E30080EF95049C.709">#REF!</definedName>
    <definedName name="MSTR.C083CD4611E5943644E30080EF95049C.71">#REF!</definedName>
    <definedName name="MSTR.C083CD4611E5943644E30080EF95049C.710">#REF!</definedName>
    <definedName name="MSTR.C083CD4611E5943644E30080EF95049C.711">#REF!</definedName>
    <definedName name="MSTR.C083CD4611E5943644E30080EF95049C.712">#REF!</definedName>
    <definedName name="MSTR.C083CD4611E5943644E30080EF95049C.713">#REF!</definedName>
    <definedName name="MSTR.C083CD4611E5943644E30080EF95049C.714">#REF!</definedName>
    <definedName name="MSTR.C083CD4611E5943644E30080EF95049C.715">#REF!</definedName>
    <definedName name="MSTR.C083CD4611E5943644E30080EF95049C.716">#REF!</definedName>
    <definedName name="MSTR.C083CD4611E5943644E30080EF95049C.717">#REF!</definedName>
    <definedName name="MSTR.C083CD4611E5943644E30080EF95049C.718">#REF!</definedName>
    <definedName name="MSTR.C083CD4611E5943644E30080EF95049C.719">#REF!</definedName>
    <definedName name="MSTR.C083CD4611E5943644E30080EF95049C.72">#REF!</definedName>
    <definedName name="MSTR.C083CD4611E5943644E30080EF95049C.720">#REF!</definedName>
    <definedName name="MSTR.C083CD4611E5943644E30080EF95049C.721">#REF!</definedName>
    <definedName name="MSTR.C083CD4611E5943644E30080EF95049C.722">#REF!</definedName>
    <definedName name="MSTR.C083CD4611E5943644E30080EF95049C.723">#REF!</definedName>
    <definedName name="MSTR.C083CD4611E5943644E30080EF95049C.724">#REF!</definedName>
    <definedName name="MSTR.C083CD4611E5943644E30080EF95049C.725">#REF!</definedName>
    <definedName name="MSTR.C083CD4611E5943644E30080EF95049C.726">#REF!</definedName>
    <definedName name="MSTR.C083CD4611E5943644E30080EF95049C.727">#REF!</definedName>
    <definedName name="MSTR.C083CD4611E5943644E30080EF95049C.728">#REF!</definedName>
    <definedName name="MSTR.C083CD4611E5943644E30080EF95049C.729">#REF!</definedName>
    <definedName name="MSTR.C083CD4611E5943644E30080EF95049C.73">#REF!</definedName>
    <definedName name="MSTR.C083CD4611E5943644E30080EF95049C.730">#REF!</definedName>
    <definedName name="MSTR.C083CD4611E5943644E30080EF95049C.731">#REF!</definedName>
    <definedName name="MSTR.C083CD4611E5943644E30080EF95049C.732">#REF!</definedName>
    <definedName name="MSTR.C083CD4611E5943644E30080EF95049C.733">#REF!</definedName>
    <definedName name="MSTR.C083CD4611E5943644E30080EF95049C.734">#REF!</definedName>
    <definedName name="MSTR.C083CD4611E5943644E30080EF95049C.735">#REF!</definedName>
    <definedName name="MSTR.C083CD4611E5943644E30080EF95049C.736">#REF!</definedName>
    <definedName name="MSTR.C083CD4611E5943644E30080EF95049C.737">#REF!</definedName>
    <definedName name="MSTR.C083CD4611E5943644E30080EF95049C.738">#REF!</definedName>
    <definedName name="MSTR.C083CD4611E5943644E30080EF95049C.739">#REF!</definedName>
    <definedName name="MSTR.C083CD4611E5943644E30080EF95049C.74">#REF!</definedName>
    <definedName name="MSTR.C083CD4611E5943644E30080EF95049C.740">#REF!</definedName>
    <definedName name="MSTR.C083CD4611E5943644E30080EF95049C.741">#REF!</definedName>
    <definedName name="MSTR.C083CD4611E5943644E30080EF95049C.742">#REF!</definedName>
    <definedName name="MSTR.C083CD4611E5943644E30080EF95049C.743">#REF!</definedName>
    <definedName name="MSTR.C083CD4611E5943644E30080EF95049C.744">#REF!</definedName>
    <definedName name="MSTR.C083CD4611E5943644E30080EF95049C.745">#REF!</definedName>
    <definedName name="MSTR.C083CD4611E5943644E30080EF95049C.746">#REF!</definedName>
    <definedName name="MSTR.C083CD4611E5943644E30080EF95049C.747">#REF!</definedName>
    <definedName name="MSTR.C083CD4611E5943644E30080EF95049C.748">#REF!</definedName>
    <definedName name="MSTR.C083CD4611E5943644E30080EF95049C.749">#REF!</definedName>
    <definedName name="MSTR.C083CD4611E5943644E30080EF95049C.75">#REF!</definedName>
    <definedName name="MSTR.C083CD4611E5943644E30080EF95049C.750">#REF!</definedName>
    <definedName name="MSTR.C083CD4611E5943644E30080EF95049C.751">#REF!</definedName>
    <definedName name="MSTR.C083CD4611E5943644E30080EF95049C.752">#REF!</definedName>
    <definedName name="MSTR.C083CD4611E5943644E30080EF95049C.753">#REF!</definedName>
    <definedName name="MSTR.C083CD4611E5943644E30080EF95049C.754">#REF!</definedName>
    <definedName name="MSTR.C083CD4611E5943644E30080EF95049C.755">#REF!</definedName>
    <definedName name="MSTR.C083CD4611E5943644E30080EF95049C.756">#REF!</definedName>
    <definedName name="MSTR.C083CD4611E5943644E30080EF95049C.757">#REF!</definedName>
    <definedName name="MSTR.C083CD4611E5943644E30080EF95049C.758">#REF!</definedName>
    <definedName name="MSTR.C083CD4611E5943644E30080EF95049C.759">#REF!</definedName>
    <definedName name="MSTR.C083CD4611E5943644E30080EF95049C.76">#REF!</definedName>
    <definedName name="MSTR.C083CD4611E5943644E30080EF95049C.760">#REF!</definedName>
    <definedName name="MSTR.C083CD4611E5943644E30080EF95049C.761">#REF!</definedName>
    <definedName name="MSTR.C083CD4611E5943644E30080EF95049C.762">#REF!</definedName>
    <definedName name="MSTR.C083CD4611E5943644E30080EF95049C.763">#REF!</definedName>
    <definedName name="MSTR.C083CD4611E5943644E30080EF95049C.764">#REF!</definedName>
    <definedName name="MSTR.C083CD4611E5943644E30080EF95049C.765">#REF!</definedName>
    <definedName name="MSTR.C083CD4611E5943644E30080EF95049C.766">#REF!</definedName>
    <definedName name="MSTR.C083CD4611E5943644E30080EF95049C.767">#REF!</definedName>
    <definedName name="MSTR.C083CD4611E5943644E30080EF95049C.768">#REF!</definedName>
    <definedName name="MSTR.C083CD4611E5943644E30080EF95049C.769">#REF!</definedName>
    <definedName name="MSTR.C083CD4611E5943644E30080EF95049C.77">#REF!</definedName>
    <definedName name="MSTR.C083CD4611E5943644E30080EF95049C.770">#REF!</definedName>
    <definedName name="MSTR.C083CD4611E5943644E30080EF95049C.771">#REF!</definedName>
    <definedName name="MSTR.C083CD4611E5943644E30080EF95049C.772">#REF!</definedName>
    <definedName name="MSTR.C083CD4611E5943644E30080EF95049C.773">#REF!</definedName>
    <definedName name="MSTR.C083CD4611E5943644E30080EF95049C.774">#REF!</definedName>
    <definedName name="MSTR.C083CD4611E5943644E30080EF95049C.775">#REF!</definedName>
    <definedName name="MSTR.C083CD4611E5943644E30080EF95049C.776">#REF!</definedName>
    <definedName name="MSTR.C083CD4611E5943644E30080EF95049C.777">#REF!</definedName>
    <definedName name="MSTR.C083CD4611E5943644E30080EF95049C.778">#REF!</definedName>
    <definedName name="MSTR.C083CD4611E5943644E30080EF95049C.779">#REF!</definedName>
    <definedName name="MSTR.C083CD4611E5943644E30080EF95049C.78">#REF!</definedName>
    <definedName name="MSTR.C083CD4611E5943644E30080EF95049C.780">#REF!</definedName>
    <definedName name="MSTR.C083CD4611E5943644E30080EF95049C.781">#REF!</definedName>
    <definedName name="MSTR.C083CD4611E5943644E30080EF95049C.782">#REF!</definedName>
    <definedName name="MSTR.C083CD4611E5943644E30080EF95049C.783">#REF!</definedName>
    <definedName name="MSTR.C083CD4611E5943644E30080EF95049C.784">#REF!</definedName>
    <definedName name="MSTR.C083CD4611E5943644E30080EF95049C.785">#REF!</definedName>
    <definedName name="MSTR.C083CD4611E5943644E30080EF95049C.786">#REF!</definedName>
    <definedName name="MSTR.C083CD4611E5943644E30080EF95049C.787">#REF!</definedName>
    <definedName name="MSTR.C083CD4611E5943644E30080EF95049C.788">#REF!</definedName>
    <definedName name="MSTR.C083CD4611E5943644E30080EF95049C.789">#REF!</definedName>
    <definedName name="MSTR.C083CD4611E5943644E30080EF95049C.79">#REF!</definedName>
    <definedName name="MSTR.C083CD4611E5943644E30080EF95049C.790">#REF!</definedName>
    <definedName name="MSTR.C083CD4611E5943644E30080EF95049C.791">#REF!</definedName>
    <definedName name="MSTR.C083CD4611E5943644E30080EF95049C.792">#REF!</definedName>
    <definedName name="MSTR.C083CD4611E5943644E30080EF95049C.793">#REF!</definedName>
    <definedName name="MSTR.C083CD4611E5943644E30080EF95049C.794">#REF!</definedName>
    <definedName name="MSTR.C083CD4611E5943644E30080EF95049C.795">#REF!</definedName>
    <definedName name="MSTR.C083CD4611E5943644E30080EF95049C.796">#REF!</definedName>
    <definedName name="MSTR.C083CD4611E5943644E30080EF95049C.797">#REF!</definedName>
    <definedName name="MSTR.C083CD4611E5943644E30080EF95049C.798">#REF!</definedName>
    <definedName name="MSTR.C083CD4611E5943644E30080EF95049C.799">#REF!</definedName>
    <definedName name="MSTR.C083CD4611E5943644E30080EF95049C.8">#REF!</definedName>
    <definedName name="MSTR.C083CD4611E5943644E30080EF95049C.80">#REF!</definedName>
    <definedName name="MSTR.C083CD4611E5943644E30080EF95049C.800">#REF!</definedName>
    <definedName name="MSTR.C083CD4611E5943644E30080EF95049C.801">#REF!</definedName>
    <definedName name="MSTR.C083CD4611E5943644E30080EF95049C.802">#REF!</definedName>
    <definedName name="MSTR.C083CD4611E5943644E30080EF95049C.803">#REF!</definedName>
    <definedName name="MSTR.C083CD4611E5943644E30080EF95049C.804">#REF!</definedName>
    <definedName name="MSTR.C083CD4611E5943644E30080EF95049C.805">#REF!</definedName>
    <definedName name="MSTR.C083CD4611E5943644E30080EF95049C.806">#REF!</definedName>
    <definedName name="MSTR.C083CD4611E5943644E30080EF95049C.807">#REF!</definedName>
    <definedName name="MSTR.C083CD4611E5943644E30080EF95049C.808">#REF!</definedName>
    <definedName name="MSTR.C083CD4611E5943644E30080EF95049C.809">#REF!</definedName>
    <definedName name="MSTR.C083CD4611E5943644E30080EF95049C.81">#REF!</definedName>
    <definedName name="MSTR.C083CD4611E5943644E30080EF95049C.810">#REF!</definedName>
    <definedName name="MSTR.C083CD4611E5943644E30080EF95049C.811">#REF!</definedName>
    <definedName name="MSTR.C083CD4611E5943644E30080EF95049C.812">#REF!</definedName>
    <definedName name="MSTR.C083CD4611E5943644E30080EF95049C.813">#REF!</definedName>
    <definedName name="MSTR.C083CD4611E5943644E30080EF95049C.814">#REF!</definedName>
    <definedName name="MSTR.C083CD4611E5943644E30080EF95049C.815">#REF!</definedName>
    <definedName name="MSTR.C083CD4611E5943644E30080EF95049C.816">#REF!</definedName>
    <definedName name="MSTR.C083CD4611E5943644E30080EF95049C.817">#REF!</definedName>
    <definedName name="MSTR.C083CD4611E5943644E30080EF95049C.818">#REF!</definedName>
    <definedName name="MSTR.C083CD4611E5943644E30080EF95049C.819">#REF!</definedName>
    <definedName name="MSTR.C083CD4611E5943644E30080EF95049C.82">#REF!</definedName>
    <definedName name="MSTR.C083CD4611E5943644E30080EF95049C.820">#REF!</definedName>
    <definedName name="MSTR.C083CD4611E5943644E30080EF95049C.821">#REF!</definedName>
    <definedName name="MSTR.C083CD4611E5943644E30080EF95049C.822">#REF!</definedName>
    <definedName name="MSTR.C083CD4611E5943644E30080EF95049C.823">#REF!</definedName>
    <definedName name="MSTR.C083CD4611E5943644E30080EF95049C.824">#REF!</definedName>
    <definedName name="MSTR.C083CD4611E5943644E30080EF95049C.825">#REF!</definedName>
    <definedName name="MSTR.C083CD4611E5943644E30080EF95049C.826">#REF!</definedName>
    <definedName name="MSTR.C083CD4611E5943644E30080EF95049C.827">#REF!</definedName>
    <definedName name="MSTR.C083CD4611E5943644E30080EF95049C.828">#REF!</definedName>
    <definedName name="MSTR.C083CD4611E5943644E30080EF95049C.829">#REF!</definedName>
    <definedName name="MSTR.C083CD4611E5943644E30080EF95049C.83">#REF!</definedName>
    <definedName name="MSTR.C083CD4611E5943644E30080EF95049C.830">#REF!</definedName>
    <definedName name="MSTR.C083CD4611E5943644E30080EF95049C.831">#REF!</definedName>
    <definedName name="MSTR.C083CD4611E5943644E30080EF95049C.832">#REF!</definedName>
    <definedName name="MSTR.C083CD4611E5943644E30080EF95049C.833">#REF!</definedName>
    <definedName name="MSTR.C083CD4611E5943644E30080EF95049C.834">#REF!</definedName>
    <definedName name="MSTR.C083CD4611E5943644E30080EF95049C.835">#REF!</definedName>
    <definedName name="MSTR.C083CD4611E5943644E30080EF95049C.836">#REF!</definedName>
    <definedName name="MSTR.C083CD4611E5943644E30080EF95049C.837">#REF!</definedName>
    <definedName name="MSTR.C083CD4611E5943644E30080EF95049C.838">#REF!</definedName>
    <definedName name="MSTR.C083CD4611E5943644E30080EF95049C.839">#REF!</definedName>
    <definedName name="MSTR.C083CD4611E5943644E30080EF95049C.84">#REF!</definedName>
    <definedName name="MSTR.C083CD4611E5943644E30080EF95049C.840">#REF!</definedName>
    <definedName name="MSTR.C083CD4611E5943644E30080EF95049C.841">#REF!</definedName>
    <definedName name="MSTR.C083CD4611E5943644E30080EF95049C.842">#REF!</definedName>
    <definedName name="MSTR.C083CD4611E5943644E30080EF95049C.843">#REF!</definedName>
    <definedName name="MSTR.C083CD4611E5943644E30080EF95049C.844">#REF!</definedName>
    <definedName name="MSTR.C083CD4611E5943644E30080EF95049C.845">#REF!</definedName>
    <definedName name="MSTR.C083CD4611E5943644E30080EF95049C.846">#REF!</definedName>
    <definedName name="MSTR.C083CD4611E5943644E30080EF95049C.847">#REF!</definedName>
    <definedName name="MSTR.C083CD4611E5943644E30080EF95049C.848">#REF!</definedName>
    <definedName name="MSTR.C083CD4611E5943644E30080EF95049C.849">#REF!</definedName>
    <definedName name="MSTR.C083CD4611E5943644E30080EF95049C.85">#REF!</definedName>
    <definedName name="MSTR.C083CD4611E5943644E30080EF95049C.850">#REF!</definedName>
    <definedName name="MSTR.C083CD4611E5943644E30080EF95049C.851">#REF!</definedName>
    <definedName name="MSTR.C083CD4611E5943644E30080EF95049C.852">#REF!</definedName>
    <definedName name="MSTR.C083CD4611E5943644E30080EF95049C.853">#REF!</definedName>
    <definedName name="MSTR.C083CD4611E5943644E30080EF95049C.854">#REF!</definedName>
    <definedName name="MSTR.C083CD4611E5943644E30080EF95049C.855">#REF!</definedName>
    <definedName name="MSTR.C083CD4611E5943644E30080EF95049C.856">#REF!</definedName>
    <definedName name="MSTR.C083CD4611E5943644E30080EF95049C.857">#REF!</definedName>
    <definedName name="MSTR.C083CD4611E5943644E30080EF95049C.858">#REF!</definedName>
    <definedName name="MSTR.C083CD4611E5943644E30080EF95049C.859">#REF!</definedName>
    <definedName name="MSTR.C083CD4611E5943644E30080EF95049C.86">#REF!</definedName>
    <definedName name="MSTR.C083CD4611E5943644E30080EF95049C.860">#REF!</definedName>
    <definedName name="MSTR.C083CD4611E5943644E30080EF95049C.861">#REF!</definedName>
    <definedName name="MSTR.C083CD4611E5943644E30080EF95049C.862">#REF!</definedName>
    <definedName name="MSTR.C083CD4611E5943644E30080EF95049C.863">#REF!</definedName>
    <definedName name="MSTR.C083CD4611E5943644E30080EF95049C.864">#REF!</definedName>
    <definedName name="MSTR.C083CD4611E5943644E30080EF95049C.865">#REF!</definedName>
    <definedName name="MSTR.C083CD4611E5943644E30080EF95049C.866">#REF!</definedName>
    <definedName name="MSTR.C083CD4611E5943644E30080EF95049C.867">#REF!</definedName>
    <definedName name="MSTR.C083CD4611E5943644E30080EF95049C.868">#REF!</definedName>
    <definedName name="MSTR.C083CD4611E5943644E30080EF95049C.869">#REF!</definedName>
    <definedName name="MSTR.C083CD4611E5943644E30080EF95049C.87">#REF!</definedName>
    <definedName name="MSTR.C083CD4611E5943644E30080EF95049C.870">#REF!</definedName>
    <definedName name="MSTR.C083CD4611E5943644E30080EF95049C.871">#REF!</definedName>
    <definedName name="MSTR.C083CD4611E5943644E30080EF95049C.872">#REF!</definedName>
    <definedName name="MSTR.C083CD4611E5943644E30080EF95049C.873">#REF!</definedName>
    <definedName name="MSTR.C083CD4611E5943644E30080EF95049C.874">#REF!</definedName>
    <definedName name="MSTR.C083CD4611E5943644E30080EF95049C.875">#REF!</definedName>
    <definedName name="MSTR.C083CD4611E5943644E30080EF95049C.876">#REF!</definedName>
    <definedName name="MSTR.C083CD4611E5943644E30080EF95049C.877">#REF!</definedName>
    <definedName name="MSTR.C083CD4611E5943644E30080EF95049C.878">#REF!</definedName>
    <definedName name="MSTR.C083CD4611E5943644E30080EF95049C.879">#REF!</definedName>
    <definedName name="MSTR.C083CD4611E5943644E30080EF95049C.88">#REF!</definedName>
    <definedName name="MSTR.C083CD4611E5943644E30080EF95049C.880">#REF!</definedName>
    <definedName name="MSTR.C083CD4611E5943644E30080EF95049C.881">#REF!</definedName>
    <definedName name="MSTR.C083CD4611E5943644E30080EF95049C.882">#REF!</definedName>
    <definedName name="MSTR.C083CD4611E5943644E30080EF95049C.89">#REF!</definedName>
    <definedName name="MSTR.C083CD4611E5943644E30080EF95049C.9">#REF!</definedName>
    <definedName name="MSTR.C083CD4611E5943644E30080EF95049C.90">#REF!</definedName>
    <definedName name="MSTR.C083CD4611E5943644E30080EF95049C.91">#REF!</definedName>
    <definedName name="MSTR.C083CD4611E5943644E30080EF95049C.92">#REF!</definedName>
    <definedName name="MSTR.C083CD4611E5943644E30080EF95049C.93">#REF!</definedName>
    <definedName name="MSTR.C083CD4611E5943644E30080EF95049C.94">#REF!</definedName>
    <definedName name="MSTR.C083CD4611E5943644E30080EF95049C.95">#REF!</definedName>
    <definedName name="MSTR.C083CD4611E5943644E30080EF95049C.96">#REF!</definedName>
    <definedName name="MSTR.C083CD4611E5943644E30080EF95049C.97">#REF!</definedName>
    <definedName name="MSTR.C083CD4611E5943644E30080EF95049C.98">#REF!</definedName>
    <definedName name="MSTR.C083CD4611E5943644E30080EF95049C.99">#REF!</definedName>
    <definedName name="MSTR.C1CFC84546675BC59DC2B4A21CC6C078">#REF!</definedName>
    <definedName name="MSTR.C1CFC84546675BC59DC2B4A21CC6C078.1">#REF!</definedName>
    <definedName name="MSTR.C1CFC84546675BC59DC2B4A21CC6C078.10">#REF!</definedName>
    <definedName name="MSTR.C1CFC84546675BC59DC2B4A21CC6C078.11">#REF!</definedName>
    <definedName name="MSTR.C1CFC84546675BC59DC2B4A21CC6C078.12">#REF!</definedName>
    <definedName name="MSTR.C1CFC84546675BC59DC2B4A21CC6C078.13">#REF!</definedName>
    <definedName name="MSTR.C1CFC84546675BC59DC2B4A21CC6C078.14">#REF!</definedName>
    <definedName name="MSTR.C1CFC84546675BC59DC2B4A21CC6C078.15">#REF!</definedName>
    <definedName name="MSTR.C1CFC84546675BC59DC2B4A21CC6C078.16">#REF!</definedName>
    <definedName name="MSTR.C1CFC84546675BC59DC2B4A21CC6C078.17">#REF!</definedName>
    <definedName name="MSTR.C1CFC84546675BC59DC2B4A21CC6C078.18">#REF!</definedName>
    <definedName name="MSTR.C1CFC84546675BC59DC2B4A21CC6C078.19">#REF!</definedName>
    <definedName name="MSTR.C1CFC84546675BC59DC2B4A21CC6C078.2">#REF!</definedName>
    <definedName name="MSTR.C1CFC84546675BC59DC2B4A21CC6C078.3">#REF!</definedName>
    <definedName name="MSTR.C1CFC84546675BC59DC2B4A21CC6C078.4">#REF!</definedName>
    <definedName name="MSTR.C1CFC84546675BC59DC2B4A21CC6C078.5">#REF!</definedName>
    <definedName name="MSTR.C1CFC84546675BC59DC2B4A21CC6C078.6">#REF!</definedName>
    <definedName name="MSTR.C1CFC84546675BC59DC2B4A21CC6C078.7">#REF!</definedName>
    <definedName name="MSTR.C1CFC84546675BC59DC2B4A21CC6C078.8">#REF!</definedName>
    <definedName name="MSTR.C1CFC84546675BC59DC2B4A21CC6C078.9">#REF!</definedName>
    <definedName name="MSTR.C7706BAE425F6CD1D4E9CDBFA0AEA356">#REF!</definedName>
    <definedName name="MSTR.C7706BAE425F6CD1D4E9CDBFA0AEA356.1">#REF!</definedName>
    <definedName name="MSTR.C7706BAE425F6CD1D4E9CDBFA0AEA356.10">#REF!</definedName>
    <definedName name="MSTR.C7706BAE425F6CD1D4E9CDBFA0AEA356.11">#REF!</definedName>
    <definedName name="MSTR.C7706BAE425F6CD1D4E9CDBFA0AEA356.12">#REF!</definedName>
    <definedName name="MSTR.C7706BAE425F6CD1D4E9CDBFA0AEA356.13">#REF!</definedName>
    <definedName name="MSTR.C7706BAE425F6CD1D4E9CDBFA0AEA356.14">#REF!</definedName>
    <definedName name="MSTR.C7706BAE425F6CD1D4E9CDBFA0AEA356.15">#REF!</definedName>
    <definedName name="MSTR.C7706BAE425F6CD1D4E9CDBFA0AEA356.16">#REF!</definedName>
    <definedName name="MSTR.C7706BAE425F6CD1D4E9CDBFA0AEA356.17">#REF!</definedName>
    <definedName name="MSTR.C7706BAE425F6CD1D4E9CDBFA0AEA356.18">#REF!</definedName>
    <definedName name="MSTR.C7706BAE425F6CD1D4E9CDBFA0AEA356.19">#REF!</definedName>
    <definedName name="MSTR.C7706BAE425F6CD1D4E9CDBFA0AEA356.2">#REF!</definedName>
    <definedName name="MSTR.C7706BAE425F6CD1D4E9CDBFA0AEA356.20">#REF!</definedName>
    <definedName name="MSTR.C7706BAE425F6CD1D4E9CDBFA0AEA356.21">#REF!</definedName>
    <definedName name="MSTR.C7706BAE425F6CD1D4E9CDBFA0AEA356.22">#REF!</definedName>
    <definedName name="MSTR.C7706BAE425F6CD1D4E9CDBFA0AEA356.23">#REF!</definedName>
    <definedName name="MSTR.C7706BAE425F6CD1D4E9CDBFA0AEA356.24">#REF!</definedName>
    <definedName name="MSTR.C7706BAE425F6CD1D4E9CDBFA0AEA356.25">#REF!</definedName>
    <definedName name="MSTR.C7706BAE425F6CD1D4E9CDBFA0AEA356.26">#REF!</definedName>
    <definedName name="MSTR.C7706BAE425F6CD1D4E9CDBFA0AEA356.27">#REF!</definedName>
    <definedName name="MSTR.C7706BAE425F6CD1D4E9CDBFA0AEA356.28">#REF!</definedName>
    <definedName name="MSTR.C7706BAE425F6CD1D4E9CDBFA0AEA356.29">#REF!</definedName>
    <definedName name="MSTR.C7706BAE425F6CD1D4E9CDBFA0AEA356.3">#REF!</definedName>
    <definedName name="MSTR.C7706BAE425F6CD1D4E9CDBFA0AEA356.30">#REF!</definedName>
    <definedName name="MSTR.C7706BAE425F6CD1D4E9CDBFA0AEA356.31">#REF!</definedName>
    <definedName name="MSTR.C7706BAE425F6CD1D4E9CDBFA0AEA356.32">#REF!</definedName>
    <definedName name="MSTR.C7706BAE425F6CD1D4E9CDBFA0AEA356.33">#REF!</definedName>
    <definedName name="MSTR.C7706BAE425F6CD1D4E9CDBFA0AEA356.34">#REF!</definedName>
    <definedName name="MSTR.C7706BAE425F6CD1D4E9CDBFA0AEA356.35">#REF!</definedName>
    <definedName name="MSTR.C7706BAE425F6CD1D4E9CDBFA0AEA356.36">#REF!</definedName>
    <definedName name="MSTR.C7706BAE425F6CD1D4E9CDBFA0AEA356.37">#REF!</definedName>
    <definedName name="MSTR.C7706BAE425F6CD1D4E9CDBFA0AEA356.38">#REF!</definedName>
    <definedName name="MSTR.C7706BAE425F6CD1D4E9CDBFA0AEA356.39">#REF!</definedName>
    <definedName name="MSTR.C7706BAE425F6CD1D4E9CDBFA0AEA356.4">#REF!</definedName>
    <definedName name="MSTR.C7706BAE425F6CD1D4E9CDBFA0AEA356.40">#REF!</definedName>
    <definedName name="MSTR.C7706BAE425F6CD1D4E9CDBFA0AEA356.41">#REF!</definedName>
    <definedName name="MSTR.C7706BAE425F6CD1D4E9CDBFA0AEA356.42">#REF!</definedName>
    <definedName name="MSTR.C7706BAE425F6CD1D4E9CDBFA0AEA356.43">#REF!</definedName>
    <definedName name="MSTR.C7706BAE425F6CD1D4E9CDBFA0AEA356.44">#REF!</definedName>
    <definedName name="MSTR.C7706BAE425F6CD1D4E9CDBFA0AEA356.45">#REF!</definedName>
    <definedName name="MSTR.C7706BAE425F6CD1D4E9CDBFA0AEA356.46">#REF!</definedName>
    <definedName name="MSTR.C7706BAE425F6CD1D4E9CDBFA0AEA356.47">#REF!</definedName>
    <definedName name="MSTR.C7706BAE425F6CD1D4E9CDBFA0AEA356.48">#REF!</definedName>
    <definedName name="MSTR.C7706BAE425F6CD1D4E9CDBFA0AEA356.49">#REF!</definedName>
    <definedName name="MSTR.C7706BAE425F6CD1D4E9CDBFA0AEA356.5">#REF!</definedName>
    <definedName name="MSTR.C7706BAE425F6CD1D4E9CDBFA0AEA356.50">#REF!</definedName>
    <definedName name="MSTR.C7706BAE425F6CD1D4E9CDBFA0AEA356.51">#REF!</definedName>
    <definedName name="MSTR.C7706BAE425F6CD1D4E9CDBFA0AEA356.52">#REF!</definedName>
    <definedName name="MSTR.C7706BAE425F6CD1D4E9CDBFA0AEA356.53">#REF!</definedName>
    <definedName name="MSTR.C7706BAE425F6CD1D4E9CDBFA0AEA356.54">#REF!</definedName>
    <definedName name="MSTR.C7706BAE425F6CD1D4E9CDBFA0AEA356.55">#REF!</definedName>
    <definedName name="MSTR.C7706BAE425F6CD1D4E9CDBFA0AEA356.56">#REF!</definedName>
    <definedName name="MSTR.C7706BAE425F6CD1D4E9CDBFA0AEA356.57">#REF!</definedName>
    <definedName name="MSTR.C7706BAE425F6CD1D4E9CDBFA0AEA356.58">#REF!</definedName>
    <definedName name="MSTR.C7706BAE425F6CD1D4E9CDBFA0AEA356.59">#REF!</definedName>
    <definedName name="MSTR.C7706BAE425F6CD1D4E9CDBFA0AEA356.6">#REF!</definedName>
    <definedName name="MSTR.C7706BAE425F6CD1D4E9CDBFA0AEA356.60">#REF!</definedName>
    <definedName name="MSTR.C7706BAE425F6CD1D4E9CDBFA0AEA356.61">#REF!</definedName>
    <definedName name="MSTR.C7706BAE425F6CD1D4E9CDBFA0AEA356.62">#REF!</definedName>
    <definedName name="MSTR.C7706BAE425F6CD1D4E9CDBFA0AEA356.63">#REF!</definedName>
    <definedName name="MSTR.C7706BAE425F6CD1D4E9CDBFA0AEA356.64">#REF!</definedName>
    <definedName name="MSTR.C7706BAE425F6CD1D4E9CDBFA0AEA356.65">#REF!</definedName>
    <definedName name="MSTR.C7706BAE425F6CD1D4E9CDBFA0AEA356.66">#REF!</definedName>
    <definedName name="MSTR.C7706BAE425F6CD1D4E9CDBFA0AEA356.67">#REF!</definedName>
    <definedName name="MSTR.C7706BAE425F6CD1D4E9CDBFA0AEA356.68">#REF!</definedName>
    <definedName name="MSTR.C7706BAE425F6CD1D4E9CDBFA0AEA356.69">#REF!</definedName>
    <definedName name="MSTR.C7706BAE425F6CD1D4E9CDBFA0AEA356.7">#REF!</definedName>
    <definedName name="MSTR.C7706BAE425F6CD1D4E9CDBFA0AEA356.70">#REF!</definedName>
    <definedName name="MSTR.C7706BAE425F6CD1D4E9CDBFA0AEA356.71">#REF!</definedName>
    <definedName name="MSTR.C7706BAE425F6CD1D4E9CDBFA0AEA356.72">#REF!</definedName>
    <definedName name="MSTR.C7706BAE425F6CD1D4E9CDBFA0AEA356.73">#REF!</definedName>
    <definedName name="MSTR.C7706BAE425F6CD1D4E9CDBFA0AEA356.74">#REF!</definedName>
    <definedName name="MSTR.C7706BAE425F6CD1D4E9CDBFA0AEA356.75">#REF!</definedName>
    <definedName name="MSTR.C7706BAE425F6CD1D4E9CDBFA0AEA356.76">#REF!</definedName>
    <definedName name="MSTR.C7706BAE425F6CD1D4E9CDBFA0AEA356.77">#REF!</definedName>
    <definedName name="MSTR.C7706BAE425F6CD1D4E9CDBFA0AEA356.78">#REF!</definedName>
    <definedName name="MSTR.C7706BAE425F6CD1D4E9CDBFA0AEA356.79">#REF!</definedName>
    <definedName name="MSTR.C7706BAE425F6CD1D4E9CDBFA0AEA356.8">#REF!</definedName>
    <definedName name="MSTR.C7706BAE425F6CD1D4E9CDBFA0AEA356.80">#REF!</definedName>
    <definedName name="MSTR.C7706BAE425F6CD1D4E9CDBFA0AEA356.81">#REF!</definedName>
    <definedName name="MSTR.C7706BAE425F6CD1D4E9CDBFA0AEA356.82">#REF!</definedName>
    <definedName name="MSTR.C7706BAE425F6CD1D4E9CDBFA0AEA356.83">#REF!</definedName>
    <definedName name="MSTR.C7706BAE425F6CD1D4E9CDBFA0AEA356.84">#REF!</definedName>
    <definedName name="MSTR.C7706BAE425F6CD1D4E9CDBFA0AEA356.85">#REF!</definedName>
    <definedName name="MSTR.C7706BAE425F6CD1D4E9CDBFA0AEA356.86">#REF!</definedName>
    <definedName name="MSTR.C7706BAE425F6CD1D4E9CDBFA0AEA356.87">#REF!</definedName>
    <definedName name="MSTR.C7706BAE425F6CD1D4E9CDBFA0AEA356.88">#REF!</definedName>
    <definedName name="MSTR.C7706BAE425F6CD1D4E9CDBFA0AEA356.89">#REF!</definedName>
    <definedName name="MSTR.C7706BAE425F6CD1D4E9CDBFA0AEA356.9">#REF!</definedName>
    <definedName name="MSTR.C7706BAE425F6CD1D4E9CDBFA0AEA356.90">#REF!</definedName>
    <definedName name="MSTR.C7706BAE425F6CD1D4E9CDBFA0AEA356.91">#REF!</definedName>
    <definedName name="MSTR.C7706BAE425F6CD1D4E9CDBFA0AEA356.92">#REF!</definedName>
    <definedName name="MSTR.C7706BAE425F6CD1D4E9CDBFA0AEA356.93">#REF!</definedName>
    <definedName name="MSTR.Capacidad_del_enlace__Diario_Simple_">#REF!</definedName>
    <definedName name="MSTR.Capacidad_del_enlace__Diario_Simple_1">#REF!</definedName>
    <definedName name="MSTR.CE5C3FC74516634D17B86D8979C778E8">#REF!</definedName>
    <definedName name="MSTR.CE5C3FC74516634D17B86D8979C778E8.1">#REF!</definedName>
    <definedName name="MSTR.CE5C3FC74516634D17B86D8979C778E8.10">#REF!</definedName>
    <definedName name="MSTR.CE5C3FC74516634D17B86D8979C778E8.11">#REF!</definedName>
    <definedName name="MSTR.CE5C3FC74516634D17B86D8979C778E8.12">#REF!</definedName>
    <definedName name="MSTR.CE5C3FC74516634D17B86D8979C778E8.13">#REF!</definedName>
    <definedName name="MSTR.CE5C3FC74516634D17B86D8979C778E8.14">#REF!</definedName>
    <definedName name="MSTR.CE5C3FC74516634D17B86D8979C778E8.15">#REF!</definedName>
    <definedName name="MSTR.CE5C3FC74516634D17B86D8979C778E8.16">#REF!</definedName>
    <definedName name="MSTR.CE5C3FC74516634D17B86D8979C778E8.17">#REF!</definedName>
    <definedName name="MSTR.CE5C3FC74516634D17B86D8979C778E8.18">#REF!</definedName>
    <definedName name="MSTR.CE5C3FC74516634D17B86D8979C778E8.19">#REF!</definedName>
    <definedName name="MSTR.CE5C3FC74516634D17B86D8979C778E8.2">#REF!</definedName>
    <definedName name="MSTR.CE5C3FC74516634D17B86D8979C778E8.20">#REF!</definedName>
    <definedName name="MSTR.CE5C3FC74516634D17B86D8979C778E8.21">#REF!</definedName>
    <definedName name="MSTR.CE5C3FC74516634D17B86D8979C778E8.22">#REF!</definedName>
    <definedName name="MSTR.CE5C3FC74516634D17B86D8979C778E8.23">#REF!</definedName>
    <definedName name="MSTR.CE5C3FC74516634D17B86D8979C778E8.24">#REF!</definedName>
    <definedName name="MSTR.CE5C3FC74516634D17B86D8979C778E8.25">#REF!</definedName>
    <definedName name="MSTR.CE5C3FC74516634D17B86D8979C778E8.26">#REF!</definedName>
    <definedName name="MSTR.CE5C3FC74516634D17B86D8979C778E8.27">#REF!</definedName>
    <definedName name="MSTR.CE5C3FC74516634D17B86D8979C778E8.28">#REF!</definedName>
    <definedName name="MSTR.CE5C3FC74516634D17B86D8979C778E8.29">#REF!</definedName>
    <definedName name="MSTR.CE5C3FC74516634D17B86D8979C778E8.3">#REF!</definedName>
    <definedName name="MSTR.CE5C3FC74516634D17B86D8979C778E8.30">#REF!</definedName>
    <definedName name="MSTR.CE5C3FC74516634D17B86D8979C778E8.31">#REF!</definedName>
    <definedName name="MSTR.CE5C3FC74516634D17B86D8979C778E8.32">#REF!</definedName>
    <definedName name="MSTR.CE5C3FC74516634D17B86D8979C778E8.33">#REF!</definedName>
    <definedName name="MSTR.CE5C3FC74516634D17B86D8979C778E8.34">#REF!</definedName>
    <definedName name="MSTR.CE5C3FC74516634D17B86D8979C778E8.35">#REF!</definedName>
    <definedName name="MSTR.CE5C3FC74516634D17B86D8979C778E8.36">#REF!</definedName>
    <definedName name="MSTR.CE5C3FC74516634D17B86D8979C778E8.37">#REF!</definedName>
    <definedName name="MSTR.CE5C3FC74516634D17B86D8979C778E8.38">#REF!</definedName>
    <definedName name="MSTR.CE5C3FC74516634D17B86D8979C778E8.39">#REF!</definedName>
    <definedName name="MSTR.CE5C3FC74516634D17B86D8979C778E8.4">#REF!</definedName>
    <definedName name="MSTR.CE5C3FC74516634D17B86D8979C778E8.40">#REF!</definedName>
    <definedName name="MSTR.CE5C3FC74516634D17B86D8979C778E8.41">#REF!</definedName>
    <definedName name="MSTR.CE5C3FC74516634D17B86D8979C778E8.42">#REF!</definedName>
    <definedName name="MSTR.CE5C3FC74516634D17B86D8979C778E8.43">#REF!</definedName>
    <definedName name="MSTR.CE5C3FC74516634D17B86D8979C778E8.44">#REF!</definedName>
    <definedName name="MSTR.CE5C3FC74516634D17B86D8979C778E8.45">#REF!</definedName>
    <definedName name="MSTR.CE5C3FC74516634D17B86D8979C778E8.46">#REF!</definedName>
    <definedName name="MSTR.CE5C3FC74516634D17B86D8979C778E8.47">#REF!</definedName>
    <definedName name="MSTR.CE5C3FC74516634D17B86D8979C778E8.48">#REF!</definedName>
    <definedName name="MSTR.CE5C3FC74516634D17B86D8979C778E8.49">#REF!</definedName>
    <definedName name="MSTR.CE5C3FC74516634D17B86D8979C778E8.5">#REF!</definedName>
    <definedName name="MSTR.CE5C3FC74516634D17B86D8979C778E8.50">#REF!</definedName>
    <definedName name="MSTR.CE5C3FC74516634D17B86D8979C778E8.6">#REF!</definedName>
    <definedName name="MSTR.CE5C3FC74516634D17B86D8979C778E8.7">#REF!</definedName>
    <definedName name="MSTR.CE5C3FC74516634D17B86D8979C778E8.8">#REF!</definedName>
    <definedName name="MSTR.CE5C3FC74516634D17B86D8979C778E8.9">#REF!</definedName>
    <definedName name="MSTR.Composición_de_la_Demanda__Diario_acumulado_">#REF!</definedName>
    <definedName name="MSTR.Composición_de_la_Demanda__Diario_acumulado_1">#REF!</definedName>
    <definedName name="MSTR.Composición_de_la_Demanda__Diario_acumulado_2">#REF!</definedName>
    <definedName name="MSTR.Composición_de_la_Demanda__Diario_acumulado_3">#REF!</definedName>
    <definedName name="MSTR.Composición_de_la_Demanda_horaria">#REF!</definedName>
    <definedName name="MSTR.Composición_de_la_Demanda_horaria1">#REF!</definedName>
    <definedName name="MSTR.Composición_de_la_Demanda_horaria2">#REF!</definedName>
    <definedName name="MSTR.Composición_de_la_Demanda_horaria3">#REF!</definedName>
    <definedName name="MSTR.Composición_de_la_Demanda_horaria4">#REF!</definedName>
    <definedName name="MSTR.Composición_de_la_Demanda_pbf">#REF!</definedName>
    <definedName name="MSTR.Composición_de_la_Demanda_pbf1">#REF!</definedName>
    <definedName name="MSTR.Composición_de_la_Demanda_pbf2">#REF!</definedName>
    <definedName name="MSTR.Composición_de_la_Demanda_pbf3">#REF!</definedName>
    <definedName name="MSTR.Composición_de_la_Demanda_pbf4">#REF!</definedName>
    <definedName name="MSTR.D148B31811E539AE00000080EFE543AF">#REF!</definedName>
    <definedName name="MSTR.D148B31811E539AE00000080EFE543AF.1">#REF!</definedName>
    <definedName name="MSTR.D148B31811E539AE00000080EFE543AF.10">#REF!</definedName>
    <definedName name="MSTR.D148B31811E539AE00000080EFE543AF.11">#REF!</definedName>
    <definedName name="MSTR.D148B31811E539AE00000080EFE543AF.12">#REF!</definedName>
    <definedName name="MSTR.D148B31811E539AE00000080EFE543AF.13">#REF!</definedName>
    <definedName name="MSTR.D148B31811E539AE00000080EFE543AF.2">#REF!</definedName>
    <definedName name="MSTR.D148B31811E539AE00000080EFE543AF.3">#REF!</definedName>
    <definedName name="MSTR.D148B31811E539AE00000080EFE543AF.4">#REF!</definedName>
    <definedName name="MSTR.D148B31811E539AE00000080EFE543AF.5">#REF!</definedName>
    <definedName name="MSTR.D148B31811E539AE00000080EFE543AF.6">#REF!</definedName>
    <definedName name="MSTR.D148B31811E539AE00000080EFE543AF.7">#REF!</definedName>
    <definedName name="MSTR.D148B31811E539AE00000080EFE543AF.8">#REF!</definedName>
    <definedName name="MSTR.D148B31811E539AE00000080EFE543AF.9">#REF!</definedName>
    <definedName name="MSTR.D8F5F70011E594361C430080EF75C298">#REF!</definedName>
    <definedName name="MSTR.D8F5F70011E594361C430080EF75C298.1">#REF!</definedName>
    <definedName name="MSTR.D8F5F70011E594361C430080EF75C298.10">#REF!</definedName>
    <definedName name="MSTR.D8F5F70011E594361C430080EF75C298.100">#REF!</definedName>
    <definedName name="MSTR.D8F5F70011E594361C430080EF75C298.101">#REF!</definedName>
    <definedName name="MSTR.D8F5F70011E594361C430080EF75C298.102">#REF!</definedName>
    <definedName name="MSTR.D8F5F70011E594361C430080EF75C298.103">#REF!</definedName>
    <definedName name="MSTR.D8F5F70011E594361C430080EF75C298.104">#REF!</definedName>
    <definedName name="MSTR.D8F5F70011E594361C430080EF75C298.105">#REF!</definedName>
    <definedName name="MSTR.D8F5F70011E594361C430080EF75C298.106">#REF!</definedName>
    <definedName name="MSTR.D8F5F70011E594361C430080EF75C298.107">#REF!</definedName>
    <definedName name="MSTR.D8F5F70011E594361C430080EF75C298.108">#REF!</definedName>
    <definedName name="MSTR.D8F5F70011E594361C430080EF75C298.109">#REF!</definedName>
    <definedName name="MSTR.D8F5F70011E594361C430080EF75C298.11">#REF!</definedName>
    <definedName name="MSTR.D8F5F70011E594361C430080EF75C298.110">#REF!</definedName>
    <definedName name="MSTR.D8F5F70011E594361C430080EF75C298.111">#REF!</definedName>
    <definedName name="MSTR.D8F5F70011E594361C430080EF75C298.112">#REF!</definedName>
    <definedName name="MSTR.D8F5F70011E594361C430080EF75C298.113">#REF!</definedName>
    <definedName name="MSTR.D8F5F70011E594361C430080EF75C298.114">#REF!</definedName>
    <definedName name="MSTR.D8F5F70011E594361C430080EF75C298.115">#REF!</definedName>
    <definedName name="MSTR.D8F5F70011E594361C430080EF75C298.116">#REF!</definedName>
    <definedName name="MSTR.D8F5F70011E594361C430080EF75C298.117">#REF!</definedName>
    <definedName name="MSTR.D8F5F70011E594361C430080EF75C298.118">#REF!</definedName>
    <definedName name="MSTR.D8F5F70011E594361C430080EF75C298.119">#REF!</definedName>
    <definedName name="MSTR.D8F5F70011E594361C430080EF75C298.12">#REF!</definedName>
    <definedName name="MSTR.D8F5F70011E594361C430080EF75C298.120">#REF!</definedName>
    <definedName name="MSTR.D8F5F70011E594361C430080EF75C298.13">#REF!</definedName>
    <definedName name="MSTR.D8F5F70011E594361C430080EF75C298.14">#REF!</definedName>
    <definedName name="MSTR.D8F5F70011E594361C430080EF75C298.15">#REF!</definedName>
    <definedName name="MSTR.D8F5F70011E594361C430080EF75C298.16">#REF!</definedName>
    <definedName name="MSTR.D8F5F70011E594361C430080EF75C298.17">#REF!</definedName>
    <definedName name="MSTR.D8F5F70011E594361C430080EF75C298.18">#REF!</definedName>
    <definedName name="MSTR.D8F5F70011E594361C430080EF75C298.19">#REF!</definedName>
    <definedName name="MSTR.D8F5F70011E594361C430080EF75C298.2">#REF!</definedName>
    <definedName name="MSTR.D8F5F70011E594361C430080EF75C298.20">#REF!</definedName>
    <definedName name="MSTR.D8F5F70011E594361C430080EF75C298.21">#REF!</definedName>
    <definedName name="MSTR.D8F5F70011E594361C430080EF75C298.22">#REF!</definedName>
    <definedName name="MSTR.D8F5F70011E594361C430080EF75C298.23">#REF!</definedName>
    <definedName name="MSTR.D8F5F70011E594361C430080EF75C298.24">#REF!</definedName>
    <definedName name="MSTR.D8F5F70011E594361C430080EF75C298.25">#REF!</definedName>
    <definedName name="MSTR.D8F5F70011E594361C430080EF75C298.26">#REF!</definedName>
    <definedName name="MSTR.D8F5F70011E594361C430080EF75C298.27">#REF!</definedName>
    <definedName name="MSTR.D8F5F70011E594361C430080EF75C298.28">#REF!</definedName>
    <definedName name="MSTR.D8F5F70011E594361C430080EF75C298.29">#REF!</definedName>
    <definedName name="MSTR.D8F5F70011E594361C430080EF75C298.3">#REF!</definedName>
    <definedName name="MSTR.D8F5F70011E594361C430080EF75C298.30">#REF!</definedName>
    <definedName name="MSTR.D8F5F70011E594361C430080EF75C298.31">#REF!</definedName>
    <definedName name="MSTR.D8F5F70011E594361C430080EF75C298.32">#REF!</definedName>
    <definedName name="MSTR.D8F5F70011E594361C430080EF75C298.33">#REF!</definedName>
    <definedName name="MSTR.D8F5F70011E594361C430080EF75C298.34">#REF!</definedName>
    <definedName name="MSTR.D8F5F70011E594361C430080EF75C298.35">#REF!</definedName>
    <definedName name="MSTR.D8F5F70011E594361C430080EF75C298.36">#REF!</definedName>
    <definedName name="MSTR.D8F5F70011E594361C430080EF75C298.37">#REF!</definedName>
    <definedName name="MSTR.D8F5F70011E594361C430080EF75C298.38">#REF!</definedName>
    <definedName name="MSTR.D8F5F70011E594361C430080EF75C298.39">#REF!</definedName>
    <definedName name="MSTR.D8F5F70011E594361C430080EF75C298.4">#REF!</definedName>
    <definedName name="MSTR.D8F5F70011E594361C430080EF75C298.40">#REF!</definedName>
    <definedName name="MSTR.D8F5F70011E594361C430080EF75C298.41">#REF!</definedName>
    <definedName name="MSTR.D8F5F70011E594361C430080EF75C298.42">#REF!</definedName>
    <definedName name="MSTR.D8F5F70011E594361C430080EF75C298.43">#REF!</definedName>
    <definedName name="MSTR.D8F5F70011E594361C430080EF75C298.44">#REF!</definedName>
    <definedName name="MSTR.D8F5F70011E594361C430080EF75C298.45">#REF!</definedName>
    <definedName name="MSTR.D8F5F70011E594361C430080EF75C298.46">#REF!</definedName>
    <definedName name="MSTR.D8F5F70011E594361C430080EF75C298.47">#REF!</definedName>
    <definedName name="MSTR.D8F5F70011E594361C430080EF75C298.48">#REF!</definedName>
    <definedName name="MSTR.D8F5F70011E594361C430080EF75C298.49">#REF!</definedName>
    <definedName name="MSTR.D8F5F70011E594361C430080EF75C298.5">#REF!</definedName>
    <definedName name="MSTR.D8F5F70011E594361C430080EF75C298.50">#REF!</definedName>
    <definedName name="MSTR.D8F5F70011E594361C430080EF75C298.51">#REF!</definedName>
    <definedName name="MSTR.D8F5F70011E594361C430080EF75C298.52">#REF!</definedName>
    <definedName name="MSTR.D8F5F70011E594361C430080EF75C298.53">#REF!</definedName>
    <definedName name="MSTR.D8F5F70011E594361C430080EF75C298.54">#REF!</definedName>
    <definedName name="MSTR.D8F5F70011E594361C430080EF75C298.55">#REF!</definedName>
    <definedName name="MSTR.D8F5F70011E594361C430080EF75C298.56">#REF!</definedName>
    <definedName name="MSTR.D8F5F70011E594361C430080EF75C298.57">#REF!</definedName>
    <definedName name="MSTR.D8F5F70011E594361C430080EF75C298.58">#REF!</definedName>
    <definedName name="MSTR.D8F5F70011E594361C430080EF75C298.59">#REF!</definedName>
    <definedName name="MSTR.D8F5F70011E594361C430080EF75C298.6">#REF!</definedName>
    <definedName name="MSTR.D8F5F70011E594361C430080EF75C298.60">#REF!</definedName>
    <definedName name="MSTR.D8F5F70011E594361C430080EF75C298.61">#REF!</definedName>
    <definedName name="MSTR.D8F5F70011E594361C430080EF75C298.62">#REF!</definedName>
    <definedName name="MSTR.D8F5F70011E594361C430080EF75C298.63">#REF!</definedName>
    <definedName name="MSTR.D8F5F70011E594361C430080EF75C298.64">#REF!</definedName>
    <definedName name="MSTR.D8F5F70011E594361C430080EF75C298.65">#REF!</definedName>
    <definedName name="MSTR.D8F5F70011E594361C430080EF75C298.66">#REF!</definedName>
    <definedName name="MSTR.D8F5F70011E594361C430080EF75C298.67">#REF!</definedName>
    <definedName name="MSTR.D8F5F70011E594361C430080EF75C298.68">#REF!</definedName>
    <definedName name="MSTR.D8F5F70011E594361C430080EF75C298.69">#REF!</definedName>
    <definedName name="MSTR.D8F5F70011E594361C430080EF75C298.7">#REF!</definedName>
    <definedName name="MSTR.D8F5F70011E594361C430080EF75C298.70">#REF!</definedName>
    <definedName name="MSTR.D8F5F70011E594361C430080EF75C298.71">#REF!</definedName>
    <definedName name="MSTR.D8F5F70011E594361C430080EF75C298.72">#REF!</definedName>
    <definedName name="MSTR.D8F5F70011E594361C430080EF75C298.73">#REF!</definedName>
    <definedName name="MSTR.D8F5F70011E594361C430080EF75C298.74">#REF!</definedName>
    <definedName name="MSTR.D8F5F70011E594361C430080EF75C298.75">#REF!</definedName>
    <definedName name="MSTR.D8F5F70011E594361C430080EF75C298.76">#REF!</definedName>
    <definedName name="MSTR.D8F5F70011E594361C430080EF75C298.77">#REF!</definedName>
    <definedName name="MSTR.D8F5F70011E594361C430080EF75C298.78">#REF!</definedName>
    <definedName name="MSTR.D8F5F70011E594361C430080EF75C298.79">#REF!</definedName>
    <definedName name="MSTR.D8F5F70011E594361C430080EF75C298.8">#REF!</definedName>
    <definedName name="MSTR.D8F5F70011E594361C430080EF75C298.80">#REF!</definedName>
    <definedName name="MSTR.D8F5F70011E594361C430080EF75C298.81">#REF!</definedName>
    <definedName name="MSTR.D8F5F70011E594361C430080EF75C298.82">#REF!</definedName>
    <definedName name="MSTR.D8F5F70011E594361C430080EF75C298.83">#REF!</definedName>
    <definedName name="MSTR.D8F5F70011E594361C430080EF75C298.84">#REF!</definedName>
    <definedName name="MSTR.D8F5F70011E594361C430080EF75C298.85">#REF!</definedName>
    <definedName name="MSTR.D8F5F70011E594361C430080EF75C298.86">#REF!</definedName>
    <definedName name="MSTR.D8F5F70011E594361C430080EF75C298.87">#REF!</definedName>
    <definedName name="MSTR.D8F5F70011E594361C430080EF75C298.88">#REF!</definedName>
    <definedName name="MSTR.D8F5F70011E594361C430080EF75C298.89">#REF!</definedName>
    <definedName name="MSTR.D8F5F70011E594361C430080EF75C298.9">#REF!</definedName>
    <definedName name="MSTR.D8F5F70011E594361C430080EF75C298.90">#REF!</definedName>
    <definedName name="MSTR.D8F5F70011E594361C430080EF75C298.91">#REF!</definedName>
    <definedName name="MSTR.D8F5F70011E594361C430080EF75C298.92">#REF!</definedName>
    <definedName name="MSTR.D8F5F70011E594361C430080EF75C298.93">#REF!</definedName>
    <definedName name="MSTR.D8F5F70011E594361C430080EF75C298.94">#REF!</definedName>
    <definedName name="MSTR.D8F5F70011E594361C430080EF75C298.95">#REF!</definedName>
    <definedName name="MSTR.D8F5F70011E594361C430080EF75C298.96">#REF!</definedName>
    <definedName name="MSTR.D8F5F70011E594361C430080EF75C298.97">#REF!</definedName>
    <definedName name="MSTR.D8F5F70011E594361C430080EF75C298.98">#REF!</definedName>
    <definedName name="MSTR.D8F5F70011E594361C430080EF75C298.99">#REF!</definedName>
    <definedName name="MSTR.DA76E3244BFF66183A115491B6573ECB">#REF!</definedName>
    <definedName name="MSTR.DA76E3244BFF66183A115491B6573ECB.1">#REF!</definedName>
    <definedName name="MSTR.DA76E3244BFF66183A115491B6573ECB.10">#REF!</definedName>
    <definedName name="MSTR.DA76E3244BFF66183A115491B6573ECB.11">#REF!</definedName>
    <definedName name="MSTR.DA76E3244BFF66183A115491B6573ECB.12">#REF!</definedName>
    <definedName name="MSTR.DA76E3244BFF66183A115491B6573ECB.13">#REF!</definedName>
    <definedName name="MSTR.DA76E3244BFF66183A115491B6573ECB.14">#REF!</definedName>
    <definedName name="MSTR.DA76E3244BFF66183A115491B6573ECB.15">#REF!</definedName>
    <definedName name="MSTR.DA76E3244BFF66183A115491B6573ECB.16">#REF!</definedName>
    <definedName name="MSTR.DA76E3244BFF66183A115491B6573ECB.17">#REF!</definedName>
    <definedName name="MSTR.DA76E3244BFF66183A115491B6573ECB.18">#REF!</definedName>
    <definedName name="MSTR.DA76E3244BFF66183A115491B6573ECB.19">#REF!</definedName>
    <definedName name="MSTR.DA76E3244BFF66183A115491B6573ECB.2">#REF!</definedName>
    <definedName name="MSTR.DA76E3244BFF66183A115491B6573ECB.20">#REF!</definedName>
    <definedName name="MSTR.DA76E3244BFF66183A115491B6573ECB.21">#REF!</definedName>
    <definedName name="MSTR.DA76E3244BFF66183A115491B6573ECB.22">#REF!</definedName>
    <definedName name="MSTR.DA76E3244BFF66183A115491B6573ECB.23">#REF!</definedName>
    <definedName name="MSTR.DA76E3244BFF66183A115491B6573ECB.24">#REF!</definedName>
    <definedName name="MSTR.DA76E3244BFF66183A115491B6573ECB.25">#REF!</definedName>
    <definedName name="MSTR.DA76E3244BFF66183A115491B6573ECB.26">#REF!</definedName>
    <definedName name="MSTR.DA76E3244BFF66183A115491B6573ECB.27">#REF!</definedName>
    <definedName name="MSTR.DA76E3244BFF66183A115491B6573ECB.28">#REF!</definedName>
    <definedName name="MSTR.DA76E3244BFF66183A115491B6573ECB.29">#REF!</definedName>
    <definedName name="MSTR.DA76E3244BFF66183A115491B6573ECB.3">#REF!</definedName>
    <definedName name="MSTR.DA76E3244BFF66183A115491B6573ECB.30">#REF!</definedName>
    <definedName name="MSTR.DA76E3244BFF66183A115491B6573ECB.31">#REF!</definedName>
    <definedName name="MSTR.DA76E3244BFF66183A115491B6573ECB.32">#REF!</definedName>
    <definedName name="MSTR.DA76E3244BFF66183A115491B6573ECB.33">#REF!</definedName>
    <definedName name="MSTR.DA76E3244BFF66183A115491B6573ECB.34">#REF!</definedName>
    <definedName name="MSTR.DA76E3244BFF66183A115491B6573ECB.35">#REF!</definedName>
    <definedName name="MSTR.DA76E3244BFF66183A115491B6573ECB.36">#REF!</definedName>
    <definedName name="MSTR.DA76E3244BFF66183A115491B6573ECB.37">#REF!</definedName>
    <definedName name="MSTR.DA76E3244BFF66183A115491B6573ECB.38">#REF!</definedName>
    <definedName name="MSTR.DA76E3244BFF66183A115491B6573ECB.39">#REF!</definedName>
    <definedName name="MSTR.DA76E3244BFF66183A115491B6573ECB.4">#REF!</definedName>
    <definedName name="MSTR.DA76E3244BFF66183A115491B6573ECB.40">#REF!</definedName>
    <definedName name="MSTR.DA76E3244BFF66183A115491B6573ECB.41">#REF!</definedName>
    <definedName name="MSTR.DA76E3244BFF66183A115491B6573ECB.42">#REF!</definedName>
    <definedName name="MSTR.DA76E3244BFF66183A115491B6573ECB.43">#REF!</definedName>
    <definedName name="MSTR.DA76E3244BFF66183A115491B6573ECB.44">#REF!</definedName>
    <definedName name="MSTR.DA76E3244BFF66183A115491B6573ECB.45">#REF!</definedName>
    <definedName name="MSTR.DA76E3244BFF66183A115491B6573ECB.46">#REF!</definedName>
    <definedName name="MSTR.DA76E3244BFF66183A115491B6573ECB.47">#REF!</definedName>
    <definedName name="MSTR.DA76E3244BFF66183A115491B6573ECB.48">#REF!</definedName>
    <definedName name="MSTR.DA76E3244BFF66183A115491B6573ECB.5">#REF!</definedName>
    <definedName name="MSTR.DA76E3244BFF66183A115491B6573ECB.6">#REF!</definedName>
    <definedName name="MSTR.DA76E3244BFF66183A115491B6573ECB.7">#REF!</definedName>
    <definedName name="MSTR.DA76E3244BFF66183A115491B6573ECB.8">#REF!</definedName>
    <definedName name="MSTR.DA76E3244BFF66183A115491B6573ECB.9">#REF!</definedName>
    <definedName name="MSTR.DC68287011E53FEC00000080EF5523B0">#REF!</definedName>
    <definedName name="MSTR.DC68287011E53FEC00000080EF5523B0.1">#REF!</definedName>
    <definedName name="MSTR.DC68287011E53FEC00000080EF5523B0.10">#REF!</definedName>
    <definedName name="MSTR.DC68287011E53FEC00000080EF5523B0.11">#REF!</definedName>
    <definedName name="MSTR.DC68287011E53FEC00000080EF5523B0.12">#REF!</definedName>
    <definedName name="MSTR.DC68287011E53FEC00000080EF5523B0.13">#REF!</definedName>
    <definedName name="MSTR.DC68287011E53FEC00000080EF5523B0.14">#REF!</definedName>
    <definedName name="MSTR.DC68287011E53FEC00000080EF5523B0.15">#REF!</definedName>
    <definedName name="MSTR.DC68287011E53FEC00000080EF5523B0.16">#REF!</definedName>
    <definedName name="MSTR.DC68287011E53FEC00000080EF5523B0.17">#REF!</definedName>
    <definedName name="MSTR.DC68287011E53FEC00000080EF5523B0.18">#REF!</definedName>
    <definedName name="MSTR.DC68287011E53FEC00000080EF5523B0.19">#REF!</definedName>
    <definedName name="MSTR.DC68287011E53FEC00000080EF5523B0.2">#REF!</definedName>
    <definedName name="MSTR.DC68287011E53FEC00000080EF5523B0.3">#REF!</definedName>
    <definedName name="MSTR.DC68287011E53FEC00000080EF5523B0.4">#REF!</definedName>
    <definedName name="MSTR.DC68287011E53FEC00000080EF5523B0.5">#REF!</definedName>
    <definedName name="MSTR.DC68287011E53FEC00000080EF5523B0.6">#REF!</definedName>
    <definedName name="MSTR.DC68287011E53FEC00000080EF5523B0.7">#REF!</definedName>
    <definedName name="MSTR.DC68287011E53FEC00000080EF5523B0.8">#REF!</definedName>
    <definedName name="MSTR.DC68287011E53FEC00000080EF5523B0.9">#REF!</definedName>
    <definedName name="MSTR.DE23B2D211E539A800000080EF951320">#REF!</definedName>
    <definedName name="MSTR.DE23B2D211E539A800000080EF951320.1">#REF!</definedName>
    <definedName name="MSTR.DE23B2D211E539A800000080EF951320.10">#REF!</definedName>
    <definedName name="MSTR.DE23B2D211E539A800000080EF951320.11">#REF!</definedName>
    <definedName name="MSTR.DE23B2D211E539A800000080EF951320.12">#REF!</definedName>
    <definedName name="MSTR.DE23B2D211E539A800000080EF951320.13">#REF!</definedName>
    <definedName name="MSTR.DE23B2D211E539A800000080EF951320.14">#REF!</definedName>
    <definedName name="MSTR.DE23B2D211E539A800000080EF951320.2">#REF!</definedName>
    <definedName name="MSTR.DE23B2D211E539A800000080EF951320.3">#REF!</definedName>
    <definedName name="MSTR.DE23B2D211E539A800000080EF951320.4">#REF!</definedName>
    <definedName name="MSTR.DE23B2D211E539A800000080EF951320.5">#REF!</definedName>
    <definedName name="MSTR.DE23B2D211E539A800000080EF951320.6">#REF!</definedName>
    <definedName name="MSTR.DE23B2D211E539A800000080EF951320.7">#REF!</definedName>
    <definedName name="MSTR.DE23B2D211E539A800000080EF951320.8">#REF!</definedName>
    <definedName name="MSTR.DE23B2D211E539A800000080EF951320.9">#REF!</definedName>
    <definedName name="MSTR.Demanda__día_hora_">#REF!</definedName>
    <definedName name="MSTR.Demanda__día_hora_1">#REF!</definedName>
    <definedName name="MSTR.Demanda__día_hora_2">#REF!</definedName>
    <definedName name="MSTR.Demanda__día_hora_3">#REF!</definedName>
    <definedName name="MSTR.E4ACB6004B447AAE78DA06B6A694B5DF">#REF!</definedName>
    <definedName name="MSTR.E4ACB6004B447AAE78DA06B6A694B5DF.1">#REF!</definedName>
    <definedName name="MSTR.E500C91F4579C0CD449CCD8D5476A3BE">#REF!</definedName>
    <definedName name="MSTR.E500C91F4579C0CD449CCD8D5476A3BE.1">#REF!</definedName>
    <definedName name="MSTR.E500C91F4579C0CD449CCD8D5476A3BE.10">#REF!</definedName>
    <definedName name="MSTR.E500C91F4579C0CD449CCD8D5476A3BE.11">#REF!</definedName>
    <definedName name="MSTR.E500C91F4579C0CD449CCD8D5476A3BE.12">#REF!</definedName>
    <definedName name="MSTR.E500C91F4579C0CD449CCD8D5476A3BE.13">#REF!</definedName>
    <definedName name="MSTR.E500C91F4579C0CD449CCD8D5476A3BE.14">#REF!</definedName>
    <definedName name="MSTR.E500C91F4579C0CD449CCD8D5476A3BE.15">#REF!</definedName>
    <definedName name="MSTR.E500C91F4579C0CD449CCD8D5476A3BE.16">#REF!</definedName>
    <definedName name="MSTR.E500C91F4579C0CD449CCD8D5476A3BE.17">#REF!</definedName>
    <definedName name="MSTR.E500C91F4579C0CD449CCD8D5476A3BE.18">#REF!</definedName>
    <definedName name="MSTR.E500C91F4579C0CD449CCD8D5476A3BE.19">#REF!</definedName>
    <definedName name="MSTR.E500C91F4579C0CD449CCD8D5476A3BE.2">#REF!</definedName>
    <definedName name="MSTR.E500C91F4579C0CD449CCD8D5476A3BE.20">#REF!</definedName>
    <definedName name="MSTR.E500C91F4579C0CD449CCD8D5476A3BE.21">#REF!</definedName>
    <definedName name="MSTR.E500C91F4579C0CD449CCD8D5476A3BE.22">#REF!</definedName>
    <definedName name="MSTR.E500C91F4579C0CD449CCD8D5476A3BE.23">#REF!</definedName>
    <definedName name="MSTR.E500C91F4579C0CD449CCD8D5476A3BE.24">#REF!</definedName>
    <definedName name="MSTR.E500C91F4579C0CD449CCD8D5476A3BE.25">#REF!</definedName>
    <definedName name="MSTR.E500C91F4579C0CD449CCD8D5476A3BE.26">#REF!</definedName>
    <definedName name="MSTR.E500C91F4579C0CD449CCD8D5476A3BE.27">#REF!</definedName>
    <definedName name="MSTR.E500C91F4579C0CD449CCD8D5476A3BE.28">#REF!</definedName>
    <definedName name="MSTR.E500C91F4579C0CD449CCD8D5476A3BE.29">#REF!</definedName>
    <definedName name="MSTR.E500C91F4579C0CD449CCD8D5476A3BE.3">#REF!</definedName>
    <definedName name="MSTR.E500C91F4579C0CD449CCD8D5476A3BE.30">#REF!</definedName>
    <definedName name="MSTR.E500C91F4579C0CD449CCD8D5476A3BE.31">#REF!</definedName>
    <definedName name="MSTR.E500C91F4579C0CD449CCD8D5476A3BE.32">#REF!</definedName>
    <definedName name="MSTR.E500C91F4579C0CD449CCD8D5476A3BE.33">#REF!</definedName>
    <definedName name="MSTR.E500C91F4579C0CD449CCD8D5476A3BE.34">#REF!</definedName>
    <definedName name="MSTR.E500C91F4579C0CD449CCD8D5476A3BE.35">#REF!</definedName>
    <definedName name="MSTR.E500C91F4579C0CD449CCD8D5476A3BE.36">#REF!</definedName>
    <definedName name="MSTR.E500C91F4579C0CD449CCD8D5476A3BE.37">#REF!</definedName>
    <definedName name="MSTR.E500C91F4579C0CD449CCD8D5476A3BE.38">#REF!</definedName>
    <definedName name="MSTR.E500C91F4579C0CD449CCD8D5476A3BE.39">#REF!</definedName>
    <definedName name="MSTR.E500C91F4579C0CD449CCD8D5476A3BE.4">#REF!</definedName>
    <definedName name="MSTR.E500C91F4579C0CD449CCD8D5476A3BE.40">#REF!</definedName>
    <definedName name="MSTR.E500C91F4579C0CD449CCD8D5476A3BE.41">#REF!</definedName>
    <definedName name="MSTR.E500C91F4579C0CD449CCD8D5476A3BE.42">#REF!</definedName>
    <definedName name="MSTR.E500C91F4579C0CD449CCD8D5476A3BE.43">#REF!</definedName>
    <definedName name="MSTR.E500C91F4579C0CD449CCD8D5476A3BE.44">#REF!</definedName>
    <definedName name="MSTR.E500C91F4579C0CD449CCD8D5476A3BE.45">#REF!</definedName>
    <definedName name="MSTR.E500C91F4579C0CD449CCD8D5476A3BE.46">#REF!</definedName>
    <definedName name="MSTR.E500C91F4579C0CD449CCD8D5476A3BE.47">#REF!</definedName>
    <definedName name="MSTR.E500C91F4579C0CD449CCD8D5476A3BE.48">#REF!</definedName>
    <definedName name="MSTR.E500C91F4579C0CD449CCD8D5476A3BE.49">#REF!</definedName>
    <definedName name="MSTR.E500C91F4579C0CD449CCD8D5476A3BE.5">#REF!</definedName>
    <definedName name="MSTR.E500C91F4579C0CD449CCD8D5476A3BE.6">#REF!</definedName>
    <definedName name="MSTR.E500C91F4579C0CD449CCD8D5476A3BE.7">#REF!</definedName>
    <definedName name="MSTR.E500C91F4579C0CD449CCD8D5476A3BE.8">#REF!</definedName>
    <definedName name="MSTR.E500C91F4579C0CD449CCD8D5476A3BE.9">#REF!</definedName>
    <definedName name="MSTR.EA45B89211E5943620850080EF95049C">#REF!</definedName>
    <definedName name="MSTR.EA45B89211E5943620850080EF95049C.1">#REF!</definedName>
    <definedName name="MSTR.EA45B89211E5943620850080EF95049C.10">#REF!</definedName>
    <definedName name="MSTR.EA45B89211E5943620850080EF95049C.11">#REF!</definedName>
    <definedName name="MSTR.EA45B89211E5943620850080EF95049C.12">#REF!</definedName>
    <definedName name="MSTR.EA45B89211E5943620850080EF95049C.13">#REF!</definedName>
    <definedName name="MSTR.EA45B89211E5943620850080EF95049C.14">#REF!</definedName>
    <definedName name="MSTR.EA45B89211E5943620850080EF95049C.15">#REF!</definedName>
    <definedName name="MSTR.EA45B89211E5943620850080EF95049C.16">#REF!</definedName>
    <definedName name="MSTR.EA45B89211E5943620850080EF95049C.17">#REF!</definedName>
    <definedName name="MSTR.EA45B89211E5943620850080EF95049C.18">#REF!</definedName>
    <definedName name="MSTR.EA45B89211E5943620850080EF95049C.19">#REF!</definedName>
    <definedName name="MSTR.EA45B89211E5943620850080EF95049C.2">#REF!</definedName>
    <definedName name="MSTR.EA45B89211E5943620850080EF95049C.20">#REF!</definedName>
    <definedName name="MSTR.EA45B89211E5943620850080EF95049C.21">#REF!</definedName>
    <definedName name="MSTR.EA45B89211E5943620850080EF95049C.22">#REF!</definedName>
    <definedName name="MSTR.EA45B89211E5943620850080EF95049C.23">#REF!</definedName>
    <definedName name="MSTR.EA45B89211E5943620850080EF95049C.24">#REF!</definedName>
    <definedName name="MSTR.EA45B89211E5943620850080EF95049C.25">#REF!</definedName>
    <definedName name="MSTR.EA45B89211E5943620850080EF95049C.26">#REF!</definedName>
    <definedName name="MSTR.EA45B89211E5943620850080EF95049C.27">#REF!</definedName>
    <definedName name="MSTR.EA45B89211E5943620850080EF95049C.28">#REF!</definedName>
    <definedName name="MSTR.EA45B89211E5943620850080EF95049C.29">#REF!</definedName>
    <definedName name="MSTR.EA45B89211E5943620850080EF95049C.3">#REF!</definedName>
    <definedName name="MSTR.EA45B89211E5943620850080EF95049C.30">#REF!</definedName>
    <definedName name="MSTR.EA45B89211E5943620850080EF95049C.31">#REF!</definedName>
    <definedName name="MSTR.EA45B89211E5943620850080EF95049C.32">#REF!</definedName>
    <definedName name="MSTR.EA45B89211E5943620850080EF95049C.33">#REF!</definedName>
    <definedName name="MSTR.EA45B89211E5943620850080EF95049C.34">#REF!</definedName>
    <definedName name="MSTR.EA45B89211E5943620850080EF95049C.35">#REF!</definedName>
    <definedName name="MSTR.EA45B89211E5943620850080EF95049C.36">#REF!</definedName>
    <definedName name="MSTR.EA45B89211E5943620850080EF95049C.37">#REF!</definedName>
    <definedName name="MSTR.EA45B89211E5943620850080EF95049C.38">#REF!</definedName>
    <definedName name="MSTR.EA45B89211E5943620850080EF95049C.39">#REF!</definedName>
    <definedName name="MSTR.EA45B89211E5943620850080EF95049C.4">#REF!</definedName>
    <definedName name="MSTR.EA45B89211E5943620850080EF95049C.40">#REF!</definedName>
    <definedName name="MSTR.EA45B89211E5943620850080EF95049C.41">#REF!</definedName>
    <definedName name="MSTR.EA45B89211E5943620850080EF95049C.42">#REF!</definedName>
    <definedName name="MSTR.EA45B89211E5943620850080EF95049C.43">#REF!</definedName>
    <definedName name="MSTR.EA45B89211E5943620850080EF95049C.44">#REF!</definedName>
    <definedName name="MSTR.EA45B89211E5943620850080EF95049C.45">#REF!</definedName>
    <definedName name="MSTR.EA45B89211E5943620850080EF95049C.46">#REF!</definedName>
    <definedName name="MSTR.EA45B89211E5943620850080EF95049C.47">#REF!</definedName>
    <definedName name="MSTR.EA45B89211E5943620850080EF95049C.48">#REF!</definedName>
    <definedName name="MSTR.EA45B89211E5943620850080EF95049C.49">#REF!</definedName>
    <definedName name="MSTR.EA45B89211E5943620850080EF95049C.5">#REF!</definedName>
    <definedName name="MSTR.EA45B89211E5943620850080EF95049C.50">#REF!</definedName>
    <definedName name="MSTR.EA45B89211E5943620850080EF95049C.51">#REF!</definedName>
    <definedName name="MSTR.EA45B89211E5943620850080EF95049C.52">#REF!</definedName>
    <definedName name="MSTR.EA45B89211E5943620850080EF95049C.6">#REF!</definedName>
    <definedName name="MSTR.EA45B89211E5943620850080EF95049C.7">#REF!</definedName>
    <definedName name="MSTR.EA45B89211E5943620850080EF95049C.8">#REF!</definedName>
    <definedName name="MSTR.EA45B89211E5943620850080EF95049C.9">#REF!</definedName>
    <definedName name="MSTR.EA7D952611E544C4AAB70080EF858F8F">#REF!</definedName>
    <definedName name="MSTR.EA7D952611E544C4AAB70080EF858F8F.1">#REF!</definedName>
    <definedName name="MSTR.EA7D952611E544C4AAB70080EF858F8F.10">#REF!</definedName>
    <definedName name="MSTR.EA7D952611E544C4AAB70080EF858F8F.2">#REF!</definedName>
    <definedName name="MSTR.EA7D952611E544C4AAB70080EF858F8F.3">#REF!</definedName>
    <definedName name="MSTR.EA7D952611E544C4AAB70080EF858F8F.4">#REF!</definedName>
    <definedName name="MSTR.EA7D952611E544C4AAB70080EF858F8F.5">#REF!</definedName>
    <definedName name="MSTR.EA7D952611E544C4AAB70080EF858F8F.6">#REF!</definedName>
    <definedName name="MSTR.EA7D952611E544C4AAB70080EF858F8F.7">#REF!</definedName>
    <definedName name="MSTR.EA7D952611E544C4AAB70080EF858F8F.8">#REF!</definedName>
    <definedName name="MSTR.EA7D952611E544C4AAB70080EF858F8F.9">#REF!</definedName>
    <definedName name="MSTR.Energía_restricciones_técnicas_PDBF_Combustible">#REF!</definedName>
    <definedName name="MSTR.F36A8F7E413F36F43E1DDFB5ADE315A1">#REF!</definedName>
    <definedName name="MSTR.F36A8F7E413F36F43E1DDFB5ADE315A1.1">#REF!</definedName>
    <definedName name="MSTR.F36A8F7E413F36F43E1DDFB5ADE315A1.10">#REF!</definedName>
    <definedName name="MSTR.F36A8F7E413F36F43E1DDFB5ADE315A1.11">#REF!</definedName>
    <definedName name="MSTR.F36A8F7E413F36F43E1DDFB5ADE315A1.12">#REF!</definedName>
    <definedName name="MSTR.F36A8F7E413F36F43E1DDFB5ADE315A1.13">#REF!</definedName>
    <definedName name="MSTR.F36A8F7E413F36F43E1DDFB5ADE315A1.14">#REF!</definedName>
    <definedName name="MSTR.F36A8F7E413F36F43E1DDFB5ADE315A1.15">#REF!</definedName>
    <definedName name="MSTR.F36A8F7E413F36F43E1DDFB5ADE315A1.16">#REF!</definedName>
    <definedName name="MSTR.F36A8F7E413F36F43E1DDFB5ADE315A1.17">#REF!</definedName>
    <definedName name="MSTR.F36A8F7E413F36F43E1DDFB5ADE315A1.18">#REF!</definedName>
    <definedName name="MSTR.F36A8F7E413F36F43E1DDFB5ADE315A1.19">#REF!</definedName>
    <definedName name="MSTR.F36A8F7E413F36F43E1DDFB5ADE315A1.2">#REF!</definedName>
    <definedName name="MSTR.F36A8F7E413F36F43E1DDFB5ADE315A1.20">#REF!</definedName>
    <definedName name="MSTR.F36A8F7E413F36F43E1DDFB5ADE315A1.21">#REF!</definedName>
    <definedName name="MSTR.F36A8F7E413F36F43E1DDFB5ADE315A1.22">#REF!</definedName>
    <definedName name="MSTR.F36A8F7E413F36F43E1DDFB5ADE315A1.23">#REF!</definedName>
    <definedName name="MSTR.F36A8F7E413F36F43E1DDFB5ADE315A1.24">#REF!</definedName>
    <definedName name="MSTR.F36A8F7E413F36F43E1DDFB5ADE315A1.25">#REF!</definedName>
    <definedName name="MSTR.F36A8F7E413F36F43E1DDFB5ADE315A1.26">#REF!</definedName>
    <definedName name="MSTR.F36A8F7E413F36F43E1DDFB5ADE315A1.27">#REF!</definedName>
    <definedName name="MSTR.F36A8F7E413F36F43E1DDFB5ADE315A1.28">#REF!</definedName>
    <definedName name="MSTR.F36A8F7E413F36F43E1DDFB5ADE315A1.29">#REF!</definedName>
    <definedName name="MSTR.F36A8F7E413F36F43E1DDFB5ADE315A1.3">#REF!</definedName>
    <definedName name="MSTR.F36A8F7E413F36F43E1DDFB5ADE315A1.30">#REF!</definedName>
    <definedName name="MSTR.F36A8F7E413F36F43E1DDFB5ADE315A1.31">#REF!</definedName>
    <definedName name="MSTR.F36A8F7E413F36F43E1DDFB5ADE315A1.32">#REF!</definedName>
    <definedName name="MSTR.F36A8F7E413F36F43E1DDFB5ADE315A1.33">#REF!</definedName>
    <definedName name="MSTR.F36A8F7E413F36F43E1DDFB5ADE315A1.34">#REF!</definedName>
    <definedName name="MSTR.F36A8F7E413F36F43E1DDFB5ADE315A1.35">#REF!</definedName>
    <definedName name="MSTR.F36A8F7E413F36F43E1DDFB5ADE315A1.36">#REF!</definedName>
    <definedName name="MSTR.F36A8F7E413F36F43E1DDFB5ADE315A1.37">#REF!</definedName>
    <definedName name="MSTR.F36A8F7E413F36F43E1DDFB5ADE315A1.38">#REF!</definedName>
    <definedName name="MSTR.F36A8F7E413F36F43E1DDFB5ADE315A1.39">#REF!</definedName>
    <definedName name="MSTR.F36A8F7E413F36F43E1DDFB5ADE315A1.4">#REF!</definedName>
    <definedName name="MSTR.F36A8F7E413F36F43E1DDFB5ADE315A1.40">#REF!</definedName>
    <definedName name="MSTR.F36A8F7E413F36F43E1DDFB5ADE315A1.41">#REF!</definedName>
    <definedName name="MSTR.F36A8F7E413F36F43E1DDFB5ADE315A1.42">#REF!</definedName>
    <definedName name="MSTR.F36A8F7E413F36F43E1DDFB5ADE315A1.43">#REF!</definedName>
    <definedName name="MSTR.F36A8F7E413F36F43E1DDFB5ADE315A1.44">#REF!</definedName>
    <definedName name="MSTR.F36A8F7E413F36F43E1DDFB5ADE315A1.45">#REF!</definedName>
    <definedName name="MSTR.F36A8F7E413F36F43E1DDFB5ADE315A1.46">#REF!</definedName>
    <definedName name="MSTR.F36A8F7E413F36F43E1DDFB5ADE315A1.47">#REF!</definedName>
    <definedName name="MSTR.F36A8F7E413F36F43E1DDFB5ADE315A1.48">#REF!</definedName>
    <definedName name="MSTR.F36A8F7E413F36F43E1DDFB5ADE315A1.49">#REF!</definedName>
    <definedName name="MSTR.F36A8F7E413F36F43E1DDFB5ADE315A1.5">#REF!</definedName>
    <definedName name="MSTR.F36A8F7E413F36F43E1DDFB5ADE315A1.50">#REF!</definedName>
    <definedName name="MSTR.F36A8F7E413F36F43E1DDFB5ADE315A1.51">#REF!</definedName>
    <definedName name="MSTR.F36A8F7E413F36F43E1DDFB5ADE315A1.52">#REF!</definedName>
    <definedName name="MSTR.F36A8F7E413F36F43E1DDFB5ADE315A1.6">#REF!</definedName>
    <definedName name="MSTR.F36A8F7E413F36F43E1DDFB5ADE315A1.7">#REF!</definedName>
    <definedName name="MSTR.F36A8F7E413F36F43E1DDFB5ADE315A1.8">#REF!</definedName>
    <definedName name="MSTR.F36A8F7E413F36F43E1DDFB5ADE315A1.9">#REF!</definedName>
    <definedName name="MSTR.GENERACION_BILATERAL">#REF!</definedName>
    <definedName name="MSTR.GENERACION_BILATERAL1">#REF!</definedName>
    <definedName name="MSTR.GENERACION_BILATERAL2">#REF!</definedName>
    <definedName name="MSTR.GENERACION_BILATERAL3">#REF!</definedName>
    <definedName name="MSTR.GENERACION_BILATERAL4">#REF!</definedName>
    <definedName name="MSTR.GeneraciónPBF">#REF!</definedName>
    <definedName name="MSTR.GeneraciónPBF1">#REF!</definedName>
    <definedName name="MSTR.GeneraciónPBF2">#REF!</definedName>
    <definedName name="MSTR.GeneraciónPBF3">#REF!</definedName>
    <definedName name="MSTR.GeneraciónPBF4">#REF!</definedName>
    <definedName name="MSTR.Mercado_Diario">#REF!</definedName>
    <definedName name="MSTR.Mercado_Intradiario2">#REF!</definedName>
    <definedName name="MSTR.Mercado_Intradiario3">#REF!</definedName>
    <definedName name="MSTR.Mercado_Intradiario4">#REF!</definedName>
    <definedName name="MSTR.Mercado_Intradiario5">#REF!</definedName>
    <definedName name="MSTR.Mercado_Intradiario6">#REF!</definedName>
    <definedName name="MSTR.Precio_medio_final_Mensual">#REF!</definedName>
    <definedName name="MSTR.Precios_Enlace_Baleares">#REF!</definedName>
    <definedName name="MSTR.pRECIOS_MERCADOS_EUROPEOS">#REF!</definedName>
    <definedName name="MSTR.Precios_y_energías_MD____Diario_simple_">#REF!</definedName>
    <definedName name="MSTR.Precios_y_energías_MD____Diario_simple_1">#REF!</definedName>
    <definedName name="MSTR.Precios_y_energías_MD____Diario_simple_2">#REF!</definedName>
    <definedName name="MSTR.Precios_y_energías_MD____Diario_simple_3">#REF!</definedName>
    <definedName name="MSTR.Programa_del_enlace__Diario_Simple_">#REF!</definedName>
    <definedName name="MSTR.Res_adi_subir_mensual__Combustible">#REF!</definedName>
    <definedName name="MSTR.ROPRIMA">#REF!</definedName>
    <definedName name="MSTR.ROPRIMA1">#REF!</definedName>
    <definedName name="MSTR.ROPRIMA2">#REF!</definedName>
    <definedName name="MSTR.ROPRIMA3">#REF!</definedName>
  </definedNames>
  <calcPr calcId="191029"/>
  <customWorkbookViews>
    <customWorkbookView name="C33_V" guid="{900DFCC7-DCF9-11D6-8470-0008C7298EBA}" includePrintSettings="0" includeHiddenRowCol="0" maximized="1" showSheetTabs="0" windowWidth="794" windowHeight="457" tabRatio="905" activeSheetId="62755" showStatusbar="0"/>
    <customWorkbookView name="C31_V" guid="{900DFCC6-DCF9-11D6-8470-0008C7298EBA}" includePrintSettings="0" includeHiddenRowCol="0" maximized="1" showSheetTabs="0" windowWidth="794" windowHeight="457" tabRatio="905" activeSheetId="62755" showStatusbar="0"/>
    <customWorkbookView name="C29_V" guid="{900DFCC5-DCF9-11D6-8470-0008C7298EBA}" includePrintSettings="0" includeHiddenRowCol="0" maximized="1" showSheetTabs="0" windowWidth="794" windowHeight="457" tabRatio="905" activeSheetId="62755" showStatusbar="0"/>
    <customWorkbookView name="C28_V" guid="{900DFCC4-DCF9-11D6-8470-0008C7298EBA}" includePrintSettings="0" includeHiddenRowCol="0" maximized="1" showSheetTabs="0" windowWidth="794" windowHeight="457" tabRatio="905" activeSheetId="62755" showStatusbar="0"/>
    <customWorkbookView name="C26_V" guid="{900DFCC3-DCF9-11D6-8470-0008C7298EBA}" includePrintSettings="0" includeHiddenRowCol="0" maximized="1" showSheetTabs="0" windowWidth="794" windowHeight="457" tabRatio="905" activeSheetId="62755" showStatusbar="0"/>
    <customWorkbookView name="C25_V" guid="{900DFCC2-DCF9-11D6-8470-0008C7298EBA}" includePrintSettings="0" includeHiddenRowCol="0" maximized="1" showSheetTabs="0" windowWidth="794" windowHeight="457" tabRatio="905" activeSheetId="62755" showStatusbar="0"/>
    <customWorkbookView name="C23_V" guid="{900DFCC1-DCF9-11D6-8470-0008C7298EBA}" includePrintSettings="0" includeHiddenRowCol="0" maximized="1" showSheetTabs="0" windowWidth="794" windowHeight="457" tabRatio="905" activeSheetId="62755" showStatusbar="0"/>
    <customWorkbookView name="C20_V" guid="{900DFCC0-DCF9-11D6-8470-0008C7298EBA}" includePrintSettings="0" includeHiddenRowCol="0" maximized="1" showSheetTabs="0" windowWidth="794" windowHeight="457" tabRatio="905" activeSheetId="62755" showStatusbar="0"/>
    <customWorkbookView name="C14_V" guid="{900DFCBF-DCF9-11D6-8470-0008C7298EBA}" includePrintSettings="0" includeHiddenRowCol="0" maximized="1" showSheetTabs="0" windowWidth="794" windowHeight="457" tabRatio="905" activeSheetId="62755" showStatusbar="0"/>
    <customWorkbookView name="C13_V" guid="{900DFCBE-DCF9-11D6-8470-0008C7298EBA}" includePrintSettings="0" includeHiddenRowCol="0" maximized="1" showSheetTabs="0" windowWidth="794" windowHeight="457" tabRatio="905" activeSheetId="62755" showStatusbar="0"/>
    <customWorkbookView name="C12_V" guid="{900DFCBD-DCF9-11D6-8470-0008C7298EBA}" includePrintSettings="0" includeHiddenRowCol="0" maximized="1" showSheetTabs="0" windowWidth="794" windowHeight="457" tabRatio="905" activeSheetId="62755" showStatusbar="0"/>
    <customWorkbookView name="C11_V" guid="{900DFCBC-DCF9-11D6-8470-0008C7298EBA}" includePrintSettings="0" includeHiddenRowCol="0" maximized="1" showSheetTabs="0" windowWidth="794" windowHeight="457" tabRatio="905" activeSheetId="62755" showStatusbar="0"/>
    <customWorkbookView name="C10_V" guid="{900DFCBB-DCF9-11D6-8470-0008C7298EBA}" includePrintSettings="0" includeHiddenRowCol="0" maximized="1" showSheetTabs="0" windowWidth="794" windowHeight="457" tabRatio="905" activeSheetId="62755" showStatusbar="0"/>
    <customWorkbookView name="C9_V" guid="{900DFCBA-DCF9-11D6-8470-0008C7298EBA}" includePrintSettings="0" includeHiddenRowCol="0" maximized="1" showSheetTabs="0" windowWidth="794" windowHeight="457" tabRatio="905" activeSheetId="62755" showStatusbar="0"/>
    <customWorkbookView name="C8_V" guid="{900DFCB9-DCF9-11D6-8470-0008C7298EBA}" includePrintSettings="0" includeHiddenRowCol="0" maximized="1" showSheetTabs="0" windowWidth="794" windowHeight="457" tabRatio="905" activeSheetId="62755" showStatusbar="0"/>
    <customWorkbookView name="C7_V" guid="{900DFCB8-DCF9-11D6-8470-0008C7298EBA}" includePrintSettings="0" includeHiddenRowCol="0" maximized="1" showSheetTabs="0" windowWidth="794" windowHeight="457" tabRatio="905" activeSheetId="62754" showStatusbar="0"/>
    <customWorkbookView name="C5_V" guid="{900DFCB7-DCF9-11D6-8470-0008C7298EBA}" includePrintSettings="0" includeHiddenRowCol="0" maximized="1" showSheetTabs="0" windowWidth="794" windowHeight="457" tabRatio="905" activeSheetId="62755" showStatusbar="0"/>
    <customWorkbookView name="C4_V" guid="{900DFCB6-DCF9-11D6-8470-0008C7298EBA}" includePrintSettings="0" includeHiddenRowCol="0" maximized="1" showSheetTabs="0" windowWidth="794" windowHeight="457" tabRatio="905" activeSheetId="62755" showStatusbar="0"/>
    <customWorkbookView name="C2_V" guid="{900DFCB5-DCF9-11D6-8470-0008C7298EBA}" includePrintSettings="0" includeHiddenRowCol="0" maximized="1" showSheetTabs="0" windowWidth="794" windowHeight="457" tabRatio="905" activeSheetId="62754" showStatusbar="0"/>
    <customWorkbookView name="C3_V" guid="{900DFCB4-DCF9-11D6-8470-0008C7298EBA}" includePrintSettings="0" includeHiddenRowCol="0" maximized="1" showSheetTabs="0" windowWidth="794" windowHeight="457" tabRatio="905" activeSheetId="62755" showStatusbar="0"/>
    <customWorkbookView name="C1_V" guid="{900DFCB2-DCF9-11D6-8470-0008C7298EBA}" includePrintSettings="0" includeHiddenRowCol="0" maximized="1" showSheetTabs="0" windowWidth="794" windowHeight="457" tabRatio="905" activeSheetId="62755"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4" i="96" l="1"/>
  <c r="E453" i="96"/>
  <c r="B67" i="96"/>
  <c r="C67" i="96"/>
  <c r="D67" i="96"/>
  <c r="E67" i="96"/>
  <c r="F67" i="96"/>
  <c r="G67" i="96"/>
  <c r="H67" i="96"/>
  <c r="I67" i="96"/>
  <c r="J67" i="96"/>
  <c r="K67" i="96"/>
  <c r="L67" i="96"/>
  <c r="M67" i="96"/>
  <c r="N67" i="96"/>
  <c r="C101" i="96"/>
  <c r="C106" i="96"/>
  <c r="G106" i="96"/>
  <c r="A114" i="96"/>
  <c r="G101" i="96"/>
  <c r="C84" i="96"/>
  <c r="D84" i="96"/>
  <c r="E84" i="96"/>
  <c r="F84" i="96"/>
  <c r="G84" i="96"/>
  <c r="H84" i="96"/>
  <c r="I84" i="96"/>
  <c r="J84" i="96"/>
  <c r="K84" i="96"/>
  <c r="L84" i="96"/>
  <c r="M84" i="96"/>
  <c r="N84" i="96"/>
  <c r="N89" i="96"/>
  <c r="M89" i="96"/>
  <c r="L89" i="96"/>
  <c r="K89" i="96"/>
  <c r="J89" i="96"/>
  <c r="I89" i="96"/>
  <c r="H89" i="96"/>
  <c r="G89" i="96"/>
  <c r="F89" i="96"/>
  <c r="E89" i="96"/>
  <c r="D89" i="96"/>
  <c r="C89" i="96"/>
  <c r="B89" i="96"/>
  <c r="B84" i="96"/>
  <c r="P354" i="96" l="1"/>
  <c r="P371" i="96"/>
  <c r="N69" i="96" l="1"/>
  <c r="J81" i="96" l="1"/>
  <c r="K130" i="96"/>
  <c r="P216" i="96"/>
  <c r="C317" i="96"/>
  <c r="D317" i="96"/>
  <c r="E317" i="96"/>
  <c r="F317" i="96"/>
  <c r="G317" i="96"/>
  <c r="H317" i="96"/>
  <c r="I317" i="96"/>
  <c r="J317" i="96"/>
  <c r="K317" i="96"/>
  <c r="L317" i="96"/>
  <c r="M317" i="96"/>
  <c r="N317" i="96"/>
  <c r="B317" i="96"/>
  <c r="C394" i="96"/>
  <c r="D394" i="96"/>
  <c r="E394" i="96"/>
  <c r="F394" i="96"/>
  <c r="G394" i="96"/>
  <c r="H394" i="96"/>
  <c r="I394" i="96"/>
  <c r="J394" i="96"/>
  <c r="K394" i="96"/>
  <c r="L394" i="96"/>
  <c r="M394" i="96"/>
  <c r="N394" i="96"/>
  <c r="B394" i="96"/>
  <c r="AN8" i="96" l="1"/>
  <c r="M87" i="96" l="1"/>
  <c r="M86" i="96"/>
  <c r="M82" i="96"/>
  <c r="N74" i="96" l="1"/>
  <c r="AN38" i="96" l="1"/>
  <c r="AN9" i="96"/>
  <c r="AN10" i="96"/>
  <c r="AN11" i="96"/>
  <c r="AN12" i="96"/>
  <c r="AN13" i="96"/>
  <c r="AN14" i="96"/>
  <c r="AN15" i="96"/>
  <c r="AN16" i="96"/>
  <c r="AN17" i="96"/>
  <c r="AN18" i="96"/>
  <c r="AN19" i="96"/>
  <c r="AN20" i="96"/>
  <c r="AN21" i="96"/>
  <c r="AN22" i="96"/>
  <c r="AN23" i="96"/>
  <c r="AN24" i="96"/>
  <c r="AN25" i="96"/>
  <c r="AN26" i="96"/>
  <c r="AN27" i="96"/>
  <c r="AN28" i="96"/>
  <c r="AN29" i="96"/>
  <c r="AN30" i="96"/>
  <c r="AN31" i="96"/>
  <c r="AN32" i="96"/>
  <c r="AN33" i="96"/>
  <c r="AN34" i="96"/>
  <c r="AN35" i="96"/>
  <c r="AN36" i="96"/>
  <c r="AN37" i="96"/>
  <c r="Q371" i="96" l="1"/>
  <c r="P169" i="96" l="1"/>
  <c r="P151" i="96"/>
  <c r="C107" i="96" l="1"/>
  <c r="I465" i="96"/>
  <c r="F465" i="96"/>
  <c r="C465" i="96"/>
  <c r="B465" i="96"/>
  <c r="C105" i="96"/>
  <c r="C104" i="96"/>
  <c r="C103" i="96"/>
  <c r="C102" i="96"/>
  <c r="C100" i="96"/>
  <c r="C99" i="96"/>
  <c r="C98" i="96"/>
  <c r="H94" i="96"/>
  <c r="F94" i="96"/>
  <c r="E94" i="96"/>
  <c r="C94" i="96"/>
  <c r="B94" i="96"/>
  <c r="N90" i="96"/>
  <c r="N88" i="96"/>
  <c r="N87" i="96"/>
  <c r="N86" i="96"/>
  <c r="N85" i="96"/>
  <c r="N83" i="96"/>
  <c r="N82" i="96"/>
  <c r="A115" i="96"/>
  <c r="I464" i="96" l="1"/>
  <c r="F464" i="96"/>
  <c r="C464" i="96"/>
  <c r="B464" i="96"/>
  <c r="B463" i="96"/>
  <c r="B453" i="96"/>
  <c r="P64" i="96" l="1"/>
  <c r="M90" i="96" l="1"/>
  <c r="M88" i="96"/>
  <c r="M85" i="96"/>
  <c r="M83" i="96"/>
  <c r="N91" i="96" l="1"/>
  <c r="P419" i="96" l="1"/>
  <c r="P418" i="96"/>
  <c r="P417" i="96"/>
  <c r="P415" i="96"/>
  <c r="P414" i="96"/>
  <c r="P413" i="96"/>
  <c r="P412" i="96"/>
  <c r="P405" i="96" l="1"/>
  <c r="P404" i="96"/>
  <c r="P403" i="96"/>
  <c r="P402" i="96"/>
  <c r="N389" i="96"/>
  <c r="M389" i="96"/>
  <c r="L389" i="96"/>
  <c r="K389" i="96"/>
  <c r="J389" i="96"/>
  <c r="I389" i="96"/>
  <c r="H389" i="96"/>
  <c r="G389" i="96"/>
  <c r="F389" i="96"/>
  <c r="E389" i="96"/>
  <c r="D389" i="96"/>
  <c r="C389" i="96"/>
  <c r="B389" i="96"/>
  <c r="C126" i="96"/>
  <c r="B126" i="96"/>
  <c r="K94" i="96" l="1"/>
  <c r="G107" i="96" l="1"/>
  <c r="G105" i="96"/>
  <c r="G104" i="96"/>
  <c r="G103" i="96"/>
  <c r="G102" i="96"/>
  <c r="G100" i="96"/>
  <c r="G99" i="96"/>
  <c r="G98" i="96"/>
  <c r="L90" i="96"/>
  <c r="L88" i="96"/>
  <c r="L87" i="96"/>
  <c r="L86" i="96"/>
  <c r="L85" i="96"/>
  <c r="L83" i="96"/>
  <c r="L82" i="96"/>
  <c r="K90" i="96"/>
  <c r="K88" i="96"/>
  <c r="K87" i="96"/>
  <c r="K86" i="96"/>
  <c r="K85" i="96"/>
  <c r="K83" i="96"/>
  <c r="K82" i="96"/>
  <c r="J90" i="96"/>
  <c r="J88" i="96"/>
  <c r="J87" i="96"/>
  <c r="J86" i="96"/>
  <c r="J85" i="96"/>
  <c r="J83" i="96"/>
  <c r="J82" i="96"/>
  <c r="I90" i="96"/>
  <c r="I88" i="96"/>
  <c r="I87" i="96"/>
  <c r="I86" i="96"/>
  <c r="I85" i="96"/>
  <c r="I83" i="96"/>
  <c r="I82" i="96"/>
  <c r="H90" i="96"/>
  <c r="H88" i="96"/>
  <c r="H87" i="96"/>
  <c r="H86" i="96"/>
  <c r="H85" i="96"/>
  <c r="H83" i="96"/>
  <c r="H82" i="96"/>
  <c r="G90" i="96"/>
  <c r="G88" i="96"/>
  <c r="G87" i="96"/>
  <c r="G86" i="96"/>
  <c r="G85" i="96"/>
  <c r="G83" i="96"/>
  <c r="G82" i="96"/>
  <c r="F90" i="96"/>
  <c r="F88" i="96"/>
  <c r="F87" i="96"/>
  <c r="F86" i="96"/>
  <c r="F85" i="96"/>
  <c r="F83" i="96"/>
  <c r="F82" i="96"/>
  <c r="E90" i="96"/>
  <c r="E88" i="96"/>
  <c r="E87" i="96"/>
  <c r="E86" i="96"/>
  <c r="E85" i="96"/>
  <c r="E83" i="96"/>
  <c r="E82" i="96"/>
  <c r="D90" i="96"/>
  <c r="D88" i="96"/>
  <c r="D87" i="96"/>
  <c r="D86" i="96"/>
  <c r="D85" i="96"/>
  <c r="D83" i="96"/>
  <c r="D82" i="96"/>
  <c r="C90" i="96"/>
  <c r="C88" i="96"/>
  <c r="C87" i="96"/>
  <c r="C86" i="96"/>
  <c r="C85" i="96"/>
  <c r="C83" i="96"/>
  <c r="C82" i="96"/>
  <c r="B82" i="96"/>
  <c r="M81" i="96" l="1"/>
  <c r="N81" i="96"/>
  <c r="F13" i="76" l="1"/>
  <c r="G97" i="96"/>
  <c r="B88" i="96" l="1"/>
  <c r="B87" i="96"/>
  <c r="B86" i="96"/>
  <c r="B85" i="96"/>
  <c r="B83" i="96"/>
  <c r="B90" i="96"/>
  <c r="O90" i="96" l="1"/>
  <c r="P90" i="96" s="1"/>
  <c r="J94" i="96"/>
  <c r="I94" i="96"/>
  <c r="H121" i="96" l="1"/>
  <c r="C81" i="96"/>
  <c r="D81" i="96"/>
  <c r="E81" i="96"/>
  <c r="F81" i="96"/>
  <c r="G81" i="96"/>
  <c r="H81" i="96"/>
  <c r="I81" i="96"/>
  <c r="K81" i="96"/>
  <c r="L81" i="96"/>
  <c r="B81" i="96"/>
  <c r="A2" i="96" l="1"/>
  <c r="F95" i="96" l="1"/>
  <c r="G458" i="96"/>
  <c r="G457" i="96"/>
  <c r="G456" i="96"/>
  <c r="G459" i="96"/>
  <c r="G460" i="96"/>
  <c r="G461" i="96"/>
  <c r="G462" i="96"/>
  <c r="G463" i="96"/>
  <c r="G455" i="96"/>
  <c r="G454" i="96"/>
  <c r="I453" i="96"/>
  <c r="G453" i="96"/>
  <c r="F453" i="96"/>
  <c r="C453" i="96"/>
  <c r="F463" i="96"/>
  <c r="C463" i="96"/>
  <c r="F462" i="96"/>
  <c r="C462" i="96"/>
  <c r="B462" i="96"/>
  <c r="F461" i="96"/>
  <c r="C461" i="96"/>
  <c r="B461" i="96"/>
  <c r="F460" i="96"/>
  <c r="C460" i="96"/>
  <c r="B460" i="96"/>
  <c r="F459" i="96"/>
  <c r="C459" i="96"/>
  <c r="B459" i="96"/>
  <c r="F458" i="96"/>
  <c r="C458" i="96"/>
  <c r="B458" i="96"/>
  <c r="F457" i="96"/>
  <c r="C457" i="96"/>
  <c r="B457" i="96"/>
  <c r="F456" i="96"/>
  <c r="C456" i="96"/>
  <c r="B456" i="96"/>
  <c r="F455" i="96"/>
  <c r="C455" i="96"/>
  <c r="B455" i="96"/>
  <c r="F454" i="96"/>
  <c r="C454" i="96"/>
  <c r="B454" i="96"/>
  <c r="E464" i="96"/>
  <c r="E463" i="96"/>
  <c r="E462" i="96"/>
  <c r="E461" i="96"/>
  <c r="E460" i="96"/>
  <c r="E459" i="96"/>
  <c r="E458" i="96"/>
  <c r="E457" i="96"/>
  <c r="E456" i="96"/>
  <c r="E455" i="96"/>
  <c r="E454" i="96"/>
  <c r="E465" i="96" l="1"/>
  <c r="G94" i="96" s="1"/>
  <c r="G95" i="96" s="1"/>
  <c r="G14" i="76"/>
  <c r="F14" i="76"/>
  <c r="AM8" i="96" l="1"/>
  <c r="Q297" i="96"/>
  <c r="O183" i="96" l="1"/>
  <c r="P192" i="96"/>
  <c r="O191" i="96"/>
  <c r="O192" i="96"/>
  <c r="C187" i="96"/>
  <c r="D187" i="96"/>
  <c r="E187" i="96"/>
  <c r="F187" i="96"/>
  <c r="G187" i="96"/>
  <c r="H187" i="96"/>
  <c r="I187" i="96"/>
  <c r="J187" i="96"/>
  <c r="K187" i="96"/>
  <c r="L187" i="96"/>
  <c r="M187" i="96"/>
  <c r="N187" i="96"/>
  <c r="B187" i="96"/>
  <c r="C180" i="96"/>
  <c r="D180" i="96"/>
  <c r="E180" i="96"/>
  <c r="F180" i="96"/>
  <c r="G180" i="96"/>
  <c r="H180" i="96"/>
  <c r="I180" i="96"/>
  <c r="J180" i="96"/>
  <c r="K180" i="96"/>
  <c r="L180" i="96"/>
  <c r="M180" i="96"/>
  <c r="N180" i="96"/>
  <c r="B180" i="96"/>
  <c r="O335" i="96"/>
  <c r="N335" i="96"/>
  <c r="M335" i="96"/>
  <c r="L335" i="96"/>
  <c r="K335" i="96"/>
  <c r="J335" i="96"/>
  <c r="I335" i="96"/>
  <c r="H335" i="96"/>
  <c r="G335" i="96"/>
  <c r="F335" i="96"/>
  <c r="E335" i="96"/>
  <c r="D335" i="96"/>
  <c r="C335" i="96"/>
  <c r="C125" i="96"/>
  <c r="B125" i="96"/>
  <c r="N312" i="96"/>
  <c r="M312" i="96"/>
  <c r="L312" i="96"/>
  <c r="K312" i="96"/>
  <c r="J312" i="96"/>
  <c r="I312" i="96"/>
  <c r="H312" i="96"/>
  <c r="G312" i="96"/>
  <c r="F312" i="96"/>
  <c r="E312" i="96"/>
  <c r="D312" i="96"/>
  <c r="C312" i="96"/>
  <c r="B312" i="96"/>
  <c r="O256" i="96"/>
  <c r="N256" i="96"/>
  <c r="M256" i="96"/>
  <c r="L256" i="96"/>
  <c r="K256" i="96"/>
  <c r="J256" i="96"/>
  <c r="I256" i="96"/>
  <c r="H256" i="96"/>
  <c r="G256" i="96"/>
  <c r="F256" i="96"/>
  <c r="E256" i="96"/>
  <c r="D256" i="96"/>
  <c r="C256" i="96"/>
  <c r="O194" i="96"/>
  <c r="N194" i="96"/>
  <c r="M194" i="96"/>
  <c r="L194" i="96"/>
  <c r="K194" i="96"/>
  <c r="J194" i="96"/>
  <c r="I194" i="96"/>
  <c r="H194" i="96"/>
  <c r="G194" i="96"/>
  <c r="F194" i="96"/>
  <c r="E194" i="96"/>
  <c r="D194" i="96"/>
  <c r="C194" i="96"/>
  <c r="P297" i="96" l="1"/>
  <c r="P278" i="96"/>
  <c r="Q235" i="96"/>
  <c r="P235" i="96"/>
  <c r="AI8" i="96" l="1"/>
  <c r="I121" i="96"/>
  <c r="F8" i="76" l="1"/>
  <c r="C97" i="96"/>
  <c r="G8" i="76" s="1"/>
  <c r="H122" i="96" l="1"/>
  <c r="I122" i="96" l="1"/>
  <c r="D130" i="96"/>
  <c r="E130" i="96"/>
  <c r="F130" i="96"/>
  <c r="G130" i="96"/>
  <c r="H130" i="96"/>
  <c r="I130" i="96"/>
  <c r="J130" i="96"/>
  <c r="L130" i="96"/>
  <c r="M130" i="96"/>
  <c r="N130" i="96"/>
  <c r="O130" i="96"/>
  <c r="C130" i="96"/>
  <c r="G9" i="76"/>
  <c r="F15" i="76"/>
  <c r="G15" i="76"/>
  <c r="G13" i="76"/>
  <c r="F12" i="76"/>
  <c r="G12" i="76"/>
  <c r="F10" i="76"/>
  <c r="G10" i="76"/>
  <c r="F9" i="76"/>
  <c r="A453" i="96" l="1"/>
  <c r="J453" i="96" s="1"/>
  <c r="A454" i="96"/>
  <c r="J454" i="96" s="1"/>
  <c r="I454" i="96"/>
  <c r="A455" i="96"/>
  <c r="J455" i="96" s="1"/>
  <c r="I455" i="96"/>
  <c r="A456" i="96"/>
  <c r="J456" i="96" s="1"/>
  <c r="I456" i="96"/>
  <c r="A457" i="96"/>
  <c r="J457" i="96" s="1"/>
  <c r="I457" i="96"/>
  <c r="A458" i="96"/>
  <c r="J458" i="96" s="1"/>
  <c r="I458" i="96"/>
  <c r="A459" i="96"/>
  <c r="J459" i="96" s="1"/>
  <c r="I459" i="96"/>
  <c r="A460" i="96"/>
  <c r="J460" i="96" s="1"/>
  <c r="I460" i="96"/>
  <c r="A461" i="96"/>
  <c r="J461" i="96" s="1"/>
  <c r="I461" i="96"/>
  <c r="A462" i="96"/>
  <c r="J462" i="96" s="1"/>
  <c r="I462" i="96"/>
  <c r="A463" i="96"/>
  <c r="J463" i="96" s="1"/>
  <c r="I463" i="96"/>
  <c r="A464" i="96"/>
  <c r="J464" i="96" s="1"/>
  <c r="D456" i="96" l="1"/>
  <c r="D457" i="96"/>
  <c r="D453" i="96"/>
  <c r="D455" i="96"/>
  <c r="D459" i="96"/>
  <c r="D462" i="96"/>
  <c r="D454" i="96"/>
  <c r="D464" i="96"/>
  <c r="D461" i="96"/>
  <c r="D460" i="96"/>
  <c r="D463" i="96"/>
  <c r="D458" i="96"/>
  <c r="F11" i="76" l="1"/>
  <c r="F16" i="76" s="1"/>
  <c r="G11" i="76" l="1"/>
  <c r="G16" i="76" s="1"/>
  <c r="G17" i="76" s="1"/>
  <c r="D124" i="96" l="1"/>
  <c r="D123" i="96"/>
  <c r="D121" i="96"/>
  <c r="E17" i="76" l="1"/>
  <c r="E95" i="96" l="1"/>
  <c r="A465" i="96"/>
  <c r="J465" i="96" s="1"/>
  <c r="D94" i="96" l="1"/>
  <c r="H453" i="96"/>
  <c r="H463" i="96"/>
  <c r="H455" i="96"/>
  <c r="H456" i="96"/>
  <c r="H464" i="96"/>
  <c r="H457" i="96"/>
  <c r="H458" i="96"/>
  <c r="H459" i="96"/>
  <c r="H460" i="96"/>
  <c r="H461" i="96"/>
  <c r="H454" i="96"/>
  <c r="H462" i="96"/>
  <c r="D465" i="96"/>
  <c r="L94" i="96" l="1"/>
  <c r="D95" i="96"/>
  <c r="H465" i="96"/>
  <c r="K465" i="96" s="1"/>
  <c r="L465" i="96" l="1"/>
  <c r="M465" i="96"/>
  <c r="N465" i="96"/>
  <c r="E3" i="92"/>
  <c r="L2" i="85" l="1"/>
  <c r="H3" i="53"/>
  <c r="L2" i="86"/>
  <c r="L3" i="70"/>
  <c r="E3" i="10"/>
  <c r="L2" i="77"/>
  <c r="L2" i="87"/>
  <c r="L2" i="58"/>
  <c r="E3" i="71"/>
  <c r="E3" i="76"/>
  <c r="L2" i="83"/>
  <c r="L2" i="84"/>
  <c r="E3" i="3"/>
  <c r="E3"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tc={F5421E1A-C75C-4E4D-9498-A8C701766122}</author>
  </authors>
  <commentList>
    <comment ref="M43" authorId="0" shapeId="0" xr:uid="{F5421E1A-C75C-4E4D-9498-A8C701766122}">
      <text>
        <t>[Comentario encadenado]
Su versión de Excel le permite leer este comentario encadenado; sin embargo, las ediciones que se apliquen se quitarán si el archivo se abre en una versión más reciente de Excel. Más información: https://go.microsoft.com/fwlink/?linkid=870924
Comentario:
    Actualizar diciembre</t>
      </text>
    </comment>
  </commentList>
</comments>
</file>

<file path=xl/sharedStrings.xml><?xml version="1.0" encoding="utf-8"?>
<sst xmlns="http://schemas.openxmlformats.org/spreadsheetml/2006/main" count="812" uniqueCount="294">
  <si>
    <t>Total</t>
  </si>
  <si>
    <t>Mercado diario</t>
  </si>
  <si>
    <t>Mercado intradiario</t>
  </si>
  <si>
    <t>Regulación terciaria</t>
  </si>
  <si>
    <t xml:space="preserve"> </t>
  </si>
  <si>
    <t>E</t>
  </si>
  <si>
    <t>F</t>
  </si>
  <si>
    <t>M</t>
  </si>
  <si>
    <t>A</t>
  </si>
  <si>
    <t>J</t>
  </si>
  <si>
    <t>S</t>
  </si>
  <si>
    <t>O</t>
  </si>
  <si>
    <t>N</t>
  </si>
  <si>
    <t>D</t>
  </si>
  <si>
    <t>(€/MWh)</t>
  </si>
  <si>
    <t>Desvíos</t>
  </si>
  <si>
    <t>Servicios de ajuste</t>
  </si>
  <si>
    <t>Pagos por capacidad</t>
  </si>
  <si>
    <t>Repercusión de los servicios de ajuste en el precio final (€/MWh)</t>
  </si>
  <si>
    <t>Hidráulica</t>
  </si>
  <si>
    <t>Restricciones técnicas PDBF</t>
  </si>
  <si>
    <t>Banda</t>
  </si>
  <si>
    <t>Control del factor de potencia</t>
  </si>
  <si>
    <t>Ciclo Combinado</t>
  </si>
  <si>
    <t>Restricciones técnicas en tiempo real</t>
  </si>
  <si>
    <t xml:space="preserve">Mercados Diario e Intradiario </t>
  </si>
  <si>
    <t xml:space="preserve">PRECIO FINAL </t>
  </si>
  <si>
    <t>Indicadores</t>
  </si>
  <si>
    <t>Repercusión de los servicios de ajuste del sistema en el precio final medio</t>
  </si>
  <si>
    <t>Energía final</t>
  </si>
  <si>
    <t>Mercado eléctrico</t>
  </si>
  <si>
    <t>Boletín mensual</t>
  </si>
  <si>
    <t xml:space="preserve"> Restricciones técnicas PBF</t>
  </si>
  <si>
    <t>Pagos  por capacidad</t>
  </si>
  <si>
    <t>Demanda peninsular</t>
  </si>
  <si>
    <t>Solución de restricciones técnicas (Fase I)</t>
  </si>
  <si>
    <t>Otros procesos OS</t>
  </si>
  <si>
    <t>Valores extremos y medio del precio del mercado diario</t>
  </si>
  <si>
    <t>Componentes del precio final medio de la energía</t>
  </si>
  <si>
    <t>Mercado diario e intradiario</t>
  </si>
  <si>
    <t>Restricciones técnicas</t>
  </si>
  <si>
    <t>Control de factor de potencia</t>
  </si>
  <si>
    <t>(GWh)</t>
  </si>
  <si>
    <t>(GWh y €/MWh)</t>
  </si>
  <si>
    <r>
      <t xml:space="preserve">Evolución del componente del precio final medio de la energía. </t>
    </r>
    <r>
      <rPr>
        <b/>
        <sz val="8"/>
        <color indexed="8"/>
        <rFont val="Arial"/>
        <family val="2"/>
      </rPr>
      <t>(Suministro de referencia + libre)</t>
    </r>
  </si>
  <si>
    <t>Coste medio de la energía de comercializadores y consumidores directos</t>
  </si>
  <si>
    <t>Energía final MWh</t>
  </si>
  <si>
    <t>Cuota %</t>
  </si>
  <si>
    <t>Mercado Diario</t>
  </si>
  <si>
    <t>Restricciones PBF</t>
  </si>
  <si>
    <t>Restricciones TR</t>
  </si>
  <si>
    <t>Mercado Intradiario</t>
  </si>
  <si>
    <t>Restricciones Intradiario</t>
  </si>
  <si>
    <t>Reserva subir</t>
  </si>
  <si>
    <t>Incumplimiento energía balance</t>
  </si>
  <si>
    <t>Coste desvíos</t>
  </si>
  <si>
    <t>Saldo desvíos</t>
  </si>
  <si>
    <t>Pago capacidad</t>
  </si>
  <si>
    <t>Saldo PO 14.6</t>
  </si>
  <si>
    <t>Coste medio final (€/MWh)</t>
  </si>
  <si>
    <t>Energia (MWh) a subir</t>
  </si>
  <si>
    <t>Energia (MWh) a bajar</t>
  </si>
  <si>
    <r>
      <t>Evolución de los componentes del precio final medio (</t>
    </r>
    <r>
      <rPr>
        <b/>
        <sz val="8"/>
        <color rgb="FF004563"/>
        <rFont val="Calibri"/>
        <family val="2"/>
      </rPr>
      <t>€</t>
    </r>
    <r>
      <rPr>
        <b/>
        <sz val="8"/>
        <color rgb="FF004563"/>
        <rFont val="Arial"/>
        <family val="2"/>
      </rPr>
      <t>/MWh)</t>
    </r>
  </si>
  <si>
    <t>Coste de los servicios de ajuste (M€)</t>
  </si>
  <si>
    <t>Regulación secundaria</t>
  </si>
  <si>
    <t xml:space="preserve">• </t>
  </si>
  <si>
    <t>Evolución del componente del  precio medio final de la energía.</t>
  </si>
  <si>
    <t>Componentes del precio medio final de la energía.</t>
  </si>
  <si>
    <t>Coste de los servicios de ajuste</t>
  </si>
  <si>
    <t>Restricciones Técnicas al PBF</t>
  </si>
  <si>
    <t>Restric. en Tiempo Real</t>
  </si>
  <si>
    <t>Subir</t>
  </si>
  <si>
    <t>Nuclear</t>
  </si>
  <si>
    <t>Carbón</t>
  </si>
  <si>
    <t>Consumo Bombeo</t>
  </si>
  <si>
    <t>Bajar</t>
  </si>
  <si>
    <t>Turbinación bombeo</t>
  </si>
  <si>
    <t>Eólica</t>
  </si>
  <si>
    <t>Solar fotovoltaica</t>
  </si>
  <si>
    <t>Solar térmica</t>
  </si>
  <si>
    <t>Cogeneración</t>
  </si>
  <si>
    <t>Otras Renovables</t>
  </si>
  <si>
    <t>Adquisición de Energía</t>
  </si>
  <si>
    <t>Enlace Península Baleares</t>
  </si>
  <si>
    <t>Internacionales</t>
  </si>
  <si>
    <t>Residuos no Renovables</t>
  </si>
  <si>
    <t>Mes</t>
  </si>
  <si>
    <t>Precios horarios Mercado Diario €/MWh</t>
  </si>
  <si>
    <t>Mínimo</t>
  </si>
  <si>
    <t>Máximo</t>
  </si>
  <si>
    <t>1</t>
  </si>
  <si>
    <t>2</t>
  </si>
  <si>
    <t>3</t>
  </si>
  <si>
    <t>4</t>
  </si>
  <si>
    <t>5</t>
  </si>
  <si>
    <t>6</t>
  </si>
  <si>
    <t>7</t>
  </si>
  <si>
    <t>8</t>
  </si>
  <si>
    <t>9</t>
  </si>
  <si>
    <t>10</t>
  </si>
  <si>
    <t>11</t>
  </si>
  <si>
    <t>12</t>
  </si>
  <si>
    <t>13</t>
  </si>
  <si>
    <t>14</t>
  </si>
  <si>
    <t>15</t>
  </si>
  <si>
    <t>16</t>
  </si>
  <si>
    <t>17</t>
  </si>
  <si>
    <t>18</t>
  </si>
  <si>
    <t>19</t>
  </si>
  <si>
    <t>20</t>
  </si>
  <si>
    <t>21</t>
  </si>
  <si>
    <t>22</t>
  </si>
  <si>
    <t>23</t>
  </si>
  <si>
    <t>24</t>
  </si>
  <si>
    <t>Hora</t>
  </si>
  <si>
    <t>Mes_ind</t>
  </si>
  <si>
    <t>Concepto</t>
  </si>
  <si>
    <t xml:space="preserve">Mes </t>
  </si>
  <si>
    <t>Validación</t>
  </si>
  <si>
    <t>Sentido</t>
  </si>
  <si>
    <t>Combustible</t>
  </si>
  <si>
    <t>Programa (MWh)</t>
  </si>
  <si>
    <t>Mes informe</t>
  </si>
  <si>
    <t>Fecha</t>
  </si>
  <si>
    <t>Coste de los servicios de ajuste (€)</t>
  </si>
  <si>
    <t>SegDiario</t>
  </si>
  <si>
    <t>Banda 2ª</t>
  </si>
  <si>
    <t>Asign 2ª</t>
  </si>
  <si>
    <t>Terciaria</t>
  </si>
  <si>
    <t>T Real</t>
  </si>
  <si>
    <t>(MW y €/MW)</t>
  </si>
  <si>
    <t/>
  </si>
  <si>
    <t>Restriciones en Tiempo Real</t>
  </si>
  <si>
    <t>Precio Medio Ponderado (€/MWh) según Mercados</t>
  </si>
  <si>
    <t>Otros (*)</t>
  </si>
  <si>
    <t>Total Servicios ajuste</t>
  </si>
  <si>
    <t>Energia Gestionada</t>
  </si>
  <si>
    <t>Importación</t>
  </si>
  <si>
    <t>RRFRON</t>
  </si>
  <si>
    <t>Francia</t>
  </si>
  <si>
    <t>Portugal</t>
  </si>
  <si>
    <t>IC</t>
  </si>
  <si>
    <t>Redespacho</t>
  </si>
  <si>
    <t>Frontera</t>
  </si>
  <si>
    <t>(GW )</t>
  </si>
  <si>
    <t xml:space="preserve">Reservas de sustitución. Energía asignada SEPE </t>
  </si>
  <si>
    <t>Reservas de sustitución, Necesidades cubiertas y asignaciones SEPE y frontera</t>
  </si>
  <si>
    <t>Reservas de sustitución, Necesidades cubiertas y asignaciones en peninsula y en frontera</t>
  </si>
  <si>
    <t>Reservas de sustitución</t>
  </si>
  <si>
    <t>(1) El servicio de Energías de Balance de tipo RR cuenta con un precio único. El valor representado corresponde al precio medio ponderado según el sentido de la necesidad cubierta del Sistema Eléctrico Español</t>
  </si>
  <si>
    <t xml:space="preserve">   Restricciones técnicas al PDBF</t>
  </si>
  <si>
    <t xml:space="preserve">   Restricciones técnicas en tiempo real</t>
  </si>
  <si>
    <t>Energía limitada por restricciones (MWh)</t>
  </si>
  <si>
    <t>Energía programada por seguridad</t>
  </si>
  <si>
    <t>Energía utilizada por balances</t>
  </si>
  <si>
    <t>IGCC</t>
  </si>
  <si>
    <t>Asignación Terciaria (MWh)</t>
  </si>
  <si>
    <t>IGCC (1)</t>
  </si>
  <si>
    <t>(1) Energía de regulación secundaria evitada mediante la Plataforma europea de neteo de necesidades de regulación secundaria</t>
  </si>
  <si>
    <t>Energía Importación IGCC (MWh)</t>
  </si>
  <si>
    <t>Energía Exportación IGCC (MWh)</t>
  </si>
  <si>
    <t>Restricciones PDBF</t>
  </si>
  <si>
    <t>Asignaciones RR en frontera</t>
  </si>
  <si>
    <t>Precios en €/MWh</t>
  </si>
  <si>
    <t>Mercado de restricciones</t>
  </si>
  <si>
    <t>Mercado de reserva y de balance</t>
  </si>
  <si>
    <t>Exportación</t>
  </si>
  <si>
    <t>Precio medio aritmético</t>
  </si>
  <si>
    <t>Necesidades de energía cubiertas en los servicios de ajuste</t>
  </si>
  <si>
    <t>Instrumentales DESV</t>
  </si>
  <si>
    <t>Asignación Energía (MWh)</t>
  </si>
  <si>
    <t>Energía de regulación secundaria utilizada en GWh</t>
  </si>
  <si>
    <t>Asignación terciaria</t>
  </si>
  <si>
    <t>Reserva de sustitución</t>
  </si>
  <si>
    <t>Necesidades RR</t>
  </si>
  <si>
    <t>Restricciones TREAL</t>
  </si>
  <si>
    <t>Precio medio aritmético año anterior</t>
  </si>
  <si>
    <t>Variación año anterior</t>
  </si>
  <si>
    <t>Mecanismo ajuste RD-L 10/2022</t>
  </si>
  <si>
    <t>Porcentaje SA s/precio medio final</t>
  </si>
  <si>
    <t>Precio medio aritmético mes anterior</t>
  </si>
  <si>
    <t>Variación mes anterior</t>
  </si>
  <si>
    <t>Mecanismo Ajuste RD-L10/2022 Coste OM</t>
  </si>
  <si>
    <t>Mecanismo Ajuste RD-L10/2022 Coste OS</t>
  </si>
  <si>
    <t>Mecanismo Ajuste RD-L10/2022 Ajuste OS</t>
  </si>
  <si>
    <t>Banda Secundaria y RAD</t>
  </si>
  <si>
    <t>Banda de regulación secundaria y RAD</t>
  </si>
  <si>
    <t>Servicio RAD</t>
  </si>
  <si>
    <t>(*) RAD (Respuesta Activa de la Demanda)</t>
  </si>
  <si>
    <t>Promedio</t>
  </si>
  <si>
    <t>Secundaria utilizada en GWh</t>
  </si>
  <si>
    <t>Precios Ponderados Restricciones</t>
  </si>
  <si>
    <t>RR</t>
  </si>
  <si>
    <t>Precios Ponderados programa</t>
  </si>
  <si>
    <t>Energía Asignada abs MWh</t>
  </si>
  <si>
    <t>Coste Banda Secundaria Desvíos</t>
  </si>
  <si>
    <t>Fallo Nominación UPG</t>
  </si>
  <si>
    <t>Banda Secundaria</t>
  </si>
  <si>
    <t>Servicio interrumpibilidad</t>
  </si>
  <si>
    <t>Coste a BRP servicio de respuesta activa</t>
  </si>
  <si>
    <t>Servicio de respuesta activa desvíos</t>
  </si>
  <si>
    <t>Fuentes: OMIE y RE.</t>
  </si>
  <si>
    <t>Energía de regulación secundaria evitada mediante la plataforma de neteo IGCC</t>
  </si>
  <si>
    <t>Servicio RAD e ingreso control de tensión</t>
  </si>
  <si>
    <t>(*) Incluye incumplimento de energía de balance, saldo de desvíos, desvíos entre sistemas, Servicio RAD (Respuesta Activa de la Demanda) e ingreso control de tensión</t>
  </si>
  <si>
    <t>Almacenamiento</t>
  </si>
  <si>
    <t>Hibridación</t>
  </si>
  <si>
    <t>Reserva de regulación secundaria</t>
  </si>
  <si>
    <t>Reserva de regulación</t>
  </si>
  <si>
    <t>2025 Enero</t>
  </si>
  <si>
    <t>ENE-25</t>
  </si>
  <si>
    <t>2025 Febrero</t>
  </si>
  <si>
    <t>Precio Medio Ponderado (€/MWh) según Medidas toda la energía</t>
  </si>
  <si>
    <t>FEB-25</t>
  </si>
  <si>
    <t>2025 Marzo</t>
  </si>
  <si>
    <t>MAR-25</t>
  </si>
  <si>
    <t>%h con p=&lt;0</t>
  </si>
  <si>
    <t>%h con 0&lt;p=&lt;50</t>
  </si>
  <si>
    <t>%h con 50&lt;p=&lt;100</t>
  </si>
  <si>
    <t>%h con 100&lt;p=&lt;150</t>
  </si>
  <si>
    <t>%h con p&gt;150</t>
  </si>
  <si>
    <t>Mercado diario. Porcentaje de horas en que los precios han estado dentro de unos márgenes</t>
  </si>
  <si>
    <t>Mercado diario: rango de precios en el mercado diario</t>
  </si>
  <si>
    <t>Mercado diario: Número de horas con diferentes rango del precios  (%)</t>
  </si>
  <si>
    <t>2025 Abril</t>
  </si>
  <si>
    <t>ABR-25</t>
  </si>
  <si>
    <t>BANDA</t>
  </si>
  <si>
    <t>2025 Mayo</t>
  </si>
  <si>
    <t>MAY-25</t>
  </si>
  <si>
    <t>2025 Junio</t>
  </si>
  <si>
    <t>JUN-25</t>
  </si>
  <si>
    <t>2025 Julio</t>
  </si>
  <si>
    <t>JUL-25</t>
  </si>
  <si>
    <t>Turbina Vapor, Gas y Fuel</t>
  </si>
  <si>
    <t>2025 Agosto</t>
  </si>
  <si>
    <t>AGO-25</t>
  </si>
  <si>
    <t>&lt;mi app="e" ver="22"&gt;&lt;rptloc guid="6cabc49f5d5c4ad5a5ba49a26441cdc6" rank="0" ds="1"&gt;&lt;ri hasPG="0" name="Asignaciones Terciaria por combustible" id="6DC51F0B4484B81504F54C8BBF673691" path="Objetos públicos\Informes\Informes Específicos\Estadística\INFORMES MACROS\Office\Boletín\Asignaciones Terciaria por combustible" cf="0" prompt="1" ve="0" vm="0" flashpth="d:\Usuarios\ARACABIV\AppData\Local\Temp\" fimagepth="d:\Usuarios\ARACABIV\AppData\Local\Temp\" swfn="DashboardViewer.swf" fvars="" dvis=""&gt;&lt;ci ps="BI" srv="APBI5A" prj="SIOSbi" prjid="A04572404A6ABF2446090B938515E87E" li="MADCONSO" am="s" /&gt;&lt;lu ut="10/11/2024 12:18:40"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msgID="6332DA6C11EF87C89A360080EF35F097"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ece="A195" enr="MSTR.Asignaciones_Terciaria_por_combustible" ptn="" qtn="" rows="41" cols="15" /&gt;&lt;esdo ews="" ece="" ptn="" /&gt;&lt;/excel&gt;&lt;pgs&gt;&lt;pg rows="38" cols="13" nrr="3552" nrc="1326"&gt;&lt;pg /&gt;&lt;bls&gt;&lt;bl sr="1" sc="1" rfetch="38" cfetch="13" posid="1" darows="0" dacols="1"&gt;&lt;excel&gt;&lt;epo ews="Dat_01" ece="A195" enr="MSTR.Asignaciones_Terciaria_por_combustible" ptn="" qtn="" rows="41" cols="15" /&gt;&lt;esdo ews="" ece="" ptn="" /&gt;&lt;/excel&gt;&lt;gridRng&gt;&lt;sect id="TITLE_AREA" rngprop="1:1:3:2" /&gt;&lt;sect id="ROWHEADERS_AREA" rngprop="4:1:38:2" /&gt;&lt;sect id="COLUMNHEADERS_AREA" rngprop="1:3:3:13" /&gt;&lt;sect id="DATA_AREA" rngprop="4:3:38:13" /&gt;&lt;/gridRng&gt;&lt;shapes /&gt;&lt;/bl&gt;&lt;/bls&gt;&lt;/pg&gt;&lt;/pgs&gt;&lt;/rptloc&gt;&lt;/mi&gt;</t>
  </si>
  <si>
    <t>2025 Septiembre</t>
  </si>
  <si>
    <t>&lt;mi app="e" ver="22"&gt;&lt;rptloc guid="1a204dc593334fbb999ed194904edee8" rank="0" ds="1"&gt;&lt;ri hasPG="0" name="Energía restricciones técnicas PDBF por combustible" id="70EF6E234019A35E75876AA6ED3B2373" path="Objetos públicos\Informes\Informes Específicos\Estadística\INFORMES MACROS\Office\Boletín\Energía restricciones técnicas PDBF por combustible" cf="0" prompt="1" ve="0" vm="0" flashpth="d:\Usuarios\ARACABIV\AppData\Local\Temp\" fimagepth="d:\Usuarios\ARACABIV\AppData\Local\Temp\" swfn="DashboardViewer.swf" fvars="" dvis=""&gt;&lt;ans /&gt;&lt;ci ps="BI" srv="apbi5a" prj="SIOSbi" prjid="80652F57504C7F8E3D7CF2B0B09EA47F" li="MADCONMA" am="s" /&gt;&lt;lu ut="10/10/2025 10:54:20" si="2.000000019cb931b5cca94fe46d0fb3c8477e6759ae6be0583fda8a436dc897a5945cc182333b6f52838be8c80a10c119e319d941d593342ca029e84e1250351d073fd7dfb0cdc9303500fc22905eac7a1e6505dd0047cb3ad23b328d447bcfd7fa70cdc7ee35cb51c481469ccf7453f6e679d25cd4ecb255fbce067a53f5321b42264b329fc8e186383084e1cfdffa4f1696bd385c89be99ca5bc9e90c3e8f7ced92941ccfe5e76a3ec6af07fa5e2b7052628d1bacb8649701808c09622b0c7ee9f268d7af5913195ab4d5347ad48e6684371f35d6499bdb0ee919af4697959aa8d4a7200a696e50adf5b80d2c47ae2b596ff23e1a0f3b6d397e248996f014483081b40712d6ec2e28cccc8e9f73df285196c13923e576adcc7101752c353e909d7f.p-3082.0.1_-3082.0.1_0.1.Europe/Madrid.upriv*_1*_pidn2*_21*_session*-lat*_1.00000001cf2a8dee49e654449a5fc13f1a24ba9aea1bd88bcb17cd1c0b1819501ea30e521c88b91eb19c36164de7e014bf393a60041d2aea.000000014770afebff06a3a1d272be82373d07a031cdd82ebf437baeabd8f8ca78807ea77889d1f5ba199d62ca4d275bca60751cf173aaa3.0.1.1.SIOSbi.80652F57504C7F8E3D7CF2B0B09EA47F.0-3082.1.1_-0.1.0_-3082.1.1_5.5.0.*0.000000017a90d81e59a0f056e565259c450a6d10c911585a6598d5765a759508154cd479e8a5afdd.0.23.11*.4*.1200*.00787J.e.00000001d1921db0753f7ae1237c7d37637a0823c911585a1e14c5672079c38ade73a84fcb606443.0.10*.131*.138*.18.*0.0.0.0" msgID="F56AE3917A41AB7B12E11CB44E02FEEF"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ece="A131" enr="MSTR.Energía_restricciones_técnicas_PDBF_por_combustible" ptn="" qtn="" rows="45" cols="15" /&gt;&lt;esdo ews="" ece="" ptn="" /&gt;&lt;/excel&gt;&lt;pgs&gt;&lt;pg rows="42" cols="13" nrr="2557" nrc="1391"&gt;&lt;pg /&gt;&lt;bls&gt;&lt;bl sr="1" sc="1" rfetch="42" cfetch="13" posid="1" darows="0" dacols="1"&gt;&lt;excel&gt;&lt;epo ews="Dat_01" ece="A131" enr="MSTR.Energía_restricciones_técnicas_PDBF_por_combustible" ptn="" qtn="" rows="45" cols="15" /&gt;&lt;esdo ews="" ece="" ptn="" /&gt;&lt;/excel&gt;&lt;gridRng&gt;&lt;sect id="TITLE_AREA" rngprop="1:1:3:2" /&gt;&lt;sect id="ROWHEADERS_AREA" rngprop="4:1:42:2" /&gt;&lt;sect id="COLUMNHEADERS_AREA" rngprop="1:3:3:13" /&gt;&lt;sect id="DATA_AREA" rngprop="4:3:42:13" /&gt;&lt;/gridRng&gt;&lt;shapes /&gt;&lt;/bl&gt;&lt;/bls&gt;&lt;/pg&gt;&lt;/pgs&gt;&lt;/rptloc&gt;&lt;/mi&gt;</t>
  </si>
  <si>
    <t>SEP-25</t>
  </si>
  <si>
    <t>&lt;mi app="e" ver="22"&gt;&lt;rptloc guid="81330f6bd54d43928185d23b657067bb" rank="0" ds="1"&gt;&lt;ri hasPG="0" name="Asignaciones Tiempo Real" id="B899BAE34AF0E79B8C5082A4571C5DFC" path="Objetos públicos\Informes\Informes Específicos\Estadística\INFORMES MACROS\Office\Boletín\Asignaciones Tiempo Real" cf="0" prompt="1" ve="0" vm="0" flashpth="d:\Usuarios\ARACABIV\AppData\Local\Temp\" fimagepth="d:\Usuarios\ARACABIV\AppData\Local\Temp\" swfn="DashboardViewer.swf" fvars="" dvis=""&gt;&lt;ci ps="BI" srv="APBI5A" prj="SIOSbi" prjid="A04572404A6ABF2446090B938515E87E" li="MADCONSO" am="s" /&gt;&lt;lu ut="10/11/2024 12:20:07" si="2.00000001d3e7cec91525cc6e90d7111f3f2dfadca6547ca905a5cb86d93787fde1f8092768e6a3cf6bccfedc11350854c4070b14070be5525c5eab70d202fa8db1462fb991d6ed1bc5e8972fa10488408f4ff8b691bdaa94ed18c95b51238c156e523f409f9cb69c02b00da5a2895ef201dc4d799e6c6e3dc5e06f6ba3b179e065df23515db75adadc4a122e0883f70cb31548dcd899857f4ddee5c101bd978663bb.p.3082.0.1.Europe/Madrid.upriv*_1*_pidn2*_5*_session*-lat*_1.000000019bc784de898be4fbd76d5105a0a4f75f31cdd82ed45c6caa4702ecf11b8d7f97be5a8d278c885a68155b50d80f35ff3971182f59.000000010ac1f95629592d9da191c5893d99131e31cdd82e52212f025ac81ad1def8b2edb49ef45c6337bfe40f5a1db595c803ccc71393c0.0.1.1.SIOSbi.A04572404A6ABF2446090B938515E87E.0-3082.1.1_-0.1.0_-3082.1.1_5.5.0.*0.000000010a3d8ebc2199457f3c8742ccf31a8e17c911585ad1721892b5101510cfdcfc591905ea57.0.23.11*.2*.0400*.31152J.e.000000014c4b612f175e38867da3db54c052c3dec911585a576e0eb230fb647d8d7e0d2a01087b00.0.10*.131*.122*.122.0.0" msgID="6310AA0B11EF87C89A360080EF553097"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ece="$A$336" enr="MSTR.Asignaciones_Tiempo_Real" ptn="" qtn="" rows="39" cols="15" /&gt;&lt;esdo ews="" ece="" ptn="" /&gt;&lt;/excel&gt;&lt;pgs&gt;&lt;pg rows="36" cols="13" nrr="2893" nrc="1378"&gt;&lt;pg /&gt;&lt;bls&gt;&lt;bl sr="1" sc="1" rfetch="36" cfetch="13" posid="1" darows="0" dacols="1"&gt;&lt;excel&gt;&lt;epo ews="Dat_01" ece="$A$336" enr="MSTR.Asignaciones_Tiempo_Real" ptn="" qtn="" rows="39" cols="15" /&gt;&lt;esdo ews="" ece="" ptn="" /&gt;&lt;/excel&gt;&lt;gridRng&gt;&lt;sect id="TITLE_AREA" rngprop="1:1:3:2" /&gt;&lt;sect id="ROWHEADERS_AREA" rngprop="4:1:36:2" /&gt;&lt;sect id="COLUMNHEADERS_AREA" rngprop="1:3:3:13" /&gt;&lt;sect id="DATA_AREA" rngprop="4:3:36:13" /&gt;&lt;/gridRng&gt;&lt;shapes /&gt;&lt;/bl&gt;&lt;/bls&gt;&lt;/pg&gt;&lt;/pgs&gt;&lt;/rptloc&gt;&lt;/mi&gt;</t>
  </si>
  <si>
    <t>2025 Octubre</t>
  </si>
  <si>
    <t>&lt;mi app="e" ver="22"&gt;&lt;rptloc guid="32dd2f1beb36473c94633491262b8d24" rank="0" ds="1"&gt;&lt;ri hasPG="0" name="Asignaciones RR" id="7CB4457A46480F3DF90C8DACCCE838FC" path="Objetos públicos\Informes\Informes Específicos\Estadística\INFORMES MACROS\Office\Boletín\Asignaciones RR" cf="0" prompt="1" ve="0" vm="0" flashpth="C:\Users\MADCONMA\AppData\Local\Temp\" fimagepth="C:\Users\MADCONMA\AppData\Local\Temp\" swfn="DashboardViewer.swf" fvars="" dvis=""&gt;&lt;ans /&gt;&lt;ci ps="BI" srv="APBI5A" prj="SIOSbi" prjid="80652F57504C7F8E3D7CF2B0B09EA47F" li="MADCONMA" am="s" /&gt;&lt;lu ut="11/07/2025 18:18:38" si="2.00000001572a28a86e48d96547e6c32750345e0136fbb8dcde20b06342aeb5d870e5f1c1923a15cc4bfdd22906425d90a28ec7c4b488d9e023087dd4c4a161c663997d5ea360bd20650c02c6b7240e3f2e3e9dfa4d2f81763b10edb6c316dc07f8f01333d5066b94714dd6150342e17eaee8b8a2dd47e67956102ff407079a96a1a6bdc833ed8328106f66c13ffba1fdfd6653a353fa8c1ff01c566cc67d0ede64bd108d70cccb5836a6d08c4baad8efccc18b8f6b72a341804007b972192a4e7ce4277b4e2dc4a103144a50fee5445d28059c1e7718ff73bc8d12fe445be238ac2fbc7f76fa51fcbdc47422f3f653298177348db15f588029008357cc0866765495b74f38333b53af1ebe093fcb18984195e606cc014ce2bb3ba756a02822f5734c.p-3082.0.1_-3082.0.1_0.1.Europe/Madrid.upriv*_1*_pidn2*_17*_session*-lat*_1.00000001027b642c6621bad545ce8b83a8c8e6c7ea1bd88be75df992c8991fbe653903915eea501c196e0cfd98363c730b21b9d3db66bea0.00000001b44642a760da24c1a212088919f3506431cdd82e1d7e9d60ed6d46fe1445c433f4a2c20ab9dbde7a5a1384d74d1600937230cf82.0.1.1.SIOSbi.80652F57504C7F8E3D7CF2B0B09EA47F.0-3082.1.1_-0.1.0_-3082.1.1_5.5.0.*0.000000012dc3cfe657d57846ece0b89498d6e5cac911585ad9484ad5a0f63237eb0cee78246ab691.0.23.11*.4*.1200*.00787J.e.000000011d8f06be2f61b354b6cc5d637c24cbe9c911585ad637aa8ad757cae8aeedead246dd0226.0.10*.131*.138*.19.*0.0.0.0" msgID="29834379054B9759676543BC40BFBF62"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ece="A257" enr="MSTR.Asignaciones_SEPE_Periodo_simple_" ptn="" qtn="" rows="45" cols="15" /&gt;&lt;esdo ews="" ece="" ptn="" /&gt;&lt;/excel&gt;&lt;pgs&gt;&lt;pg rows="42" cols="13" nrr="1581" nrc="598"&gt;&lt;pg /&gt;&lt;bls&gt;&lt;bl sr="1" sc="1" rfetch="42" cfetch="13" posid="1" darows="0" dacols="1"&gt;&lt;excel&gt;&lt;epo ews="Dat_01" ece="A257" enr="MSTR.Asignaciones_SEPE_Periodo_simple_" ptn="" qtn="" rows="45" cols="15" /&gt;&lt;esdo ews="" ece="" ptn="" /&gt;&lt;/excel&gt;&lt;gridRng&gt;&lt;sect id="TITLE_AREA" rngprop="1:1:3:2" /&gt;&lt;sect id="ROWHEADERS_AREA" rngprop="4:1:42:2" /&gt;&lt;sect id="COLUMNHEADERS_AREA" rngprop="1:3:3:13" /&gt;&lt;sect id="DATA_AREA" rngprop="4:3:42:13" /&gt;&lt;/gridRng&gt;&lt;shapes /&gt;&lt;/bl&gt;&lt;/bls&gt;&lt;/pg&gt;&lt;/pgs&gt;&lt;/rptloc&gt;&lt;/mi&gt;</t>
  </si>
  <si>
    <t>VOLUMEN MWh</t>
  </si>
  <si>
    <t>&lt;mi app="e" ver="22"&gt;&lt;rptloc guid="74294227fd054a849af05a902397764e" rank="0" ds="1"&gt;&lt;ri hasPG="0" name="Precio medio final mensual. Último año móvil" id="147070CA4BE8E55120DC74AE4B57A4FC" path="Objetos públicos\Informes\Informes Específicos\Estadística\INFORMES MACROS\Office\Boletín\Precio medio final mensual. Último año móvil" cf="0" prompt="1" ve="0" vm="0" flashpth="d:\Usuarios\ARACABIV\AppData\Local\Temp\" fimagepth="d:\Usuarios\ARACABIV\AppData\Local\Temp\" swfn="DashboardViewer.swf" fvars="" dvis=""&gt;&lt;ans /&gt;&lt;ci ps="BI" srv="APBI5A" prj="SIOSbi" prjid="80652F57504C7F8E3D7CF2B0B09EA47F" li="MADCONMA" am="s" /&gt;&lt;lu ut="11/12/2025 08:15:43" si="2.00000001c8764d7b4ba431c62026375edc61105e7ac7b5479869ec15a8bd8e5d8f337a1b256d6bdb2a2a4452d46662c616306a36dfa4ceff54715f70c9b85eb3b672a2f89f94ef42a29836203b22431d67e0e6cfc6e7fc18bc50cbc8ddf010dcb0ee87bdab62d81296b6ca3a8dc8d4cfa8b0f41e116a3be0ae2532c021bdbfccf0903970c066e1f8d050b0aa9d4a3f2c9ce0b4e3067cef62e22ca9e36f5da0d7c5a5366bee72de52c25d24d868a1acbcc486fccb88ab5d6036fe29757f7d9ce9b86bf070952651856ef196ff36509fdb16aa2c02163069d4b0febbc5e72ab0594a66a0b629da8d085ad732e0da4bfc3efb5a47d1452c1fa810ff540e5f81966f38e10832cdadc484b2627c58bfce30107c8889c35f6c1e89d1d892556ecab6cd05f0.p-3082.0.1_-3082.0.1_0.1.Europe/Madrid.upriv*_1*_pidn2*_1*_session*-lat*_1.00000001ba92407b8dc6fb9a459600324fc0aadfea1bd88b75219c29b08dae59024b49f90594e68e14e272bba36068cc157fecdced4a3baf.00000001802aa9511b897bdd3dfc893b4969be0231cdd82eee29f4eb3764c717bef4723eaee316a3527fde7ccb349d5dcdc56077f70ccd11.0.1.1.SIOSbi.80652F57504C7F8E3D7CF2B0B09EA47F.0-3082.1.1_-0.1.0_-3082.1.1_5.5.0.*0.00000001dda583db709dc0b09403a876190053cec911585abfb20a4593f6d7b63e23722e391b47cf.0.23.11*.4*.1200*.00787J.e.000000011beae2d50b522276237f4e74cb5e9083c911585a3ed6a8e7630208e20305ca36d336a20a.0.10*.131*.138*.18.*0.0.0.0" msgID="97A93F505F4066FF08A32991909CD94C"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ece="$A$41" enr="MSTR.Precio_medio_final_Mensual_estatico_ultimo_año_movil" ptn="" qtn="" rows="30" cols="14" /&gt;&lt;esdo ews="" ece="" ptn="" /&gt;&lt;/excel&gt;&lt;pgs&gt;&lt;pg rows="26" cols="13" nrr="2706" nrc="1729"&gt;&lt;pg /&gt;&lt;bls&gt;&lt;bl sr="1" sc="1" rfetch="26" cfetch="13" posid="1" darows="0" dacols="1"&gt;&lt;excel&gt;&lt;epo ews="Dat_01" ece="$A$41" enr="MSTR.Precio_medio_final_Mensual_estatico_ultimo_año_movil" ptn="" qtn="" rows="30" cols="14" /&gt;&lt;esdo ews="" ece="" ptn="" /&gt;&lt;/excel&gt;&lt;gridRng&gt;&lt;sect id="TITLE_AREA" rngprop="1:1:4:1" /&gt;&lt;sect id="ROWHEADERS_AREA" rngprop="5:1:26:1" /&gt;&lt;sect id="COLUMNHEADERS_AREA" rngprop="1:2:4:13" /&gt;&lt;sect id="DATA_AREA" rngprop="5:2:26:13" /&gt;&lt;/gridRng&gt;&lt;shapes /&gt;&lt;/bl&gt;&lt;/bls&gt;&lt;/pg&gt;&lt;/pgs&gt;&lt;/rptloc&gt;&lt;/mi&gt;</t>
  </si>
  <si>
    <t>Ingreso control de tensión</t>
  </si>
  <si>
    <t>2025 Noviembre</t>
  </si>
  <si>
    <t>OCT-25</t>
  </si>
  <si>
    <t>NOV-25</t>
  </si>
  <si>
    <t>2025 Diciembre</t>
  </si>
  <si>
    <t>DIC-25</t>
  </si>
  <si>
    <t>01/01/2026</t>
  </si>
  <si>
    <t>02/01/2026</t>
  </si>
  <si>
    <t>03/01/2026</t>
  </si>
  <si>
    <t>04/01/2026</t>
  </si>
  <si>
    <t>05/01/2026</t>
  </si>
  <si>
    <t>06/01/2026</t>
  </si>
  <si>
    <t>07/01/2026</t>
  </si>
  <si>
    <t>08/01/2026</t>
  </si>
  <si>
    <t>09/01/2026</t>
  </si>
  <si>
    <t>10/01/2026</t>
  </si>
  <si>
    <t>11/01/2026</t>
  </si>
  <si>
    <t>12/01/2026</t>
  </si>
  <si>
    <t>13/01/2026</t>
  </si>
  <si>
    <t>14/01/2026</t>
  </si>
  <si>
    <t>15/01/2026</t>
  </si>
  <si>
    <t>16/01/2026</t>
  </si>
  <si>
    <t>17/01/2026</t>
  </si>
  <si>
    <t>18/01/2026</t>
  </si>
  <si>
    <t>19/01/2026</t>
  </si>
  <si>
    <t>20/01/2026</t>
  </si>
  <si>
    <t>21/01/2026</t>
  </si>
  <si>
    <t>22/01/2026</t>
  </si>
  <si>
    <t>23/01/2026</t>
  </si>
  <si>
    <t>24/01/2026</t>
  </si>
  <si>
    <t>25/01/2026</t>
  </si>
  <si>
    <t>26/01/2026</t>
  </si>
  <si>
    <t>27/01/2026</t>
  </si>
  <si>
    <t>28/01/2026</t>
  </si>
  <si>
    <t>29/01/2026</t>
  </si>
  <si>
    <t>30/01/2026</t>
  </si>
  <si>
    <t>31/01/2026</t>
  </si>
  <si>
    <t>2026 Enero</t>
  </si>
  <si>
    <t>&lt;mi app="e" ver="22"&gt;&lt;rptloc guid="9b2e5227b30741379d882d827211412e" rank="0" ds="1"&gt;&lt;ri hasPG="0" name="Precio Mercado Diario" id="C1FA4C8E4C9BA7AA73F777A98EE0A436" path="Objetos públicos\Informes\Informes Específicos\Estadística\INFORMES MACROS\Office\Boletín\Precio Mercado Diario" cf="0" prompt="1" ve="0" vm="0" flashpth="d:\Usuarios\ARACABIV\AppData\Local\Temp\" fimagepth="d:\Usuarios\ARACABIV\AppData\Local\Temp\" swfn="DashboardViewer.swf" fvars="" dvis=""&gt;&lt;ans /&gt;&lt;ci ps="BI" srv="apbi5a" prj="SIOSbi" prjid="80652F57504C7F8E3D7CF2B0B09EA47F" li="MADCONMA" am="s" /&gt;&lt;lu ut="02/11/2026 11:24:36" si="2.00000001a341942b853890fe2c9a8fa28f6b72c89f44640a38be9c2e551d367e35f1ad70e763996d995858aa916982de16b07b8ca670b0d7129b622647eb6476b5ae5846f4670a9be77f5fcb749993cea26c883c9af64ab9a4d25f7df0466f03f0a3f7dbbeb1fa0e41f309397518abd646540b26ebb44acb6c44d36cf17993d4ee0ef021dd5901daa92eb0ebcee364e196a35978ac31658f217176497bc40f13e7eafc921c415003c213f5ae651449dbc06d529ec00d0c833ff34db86cb6969a666b38d5924ad91286ffaf8bc85155f216e976f5a6761cbfbd544d968d6db8289d1ab5f2530b557a113dc141cac604c916173c70d85195b760a4bb543a28bbfb7a032b7fc1825f8e26ad68f804a45e908df50d69356749d1af71f0e9a60a95d275ff.p-3082.0.1_-3082.0.1_0.1.Europe/Madrid.upriv*_1*_pidn2*_1*_session*-lat*_1.0000000178c4cc28cc05de876cb80444af7b69a6ea1bd88bedb0f5916a4e33147db1199a48f5bd806e430f7787d18ec2e9b8935d9a7161aa.000000010ae144574205d19a9fac5020338ae99631cdd82e8787e3840d95ab427c646bcf46a67a9c3742cccac7df2b4aeb87143a37e3eac0.0.1.1.SIOSbi.80652F57504C7F8E3D7CF2B0B09EA47F.0-3082.1.1_-0.1.0_-3082.1.1_5.5.0.*0.0000000139f042d8d7118820170d316d7f84a981c911585a00966441ec6c5aeb8fcb1e33d66500c9.0.23.11*.4*.1200*.00787J.e.00000001f7297663c115e49c692006d350259334c911585a23bba166c52a349bb51b44791ef5e9cd.0.10*.131*.138*.19.*0.0.0.0" msgID="A62E39F97A4C6C08122876A00D36C105"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 enr="MSTR.Precio_Mercado_Diario" ptn="" qtn="" rows="35" cols="28" /&gt;&lt;esdo ews="" ece="" ptn="" /&gt;&lt;/excel&gt;&lt;pgs&gt;&lt;pg rows="31" cols="27" nrr="3535" nrc="3492"&gt;&lt;pg /&gt;&lt;bls&gt;&lt;bl sr="1" sc="1" rfetch="31" cfetch="27" posid="1" darows="0" dacols="1"&gt;&lt;excel&gt;&lt;epo ews="Dat_01" ece="$A$4" enr="MSTR.Precio_Mercado_Diario" ptn="" qtn="" rows="35" cols="28" /&gt;&lt;esdo ews="" ece="" ptn="" /&gt;&lt;/excel&gt;&lt;gridRng&gt;&lt;sect id="TITLE_AREA" rngprop="1:1:4:1" /&gt;&lt;sect id="ROWHEADERS_AREA" rngprop="5:1:31:1" /&gt;&lt;sect id="COLUMNHEADERS_AREA" rngprop="1:2:4:27" /&gt;&lt;sect id="DATA_AREA" rngprop="5:2:31:27" /&gt;&lt;/gridRng&gt;&lt;shapes /&gt;&lt;/bl&gt;&lt;/bls&gt;&lt;/pg&gt;&lt;/pgs&gt;&lt;/rptloc&gt;&lt;/mi&gt;</t>
  </si>
  <si>
    <t>&lt;mi app="e" ver="22"&gt;&lt;rptloc guid="f9dba19e258c47bfa4f0abba913b7048" rank="0" ds="1"&gt;&lt;ri hasPG="0" name="Mercados de Operacion. Energía Gestionada" id="450AF1DD4F643349C237188A620CC59A" path="Objetos públicos\Informes\Informes Específicos\Estadística\INFORMES MACROS\Office\Boletín\Mercados de Operacion. Energía Gestionada" cf="0" prompt="1" ve="0" vm="0" flashpth="d:\Usuarios\ARACABIV\AppData\Local\Temp\" fimagepth="d:\Usuarios\ARACABIV\AppData\Local\Temp\" swfn="DashboardViewer.swf" fvars="" dvis=""&gt;&lt;ans /&gt;&lt;ci ps="BI" srv="apbi5a" prj="SIOSbi" prjid="80652F57504C7F8E3D7CF2B0B09EA47F" li="MADCONMA" am="s" /&gt;&lt;lu ut="02/11/2026 11:29:49" si="2.00000001a341942b853890fe2c9a8fa28f6b72c89f44640a38be9c2e551d367e35f1ad70e763996d995858aa916982de16b07b8ca670b0d7129b622647eb6476b5ae5846f4670a9be77f5fcb749993cea26c883c9af64ab9a4d25f7df0466f03f0a3f7dbbeb1fa0e41f309397518abd646540b26ebb44acb6c44d36cf17993d4ee0ef021dd5901daa92eb0ebcee364e196a35978ac31658f217176497bc40f13e7eafc921c415003c213f5ae651449dbc06d529ec00d0c833ff34db86cb6969a666b38d5924ad91286ffaf8bc85155f216e976f5a6761cbfbd544d968d6db8289d1ab5f2530b557a113dc141cac604c916173c70d85195b760a4bb543a28bbfb7a032b7fc1825f8e26ad68f804a45e908df50d69356749d1af71f0e9a60a95d275ff.p-3082.0.1_-3082.0.1_0.1.Europe/Madrid.upriv*_1*_pidn2*_1*_session*-lat*_1.0000000178c4cc28cc05de876cb80444af7b69a6ea1bd88bedb0f5916a4e33147db1199a48f5bd806e430f7787d18ec2e9b8935d9a7161aa.000000010ae144574205d19a9fac5020338ae99631cdd82e8787e3840d95ab427c646bcf46a67a9c3742cccac7df2b4aeb87143a37e3eac0.0.1.1.SIOSbi.80652F57504C7F8E3D7CF2B0B09EA47F.0-3082.1.1_-0.1.0_-3082.1.1_5.5.0.*0.0000000139f042d8d7118820170d316d7f84a981c911585a00966441ec6c5aeb8fcb1e33d66500c9.0.23.11*.4*.1200*.00787J.e.00000001f7297663c115e49c692006d350259334c911585a23bba166c52a349bb51b44791ef5e9cd.0.10*.131*.138*.19.*0.0.0.0" msgID="60F6FCFAF34A023EB0E8F38F245EA654"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ece="$A$118" enr="MSTR.Mercados_de_Operacion._Energía_Gestionada" ptn="" qtn="" rows="7" cols="3" /&gt;&lt;esdo ews="" ece="" ptn="" /&gt;&lt;/excel&gt;&lt;pgs&gt;&lt;pg rows="4" cols="2" nrr="539" nrc="236"&gt;&lt;pg /&gt;&lt;bls&gt;&lt;bl sr="1" sc="1" rfetch="4" cfetch="2" posid="1" darows="0" dacols="1"&gt;&lt;excel&gt;&lt;epo ews="Dat_01" ece="$A$118" enr="MSTR.Mercados_de_Operacion._Energía_Gestionada" ptn="" qtn="" rows="7" cols="3" /&gt;&lt;esdo ews="" ece="" ptn="" /&gt;&lt;/excel&gt;&lt;gridRng&gt;&lt;sect id="TITLE_AREA" rngprop="1:1:3:1" /&gt;&lt;sect id="ROWHEADERS_AREA" rngprop="4:1:4:1" /&gt;&lt;sect id="COLUMNHEADERS_AREA" rngprop="1:2:3:2" /&gt;&lt;sect id="DATA_AREA" rngprop="4:2:4:2" /&gt;&lt;/gridRng&gt;&lt;shapes /&gt;&lt;/bl&gt;&lt;/bls&gt;&lt;/pg&gt;&lt;/pgs&gt;&lt;/rptloc&gt;&lt;/mi&gt;</t>
  </si>
  <si>
    <t>&lt;mi app="e" ver="22"&gt;&lt;rptloc guid="0b2ce989c0c142719127dcdaa8467375" rank="0" ds="1"&gt;&lt;ri hasPG="0" name="Energia de Regulación Secundaria" id="8E803CB745C8D8B5472977B69C35F6D9" path="Objetos públicos\Informes\Informes Específicos\Estadística\INFORMES MACROS\Office\Boletín\Energia de Regulación Secundaria" cf="0" prompt="1" ve="0" vm="0" flashpth="C:\Users\MADCONMA\AppData\Local\Temp\" fimagepth="C:\Users\MADCONMA\AppData\Local\Temp\" swfn="DashboardViewer.swf" fvars="" dvis=""&gt;&lt;ans /&gt;&lt;ci ps="BI" srv="apbi5a" prj="SIOSbi" prjid="80652F57504C7F8E3D7CF2B0B09EA47F" li="MADCONMA" am="s" /&gt;&lt;lu ut="02/11/2026 11:35:58" si="2.00000001a341942b853890fe2c9a8fa28f6b72c89f44640a38be9c2e551d367e35f1ad70e763996d995858aa916982de16b07b8ca670b0d7129b622647eb6476b5ae5846f4670a9be77f5fcb749993cea26c883c9af64ab9a4d25f7df0466f03f0a3f7dbbeb1fa0e41f309397518abd646540b26ebb44acb6c44d36cf17993d4ee0ef021dd5901daa92eb0ebcee364e196a35978ac31658f217176497bc40f13e7eafc921c415003c213f5ae651449dbc06d529ec00d0c833ff34db86cb6969a666b38d5924ad91286ffaf8bc85155f216e976f5a6761cbfbd544d968d6db8289d1ab5f2530b557a113dc141cac604c916173c70d85195b760a4bb543a28bbfb7a032b7fc1825f8e26ad68f804a45e908df50d69356749d1af71f0e9a60a95d275ff.p-3082.0.1_-3082.0.1_0.1.Europe/Madrid.upriv*_1*_pidn2*_1*_session*-lat*_1.0000000178c4cc28cc05de876cb80444af7b69a6ea1bd88bedb0f5916a4e33147db1199a48f5bd806e430f7787d18ec2e9b8935d9a7161aa.000000010ae144574205d19a9fac5020338ae99631cdd82e8787e3840d95ab427c646bcf46a67a9c3742cccac7df2b4aeb87143a37e3eac0.0.1.1.SIOSbi.80652F57504C7F8E3D7CF2B0B09EA47F.0-3082.1.1_-0.1.0_-3082.1.1_5.5.0.*0.0000000139f042d8d7118820170d316d7f84a981c911585a00966441ec6c5aeb8fcb1e33d66500c9.0.23.11*.4*.1200*.00787J.e.00000001f7297663c115e49c692006d350259334c911585a23bba166c52a349bb51b44791ef5e9cd.0.10*.131*.138*.19.*0.0.0.0" msgID="798CCB3D564D8A11D0BA2CB0DC53CC8C"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ece="A188" enr="MSTR.Energía_de_Regulación_Secundaria_Utilizada__Periodo_simple_" ptn="" qtn="" rows="5" cols="14" /&gt;&lt;esdo ews="" ece="" ptn="" /&gt;&lt;/excel&gt;&lt;pgs&gt;&lt;pg rows="2" cols="13" nrr="122" nrc="780"&gt;&lt;pg /&gt;&lt;bls&gt;&lt;bl sr="1" sc="1" rfetch="2" cfetch="13" posid="1" darows="0" dacols="1"&gt;&lt;excel&gt;&lt;epo ews="Dat_01" ece="A188" enr="MSTR.Energía_de_Regulación_Secundaria_Utilizada__Periodo_simple_" ptn="" qtn="" rows="5" cols="14" /&gt;&lt;esdo ews="" ece="" ptn="" /&gt;&lt;/excel&gt;&lt;gridRng&gt;&lt;sect id="TITLE_AREA" rngprop="1:1:3:1" /&gt;&lt;sect id="ROWHEADERS_AREA" rngprop="4:1:2:1" /&gt;&lt;sect id="COLUMNHEADERS_AREA" rngprop="1:2:3:13" /&gt;&lt;sect id="DATA_AREA" rngprop="4:2:2:13" /&gt;&lt;/gridRng&gt;&lt;shapes /&gt;&lt;/bl&gt;&lt;/bls&gt;&lt;/pg&gt;&lt;/pgs&gt;&lt;/rptloc&gt;&lt;/mi&gt;</t>
  </si>
  <si>
    <t>&lt;mi app="e" ver="22"&gt;&lt;rptloc guid="4bc3e2b5feb24ed3a682e8c0c1e6e595" rank="0" ds="1"&gt;&lt;ri hasPG="0" name="Secundaria. Banda media mensual" id="F69F171A4E84E3BA10E8E3B3514670A7" path="Objetos públicos\Informes\Informes Específicos\Estadística\INFORMES MACROS\Office\Boletín\Secundaria. Banda media mensual" cf="0" prompt="1" ve="0" vm="0" flashpth="C:\Users\MADCONMA\AppData\Local\Temp\" fimagepth="C:\Users\MADCONMA\AppData\Local\Temp\" swfn="DashboardViewer.swf" fvars="" dvis=""&gt;&lt;ans /&gt;&lt;ci ps="BI" srv="apbi5a" prj="SIOSbi" prjid="80652F57504C7F8E3D7CF2B0B09EA47F" li="MADCONMA" am="s" /&gt;&lt;lu ut="02/11/2026 11:42:35" si="2.00000001a341942b853890fe2c9a8fa28f6b72c89f44640a38be9c2e551d367e35f1ad70e763996d995858aa916982de16b07b8ca670b0d7129b622647eb6476b5ae5846f4670a9be77f5fcb749993cea26c883c9af64ab9a4d25f7df0466f03f0a3f7dbbeb1fa0e41f309397518abd646540b26ebb44acb6c44d36cf17993d4ee0ef021dd5901daa92eb0ebcee364e196a35978ac31658f217176497bc40f13e7eafc921c415003c213f5ae651449dbc06d529ec00d0c833ff34db86cb6969a666b38d5924ad91286ffaf8bc85155f216e976f5a6761cbfbd544d968d6db8289d1ab5f2530b557a113dc141cac604c916173c70d85195b760a4bb543a28bbfb7a032b7fc1825f8e26ad68f804a45e908df50d69356749d1af71f0e9a60a95d275ff.p-3082.0.1_-3082.0.1_0.1.Europe/Madrid.upriv*_1*_pidn2*_1*_session*-lat*_1.0000000178c4cc28cc05de876cb80444af7b69a6ea1bd88bedb0f5916a4e33147db1199a48f5bd806e430f7787d18ec2e9b8935d9a7161aa.000000010ae144574205d19a9fac5020338ae99631cdd82e8787e3840d95ab427c646bcf46a67a9c3742cccac7df2b4aeb87143a37e3eac0.0.1.1.SIOSbi.80652F57504C7F8E3D7CF2B0B09EA47F.0-3082.1.1_-0.1.0_-3082.1.1_5.5.0.*0.0000000139f042d8d7118820170d316d7f84a981c911585a00966441ec6c5aeb8fcb1e33d66500c9.0.23.11*.4*.1200*.00787J.e.00000001f7297663c115e49c692006d350259334c911585a23bba166c52a349bb51b44791ef5e9cd.0.10*.131*.138*.19.*0.0.0.0" msgID="7E2DC7271B4FE83E78216DB82FE86522"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ece="$A$181" enr="MSTR.Secundaria._Banda_media_mensual" ptn="" qtn="" rows="4" cols="14" /&gt;&lt;esdo ews="" ece="" ptn="" /&gt;&lt;/excel&gt;&lt;pgs&gt;&lt;pg rows="2" cols="13" nrr="108" nrc="702"&gt;&lt;pg /&gt;&lt;bls&gt;&lt;bl sr="1" sc="1" rfetch="2" cfetch="13" posid="1" darows="0" dacols="1"&gt;&lt;excel&gt;&lt;epo ews="Dat_01" ece="$A$181" enr="MSTR.Secundaria._Banda_media_mensual"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</si>
  <si>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guid="73e0b6fad32b4890af934515c7628f07" rank="0" ds="1"&gt;&lt;ri hasPG="0" name="Necesidades cubiertas por RR" id="8BF14BDF49DE786A5DEC50BFCD1F92D6" path="Objetos públicos\Informes\Informes Específicos\Estadística\INFORMES MACROS\Office\Boletín\Necesidades cubiertas por RR" cf="0" prompt="1" ve="0" vm="0" flashpth="C:\Users\MADCONMA\AppData\Local\Temp\" fimagepth="C:\Users\MADCONMA\AppData\Local\Temp\" swfn="DashboardViewer.swf" fvars="" dvis=""&gt;&lt;ans /&gt;&lt;ci ps="BI" srv="apbi5a" prj="SIOSbi" prjid="80652F57504C7F8E3D7CF2B0B09EA47F" li="MADCONMA" am="s" /&gt;&lt;lu ut="02/11/2026 12:44:39" si="2.00000001a341942b853890fe2c9a8fa28f6b72c89f44640a38be9c2e551d367e35f1ad70e763996d995858aa916982de16b07b8ca670b0d7129b622647eb6476b5ae5846f4670a9be77f5fcb749993cea26c883c9af64ab9a4d25f7df0466f03f0a3f7dbbeb1fa0e41f309397518abd646540b26ebb44acb6c44d36cf17993d4ee0ef021dd5901daa92eb0ebcee364e196a35978ac31658f217176497bc40f13e7eafc921c415003c213f5ae651449dbc06d529ec00d0c833ff34db86cb6969a666b38d5924ad91286ffaf8bc85155f216e976f5a6761cbfbd544d968d6db8289d1ab5f2530b557a113dc141cac604c916173c70d85195b760a4bb543a28bbfb7a032b7fc1825f8e26ad68f804a45e908df50d69356749d1af71f0e9a60a95d275ff.p-3082.0.1_-3082.0.1_0.1.Europe/Madrid.upriv*_1*_pidn2*_1*_session*-lat*_1.0000000178c4cc28cc05de876cb80444af7b69a6ea1bd88bedb0f5916a4e33147db1199a48f5bd806e430f7787d18ec2e9b8935d9a7161aa.000000010ae144574205d19a9fac5020338ae99631cdd82e8787e3840d95ab427c646bcf46a67a9c3742cccac7df2b4aeb87143a37e3eac0.0.1.1.SIOSbi.80652F57504C7F8E3D7CF2B0B09EA47F.0-3082.1.1_-0.1.0_-3082.1.1_5.5.0.*0.0000000139f042d8d7118820170d316d7f84a981c911585a00966441ec6c5aeb8fcb1e33d66500c9.0.23.11*.4*.1200*.00787J.e.00000001f7297663c115e49c692006d350259334c911585a23bba166c52a349bb51b44791ef5e9cd.0.10*.131*.138*.19.*0.0.0.0" msgID="2F8FF6963B40DCFF849DD686A510AF91"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ece="A313" enr="MSTR.Asignaciones__Periodo_simple_" ptn="" qtn="" rows="4" cols="14" /&gt;&lt;esdo ews="" ece="" ptn="" /&gt;&lt;/excel&gt;&lt;pgs&gt;&lt;pg rows="2" cols="13" nrr="118" nrc="754"&gt;&lt;pg /&gt;&lt;bls&gt;&lt;bl sr="1" sc="1" rfetch="2" cfetch="13" posid="1" darows="0" dacols="1"&gt;&lt;excel&gt;&lt;epo ews="Dat_01" ece="A313" enr="MSTR.Asignaciones__Periodo_simple_"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</si>
  <si>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guid="1cee8cf001c44d958203e10befc8e8e5" rank="0" ds="1"&gt;&lt;ri hasPG="0" name="Asignación en las fronteras RR" id="C0255CBE4311F279299795AED0CBA130" path="Objetos públicos\Informes\Informes Específicos\Estadística\INFORMES MACROS\Office\Boletín\Asignación en las fronteras RR" cf="0" prompt="1" ve="0" vm="0" flashpth="C:\Users\MADCONMA\AppData\Local\Temp\" fimagepth="C:\Users\MADCONMA\AppData\Local\Temp\" swfn="DashboardViewer.swf" fvars="" dvis=""&gt;&lt;ans /&gt;&lt;ci ps="BI" srv="apbi5a" prj="SIOSbi" prjid="80652F57504C7F8E3D7CF2B0B09EA47F" li="MADCONMA" am="s" /&gt;&lt;lu ut="02/11/2026 12:45:51" si="2.00000001a341942b853890fe2c9a8fa28f6b72c89f44640a38be9c2e551d367e35f1ad70e763996d995858aa916982de16b07b8ca670b0d7129b622647eb6476b5ae5846f4670a9be77f5fcb749993cea26c883c9af64ab9a4d25f7df0466f03f0a3f7dbbeb1fa0e41f309397518abd646540b26ebb44acb6c44d36cf17993d4ee0ef021dd5901daa92eb0ebcee364e196a35978ac31658f217176497bc40f13e7eafc921c415003c213f5ae651449dbc06d529ec00d0c833ff34db86cb6969a666b38d5924ad91286ffaf8bc85155f216e976f5a6761cbfbd544d968d6db8289d1ab5f2530b557a113dc141cac604c916173c70d85195b760a4bb543a28bbfb7a032b7fc1825f8e26ad68f804a45e908df50d69356749d1af71f0e9a60a95d275ff.p-3082.0.1_-3082.0.1_0.1.Europe/Madrid.upriv*_1*_pidn2*_1*_session*-lat*_1.0000000178c4cc28cc05de876cb80444af7b69a6ea1bd88bedb0f5916a4e33147db1199a48f5bd806e430f7787d18ec2e9b8935d9a7161aa.000000010ae144574205d19a9fac5020338ae99631cdd82e8787e3840d95ab427c646bcf46a67a9c3742cccac7df2b4aeb87143a37e3eac0.0.1.1.SIOSbi.80652F57504C7F8E3D7CF2B0B09EA47F.0-3082.1.1_-0.1.0_-3082.1.1_5.5.0.*0.0000000139f042d8d7118820170d316d7f84a981c911585a00966441ec6c5aeb8fcb1e33d66500c9.0.23.11*.4*.1200*.00787J.e.00000001f7297663c115e49c692006d350259334c911585a23bba166c52a349bb51b44791ef5e9cd.0.10*.131*.138*.19.*0.0.0.0" msgID="C9C72103E84C2B0627716296F50F78EF"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ece="$A$319" enr="MSTR.Asignaciones_en_las_fronteras__Periodo_simple_" ptn="" qtn="" rows="11" cols="16" /&gt;&lt;esdo ews="" ece="" ptn="" /&gt;&lt;/excel&gt;&lt;pgs&gt;&lt;pg rows="8" cols="13" nrr="584" nrc="933"&gt;&lt;pg /&gt;&lt;bls&gt;&lt;bl sr="1" sc="1" rfetch="8" cfetch="13" posid="1" darows="0" dacols="1"&gt;&lt;excel&gt;&lt;epo ews="Dat_01" ece="$A$319" enr="MSTR.Asignaciones_en_las_fronteras__Periodo_simple_" ptn="" qtn="" rows="11" cols="16" /&gt;&lt;esdo ews="" ece="" ptn="" /&gt;&lt;/excel&gt;&lt;gridRng&gt;&lt;sect id="TITLE_AREA" rngprop="1:1:3:3" /&gt;&lt;sect id="ROWHEADERS_AREA" rngprop="4:1:8:3" /&gt;&lt;sect id="COLUMNHEADERS_AREA" rngprop="1:4:3:13" /&gt;&lt;sect id="DATA_AREA" rngprop="4:4:8:13" /&gt;&lt;/gridRng&gt;&lt;shapes /&gt;&lt;/bl&gt;&lt;/bls&gt;&lt;/pg&gt;&lt;/pgs&gt;&lt;/rptloc&gt;&lt;/mi&gt;</t>
  </si>
  <si>
    <t>&lt;mi app="e" ver="22"&gt;&lt;rptloc guid="4646134067f846f2964723070a09dcaf" rank="0" ds="1"&gt;&lt;ri hasPG="0" name="Energia IGCC" id="39AD04614A7A66EA6258D7BCC4186ACF" path="Objetos públicos\Informes\Informes Específicos\Estadística\INFORMES MACROS\Office\Boletín\Energia IGCC" cf="0" prompt="1" ve="0" vm="0" flashpth="C:\Users\MADCONMA\AppData\Local\Temp\" fimagepth="C:\Users\MADCONMA\AppData\Local\Temp\" swfn="DashboardViewer.swf" fvars="" dvis=""&gt;&lt;ans /&gt;&lt;ci ps="BI" srv="apbi5a" prj="SIOSbi" prjid="80652F57504C7F8E3D7CF2B0B09EA47F" li="MADCONMA" am="s" /&gt;&lt;lu ut="02/11/2026 12:49:26" si="2.00000001a341942b853890fe2c9a8fa28f6b72c89f44640a38be9c2e551d367e35f1ad70e763996d995858aa916982de16b07b8ca670b0d7129b622647eb6476b5ae5846f4670a9be77f5fcb749993cea26c883c9af64ab9a4d25f7df0466f03f0a3f7dbbeb1fa0e41f309397518abd646540b26ebb44acb6c44d36cf17993d4ee0ef021dd5901daa92eb0ebcee364e196a35978ac31658f217176497bc40f13e7eafc921c415003c213f5ae651449dbc06d529ec00d0c833ff34db86cb6969a666b38d5924ad91286ffaf8bc85155f216e976f5a6761cbfbd544d968d6db8289d1ab5f2530b557a113dc141cac604c916173c70d85195b760a4bb543a28bbfb7a032b7fc1825f8e26ad68f804a45e908df50d69356749d1af71f0e9a60a95d275ff.p-3082.0.1_-3082.0.1_0.1.Europe/Madrid.upriv*_1*_pidn2*_1*_session*-lat*_1.0000000178c4cc28cc05de876cb80444af7b69a6ea1bd88bedb0f5916a4e33147db1199a48f5bd806e430f7787d18ec2e9b8935d9a7161aa.000000010ae144574205d19a9fac5020338ae99631cdd82e8787e3840d95ab427c646bcf46a67a9c3742cccac7df2b4aeb87143a37e3eac0.0.1.1.SIOSbi.80652F57504C7F8E3D7CF2B0B09EA47F.0-3082.1.1_-0.1.0_-3082.1.1_5.5.0.*0.0000000139f042d8d7118820170d316d7f84a981c911585a00966441ec6c5aeb8fcb1e33d66500c9.0.23.11*.4*.1200*.00787J.e.00000001f7297663c115e49c692006d350259334c911585a23bba166c52a349bb51b44791ef5e9cd.0.10*.131*.138*.19.*0.0.0.0" msgID="6759E61C334E54EA9E51CCA0E5BCB9A4"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ece="A390" enr="MSTR.Energia_IGCC" ptn="" qtn="" rows="4" cols="14" /&gt;&lt;esdo ews="" ece="" ptn="" /&gt;&lt;/excel&gt;&lt;pgs&gt;&lt;pg rows="2" cols="13" nrr="116" nrc="754"&gt;&lt;pg /&gt;&lt;bls&gt;&lt;bl sr="1" sc="1" rfetch="2" cfetch="13" posid="1" darows="0" dacols="1"&gt;&lt;excel&gt;&lt;epo ews="Dat_01" ece="A390" enr="MSTR.Energia_IGCC" ptn="" qtn="" rows="4" cols="14" /&gt;&lt;esdo ews="" ece="" ptn="" /&gt;&lt;/excel&gt;&lt;gridRng&gt;&lt;sect id="TITLE_AREA" rngprop="1:1:2:1" /&gt;&lt;sect id="ROWHEADERS_AREA" rngprop="3:1:2:1" /&gt;&lt;sect id="COLUMNHEADERS_AREA" rngprop="1:2:2:13" /&gt;&lt;sect id="DATA_AREA" rngprop="3:2:2:13" /&gt;&lt;/gridRng&gt;&lt;shapes /&gt;&lt;/bl&gt;&lt;/bls&gt;&lt;/pg&gt;&lt;/pgs&gt;&lt;/rptloc&gt;&lt;/mi&gt;</t>
  </si>
  <si>
    <t>&lt;mi app="e" ver="22"&gt;&lt;rptloc guid="762289617dcf4fcaa9486600c0583f14" rank="0" ds="1"&gt;&lt;ri hasPG="0" name="Precios Medios Ponderados Medidas" id="9B86205B4E0AC9F2C6C0AB9F735AF179" path="Objetos públicos\Informes\Informes Específicos\Estadística\INFORMES MACROS\Office\Boletín\Precios Medios Ponderados Medidas" cf="0" prompt="1" ve="0" vm="0" flashpth="C:\Users\MADCONMA\AppData\Local\Temp\" fimagepth="C:\Users\MADCONMA\AppData\Local\Temp\" swfn="DashboardViewer.swf" fvars="" dvis=""&gt;&lt;ans /&gt;&lt;ci ps="BI" srv="apbi5a" prj="SIOSbi" prjid="80652F57504C7F8E3D7CF2B0B09EA47F" li="MADCONMA" am="s" /&gt;&lt;lu ut="02/11/2026 12:55:17" si="2.00000001a341942b853890fe2c9a8fa28f6b72c89f44640a38be9c2e551d367e35f1ad70e763996d995858aa916982de16b07b8ca670b0d7129b622647eb6476b5ae5846f4670a9be77f5fcb749993cea26c883c9af64ab9a4d25f7df0466f03f0a3f7dbbeb1fa0e41f309397518abd646540b26ebb44acb6c44d36cf17993d4ee0ef021dd5901daa92eb0ebcee364e196a35978ac31658f217176497bc40f13e7eafc921c415003c213f5ae651449dbc06d529ec00d0c833ff34db86cb6969a666b38d5924ad91286ffaf8bc85155f216e976f5a6761cbfbd544d968d6db8289d1ab5f2530b557a113dc141cac604c916173c70d85195b760a4bb543a28bbfb7a032b7fc1825f8e26ad68f804a45e908df50d69356749d1af71f0e9a60a95d275ff.p-3082.0.1_-3082.0.1_0.1.Europe/Madrid.upriv*_1*_pidn2*_1*_session*-lat*_1.0000000178c4cc28cc05de876cb80444af7b69a6ea1bd88bedb0f5916a4e33147db1199a48f5bd806e430f7787d18ec2e9b8935d9a7161aa.000000010ae144574205d19a9fac5020338ae99631cdd82e8787e3840d95ab427c646bcf46a67a9c3742cccac7df2b4aeb87143a37e3eac0.0.1.1.SIOSbi.80652F57504C7F8E3D7CF2B0B09EA47F.0-3082.1.1_-0.1.0_-3082.1.1_5.5.0.*0.0000000139f042d8d7118820170d316d7f84a981c911585a00966441ec6c5aeb8fcb1e33d66500c9.0.23.11*.4*.1200*.00787J.e.00000001f7297663c115e49c692006d350259334c911585a23bba166c52a349bb51b44791ef5e9cd.0.10*.131*.138*.19.*0.0.0.0" msgID="CA6B728CD24DF72CA91403BDE09E6320"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ece="A399" enr="MSTR.Precios_Medios_Ponderados_Mensuales" ptn="" qtn="" rows="7" cols="15" /&gt;&lt;esdo ews="" ece="" ptn="" /&gt;&lt;/excel&gt;&lt;pgs&gt;&lt;pg rows="4" cols="13" nrr="212" nrc="689"&gt;&lt;pg /&gt;&lt;bls&gt;&lt;bl sr="1" sc="1" rfetch="4" cfetch="13" posid="1" darows="0" dacols="1"&gt;&lt;excel&gt;&lt;epo ews="Dat_01" ece="A399" enr="MSTR.Precios_Medios_Ponderados_Mensuales" ptn="" qtn="" rows="7" cols="15" /&gt;&lt;esdo ews="" ece="" ptn="" /&gt;&lt;/excel&gt;&lt;gridRng&gt;&lt;sect id="TITLE_AREA" rngprop="1:1:3:2" /&gt;&lt;sect id="ROWHEADERS_AREA" rngprop="4:1:4:2" /&gt;&lt;sect id="COLUMNHEADERS_AREA" rngprop="1:3:3:13" /&gt;&lt;sect id="DATA_AREA" rngprop="4:3:4:13" /&gt;&lt;/gridRng&gt;&lt;shapes /&gt;&lt;/bl&gt;&lt;/bls&gt;&lt;/pg&gt;&lt;/pgs&gt;&lt;/rptloc&gt;&lt;/mi&gt;</t>
  </si>
  <si>
    <t>4f747366cf384c94bb9a3cef69a1d381</t>
  </si>
  <si>
    <t>&lt;mi app="e" ver="22"&gt;&lt;rptloc guid="4017b373be8643068e18cd114704d41b" rank="0" ds="1"&gt;&lt;ri hasPG="0" name="Precios Medios Ponderados programa" id="AB71205A4626F9C93A23D696FB475560" path="Objetos públicos\Informes\Informes Específicos\Estadística\INFORMES MACROS\Office\Boletín\Precios Medios Ponderados programa" cf="0" prompt="1" ve="0" vm="0" flashpth="C:\Users\MADCONMA\AppData\Local\Temp\" fimagepth="C:\Users\MADCONMA\AppData\Local\Temp\" swfn="DashboardViewer.swf" fvars="" dvis=""&gt;&lt;ans /&gt;&lt;ci ps="BI" srv="apbi5a" prj="SIOSbi" prjid="80652F57504C7F8E3D7CF2B0B09EA47F" li="MADCONMA" am="s" /&gt;&lt;lu ut="02/11/2026 12:58:24" si="2.00000001a341942b853890fe2c9a8fa28f6b72c89f44640a38be9c2e551d367e35f1ad70e763996d995858aa916982de16b07b8ca670b0d7129b622647eb6476b5ae5846f4670a9be77f5fcb749993cea26c883c9af64ab9a4d25f7df0466f03f0a3f7dbbeb1fa0e41f309397518abd646540b26ebb44acb6c44d36cf17993d4ee0ef021dd5901daa92eb0ebcee364e196a35978ac31658f217176497bc40f13e7eafc921c415003c213f5ae651449dbc06d529ec00d0c833ff34db86cb6969a666b38d5924ad91286ffaf8bc85155f216e976f5a6761cbfbd544d968d6db8289d1ab5f2530b557a113dc141cac604c916173c70d85195b760a4bb543a28bbfb7a032b7fc1825f8e26ad68f804a45e908df50d69356749d1af71f0e9a60a95d275ff.p-3082.0.1_-3082.0.1_0.1.Europe/Madrid.upriv*_1*_pidn2*_1*_session*-lat*_1.0000000178c4cc28cc05de876cb80444af7b69a6ea1bd88bedb0f5916a4e33147db1199a48f5bd806e430f7787d18ec2e9b8935d9a7161aa.000000010ae144574205d19a9fac5020338ae99631cdd82e8787e3840d95ab427c646bcf46a67a9c3742cccac7df2b4aeb87143a37e3eac0.0.1.1.SIOSbi.80652F57504C7F8E3D7CF2B0B09EA47F.0-3082.1.1_-0.1.0_-3082.1.1_5.5.0.*0.0000000139f042d8d7118820170d316d7f84a981c911585a00966441ec6c5aeb8fcb1e33d66500c9.0.23.11*.4*.1200*.00787J.e.00000001f7297663c115e49c692006d350259334c911585a23bba166c52a349bb51b44791ef5e9cd.0.10*.131*.138*.19.*0.0.0.0" msgID="B8F132FA0F41ABBEC8AEA38E6436B56B" /&gt;&lt;/ri&gt;&lt;do pa="6" cfmt="0" fmt="1" saf="0" hd="0" afg="1" rafg="1" arh="1" gosdo="0" cwd="1" ab="0" af="1" om="0" ag="0" lck="0" ppt="3" wpt="3" dai="0" rscd="1" rsrgb="1" rsrl="1" cit="2" c2d="1" cdf="0" cdt="0" dtlk="1" gaf="17" fqg="0" xqg="0" don="0" dcom="0" oaw="0" tws="0" ssm="1" ssn="MSTRStyle.Todos" glo="11101" pgsel="4" phdr="1" rdc="0" adt="0" rsoox="0" eco="1" ecfw="400" ecfh="300" ecfsu="1" ecwr="100" echr="100" eclar="1" ecrups="1"&gt;&lt;details dbit="11169976358211" dsel="239" /&gt;&lt;/do&gt;&lt;excel&gt;&lt;epo ews="Dat_01" ece="A409" enr="MSTR.Precios_Medios_Ponderados_Mensuales" ptn="" qtn="" rows="11" cols="15" /&gt;&lt;esdo ews="" ece="" ptn="" /&gt;&lt;/excel&gt;&lt;pgs&gt;&lt;pg rows="8" cols="13" nrr="448" nrc="728"&gt;&lt;pg /&gt;&lt;bls&gt;&lt;bl sr="1" sc="1" rfetch="8" cfetch="13" posid="1" darows="0" dacols="1"&gt;&lt;excel&gt;&lt;epo ews="Dat_01" ece="A409" enr="MSTR.Precios_Medios_Ponderados_Mensuales" ptn="" qtn="" rows="11" cols="15" /&gt;&lt;esdo ews="" ece="" ptn="" /&gt;&lt;/excel&gt;&lt;gridRng&gt;&lt;sect id="TITLE_AREA" rngprop="1:1:3:2" /&gt;&lt;sect id="ROWHEADERS_AREA" rngprop="4:1:8:2" /&gt;&lt;sect id="COLUMNHEADERS_AREA" rngprop="1:3:3:13" /&gt;&lt;sect id="DATA_AREA" rngprop="4:3:8:13" /&gt;&lt;/gridRng&gt;&lt;shapes /&gt;&lt;/bl&gt;&lt;/bls&gt;&lt;/pg&gt;&lt;/pgs&gt;&lt;/rptloc&gt;&lt;/mi&gt;</t>
  </si>
  <si>
    <t>ENE-26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</si>
</sst>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3" formatCode="_-* #,##0.00_-;\-* #,##0.00_-;_-* &quot;-&quot;??_-;_-@_-"/>
    <numFmt numFmtId="164" formatCode="#,##0.0"/>
    <numFmt numFmtId="165" formatCode="0.000"/>
    <numFmt numFmtId="166" formatCode="0.0"/>
    <numFmt numFmtId="167" formatCode="_-* #,##0.00[$€]_-;\-* #,##0.00[$€]_-;_-* &quot;-&quot;??[$€]_-;_-@_-"/>
    <numFmt numFmtId="168" formatCode="0.0%"/>
    <numFmt numFmtId="169" formatCode="#,##0.00;\(#,##0.00\)"/>
    <numFmt numFmtId="170" formatCode="#,##0.000"/>
    <numFmt numFmtId="171" formatCode="#,##0;\(#,##0\)"/>
    <numFmt numFmtId="173" formatCode="_-* #,##0.0_-;\-* #,##0.0_-;_-* &quot;-&quot;??_-;_-@_-"/>
    <numFmt numFmtId="174" formatCode="0.0000%"/>
  </numFmts>
  <fonts count="82">
    <font>
      <sz val="10"/>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Geneva"/>
      <family val="2"/>
    </font>
    <font>
      <sz val="9"/>
      <name val="Futura"/>
      <family val="2"/>
    </font>
    <font>
      <sz val="10"/>
      <name val="Arial"/>
      <family val="2"/>
    </font>
    <font>
      <sz val="8"/>
      <name val="Arial"/>
      <family val="2"/>
    </font>
    <font>
      <sz val="8"/>
      <color indexed="8"/>
      <name val="Arial"/>
      <family val="2"/>
    </font>
    <font>
      <b/>
      <sz val="10"/>
      <color indexed="8"/>
      <name val="Arial"/>
      <family val="2"/>
    </font>
    <font>
      <b/>
      <sz val="8"/>
      <color indexed="8"/>
      <name val="Arial"/>
      <family val="2"/>
    </font>
    <font>
      <sz val="10"/>
      <color indexed="56"/>
      <name val="Geneva"/>
      <family val="2"/>
    </font>
    <font>
      <sz val="10"/>
      <color indexed="8"/>
      <name val="Geneva"/>
      <family val="2"/>
    </font>
    <font>
      <sz val="10"/>
      <color indexed="32"/>
      <name val="Avant Garde"/>
    </font>
    <font>
      <sz val="10"/>
      <name val="Arial"/>
      <family val="2"/>
    </font>
    <font>
      <sz val="10"/>
      <name val="Geneva"/>
    </font>
    <font>
      <sz val="11"/>
      <color theme="1"/>
      <name val="Calibri"/>
      <family val="2"/>
      <scheme val="minor"/>
    </font>
    <font>
      <sz val="8"/>
      <color rgb="FF000000"/>
      <name val="Arial"/>
      <family val="2"/>
    </font>
    <font>
      <b/>
      <sz val="8"/>
      <color rgb="FFFFFFFF"/>
      <name val="Arial"/>
      <family val="2"/>
    </font>
    <font>
      <sz val="10"/>
      <color theme="0"/>
      <name val="Arial"/>
      <family val="2"/>
    </font>
    <font>
      <b/>
      <sz val="8"/>
      <color rgb="FF004563"/>
      <name val="Arial"/>
      <family val="2"/>
    </font>
    <font>
      <sz val="8"/>
      <color rgb="FF004563"/>
      <name val="Arial"/>
      <family val="2"/>
    </font>
    <font>
      <sz val="10"/>
      <color rgb="FF004563"/>
      <name val="Geneva"/>
    </font>
    <font>
      <b/>
      <sz val="10"/>
      <color rgb="FF004563"/>
      <name val="Geneva"/>
    </font>
    <font>
      <sz val="8"/>
      <name val="Symbol"/>
      <family val="1"/>
      <charset val="2"/>
    </font>
    <font>
      <b/>
      <sz val="8"/>
      <color rgb="FF005675"/>
      <name val="Verdana"/>
      <family val="2"/>
    </font>
    <font>
      <b/>
      <sz val="10"/>
      <name val="Arial"/>
      <family val="2"/>
    </font>
    <font>
      <sz val="10"/>
      <color rgb="FF000000"/>
      <name val="Arial"/>
      <family val="2"/>
    </font>
    <font>
      <sz val="10"/>
      <color rgb="FF000000"/>
      <name val="Arial"/>
      <family val="2"/>
    </font>
    <font>
      <sz val="18"/>
      <name val="Arial"/>
      <family val="2"/>
    </font>
    <font>
      <sz val="8"/>
      <name val="Helv"/>
    </font>
    <font>
      <sz val="8"/>
      <color indexed="10"/>
      <name val="Helv"/>
    </font>
    <font>
      <sz val="10"/>
      <name val="Arial"/>
      <family val="2"/>
    </font>
    <font>
      <sz val="10"/>
      <color theme="0"/>
      <name val="Geneva"/>
      <family val="2"/>
    </font>
    <font>
      <b/>
      <sz val="11"/>
      <color rgb="FF000000"/>
      <name val="Calibri"/>
      <family val="2"/>
      <scheme val="minor"/>
    </font>
    <font>
      <sz val="11"/>
      <color rgb="FF000000"/>
      <name val="Arial"/>
      <family val="2"/>
    </font>
    <font>
      <sz val="11"/>
      <color rgb="FF004563"/>
      <name val="Arial"/>
      <family val="2"/>
    </font>
    <font>
      <b/>
      <sz val="11"/>
      <color rgb="FF004563"/>
      <name val="Arial"/>
      <family val="2"/>
    </font>
    <font>
      <b/>
      <sz val="11"/>
      <color indexed="8"/>
      <name val="Arial"/>
      <family val="2"/>
    </font>
    <font>
      <b/>
      <sz val="8"/>
      <color rgb="FF000000"/>
      <name val="Arial"/>
      <family val="2"/>
    </font>
    <font>
      <b/>
      <sz val="10"/>
      <color rgb="FFFF0000"/>
      <name val="Arial"/>
      <family val="2"/>
    </font>
    <font>
      <b/>
      <sz val="11"/>
      <color rgb="FFFF0000"/>
      <name val="Arial"/>
      <family val="2"/>
    </font>
    <font>
      <sz val="10"/>
      <color rgb="FFFF0000"/>
      <name val="Avant Garde"/>
    </font>
    <font>
      <sz val="10"/>
      <color rgb="FFFF0000"/>
      <name val="Geneva"/>
      <family val="2"/>
    </font>
    <font>
      <b/>
      <sz val="8"/>
      <color rgb="FFFF0000"/>
      <name val="Arial"/>
      <family val="2"/>
    </font>
    <font>
      <sz val="10"/>
      <color theme="3"/>
      <name val="Geneva"/>
      <family val="2"/>
    </font>
    <font>
      <b/>
      <sz val="8"/>
      <color rgb="FF004563"/>
      <name val="Calibri"/>
      <family val="2"/>
    </font>
    <font>
      <sz val="10"/>
      <color indexed="21"/>
      <name val="Symbol"/>
      <family val="1"/>
      <charset val="2"/>
    </font>
    <font>
      <sz val="14"/>
      <color indexed="21"/>
      <name val="Arial"/>
      <family val="2"/>
    </font>
    <font>
      <u/>
      <sz val="10"/>
      <color indexed="12"/>
      <name val="Geneva"/>
      <family val="2"/>
    </font>
    <font>
      <b/>
      <sz val="8"/>
      <color rgb="FFFFFFFF"/>
      <name val="Verdana"/>
      <family val="2"/>
    </font>
    <font>
      <sz val="10"/>
      <color rgb="FF000000"/>
      <name val="Geneva"/>
    </font>
    <font>
      <b/>
      <sz val="8"/>
      <color theme="0"/>
      <name val="Arial"/>
      <family val="2"/>
    </font>
    <font>
      <sz val="10"/>
      <color rgb="FFFFFFFF"/>
      <name val="Segoe UI"/>
      <family val="2"/>
    </font>
    <font>
      <sz val="11"/>
      <name val="Geneva"/>
    </font>
    <font>
      <sz val="11"/>
      <color rgb="FF004563"/>
      <name val="Geneva"/>
    </font>
    <font>
      <sz val="10"/>
      <color theme="0"/>
      <name val="Segoe UI"/>
      <family val="2"/>
    </font>
    <font>
      <sz val="10"/>
      <color theme="0"/>
      <name val="Geneva"/>
    </font>
    <font>
      <sz val="10"/>
      <color rgb="FFFF0000"/>
      <name val="Geneva"/>
    </font>
    <font>
      <u/>
      <sz val="10"/>
      <color theme="10"/>
      <name val="Geneva"/>
    </font>
    <font>
      <sz val="10"/>
      <name val="Arial"/>
      <family val="2"/>
    </font>
    <font>
      <sz val="8"/>
      <name val="Geneva"/>
    </font>
    <font>
      <sz val="12"/>
      <color theme="1"/>
      <name val="Calibri"/>
      <family val="2"/>
      <scheme val="minor"/>
    </font>
    <font>
      <i/>
      <sz val="10"/>
      <color rgb="FF004563"/>
      <name val="Arial"/>
      <family val="2"/>
    </font>
    <font>
      <sz val="10"/>
      <color theme="0" tint="-0.34998626667073579"/>
      <name val="Geneva"/>
    </font>
    <font>
      <b/>
      <sz val="10"/>
      <name val="Geneva"/>
    </font>
    <font>
      <b/>
      <sz val="8"/>
      <color theme="1"/>
      <name val="Arial"/>
      <family val="2"/>
    </font>
    <font>
      <b/>
      <sz val="10"/>
      <color theme="0"/>
      <name val="Geneva"/>
    </font>
    <font>
      <sz val="10"/>
      <color rgb="FF000000"/>
      <name val="Arial"/>
      <family val="2"/>
    </font>
    <font>
      <sz val="8"/>
      <color rgb="FF000000"/>
      <name val="Arial"/>
      <family val="2"/>
    </font>
    <font>
      <b/>
      <sz val="10"/>
      <color rgb="FFFF0000"/>
      <name val="Geneva"/>
    </font>
  </fonts>
  <fills count="22">
    <fill>
      <patternFill patternType="none"/>
    </fill>
    <fill>
      <patternFill patternType="gray125"/>
    </fill>
    <fill>
      <patternFill patternType="solid">
        <fgColor rgb="FFFFFFFF"/>
        <bgColor rgb="FFFFFFFF"/>
      </patternFill>
    </fill>
    <fill>
      <patternFill patternType="solid">
        <fgColor rgb="FF34839D"/>
        <bgColor rgb="FFFFFFFF"/>
      </patternFill>
    </fill>
    <fill>
      <patternFill patternType="solid">
        <fgColor theme="0"/>
        <bgColor indexed="64"/>
      </patternFill>
    </fill>
    <fill>
      <patternFill patternType="solid">
        <fgColor rgb="FFF5F5F5"/>
        <bgColor indexed="64"/>
      </patternFill>
    </fill>
    <fill>
      <patternFill patternType="solid">
        <fgColor theme="0" tint="-4.9989318521683403E-2"/>
        <bgColor indexed="64"/>
      </patternFill>
    </fill>
    <fill>
      <patternFill patternType="solid">
        <fgColor rgb="FFFFCC99"/>
        <bgColor rgb="FFFFFFFF"/>
      </patternFill>
    </fill>
    <fill>
      <patternFill patternType="solid">
        <fgColor rgb="FF8192AD"/>
        <bgColor rgb="FFFFFFFF"/>
      </patternFill>
    </fill>
    <fill>
      <patternFill patternType="solid">
        <fgColor rgb="FFFFFFFF"/>
        <bgColor rgb="FF000000"/>
      </patternFill>
    </fill>
    <fill>
      <patternFill patternType="solid">
        <fgColor rgb="FF000080"/>
        <bgColor rgb="FF000080"/>
      </patternFill>
    </fill>
    <fill>
      <patternFill patternType="solid">
        <fgColor rgb="FFFFCC00"/>
        <bgColor rgb="FF000080"/>
      </patternFill>
    </fill>
    <fill>
      <patternFill patternType="solid">
        <fgColor rgb="FFFF0000"/>
        <bgColor rgb="FF000080"/>
      </patternFill>
    </fill>
    <fill>
      <patternFill patternType="solid">
        <fgColor rgb="FF00CC00"/>
        <bgColor indexed="64"/>
      </patternFill>
    </fill>
    <fill>
      <patternFill patternType="solid">
        <fgColor rgb="FFCEFFFF"/>
        <bgColor rgb="FF000080"/>
      </patternFill>
    </fill>
    <fill>
      <patternFill patternType="solid">
        <fgColor rgb="FFFFFF00"/>
        <bgColor indexed="64"/>
      </patternFill>
    </fill>
    <fill>
      <patternFill patternType="solid">
        <fgColor rgb="FF002060"/>
        <bgColor indexed="64"/>
      </patternFill>
    </fill>
    <fill>
      <patternFill patternType="solid">
        <fgColor rgb="FFFFFFFF"/>
      </patternFill>
    </fill>
    <fill>
      <patternFill patternType="solid">
        <fgColor rgb="FFFFCC99"/>
      </patternFill>
    </fill>
    <fill>
      <patternFill patternType="solid">
        <fgColor rgb="FF34839D"/>
      </patternFill>
    </fill>
    <fill>
      <patternFill patternType="solid">
        <fgColor rgb="FFFFFF00"/>
        <bgColor rgb="FFFFFFFF"/>
      </patternFill>
    </fill>
    <fill>
      <patternFill patternType="solid">
        <fgColor rgb="FFFFC000"/>
        <bgColor rgb="FFFFFFFF"/>
      </patternFill>
    </fill>
  </fills>
  <borders count="29">
    <border>
      <left/>
      <right/>
      <top/>
      <bottom/>
      <diagonal/>
    </border>
    <border>
      <left/>
      <right/>
      <top style="thin">
        <color indexed="63"/>
      </top>
      <bottom style="thin">
        <color indexed="63"/>
      </bottom>
      <diagonal/>
    </border>
    <border>
      <left style="thin">
        <color rgb="FFC0C0C0"/>
      </left>
      <right/>
      <top/>
      <bottom style="thin">
        <color rgb="FFC0C0C0"/>
      </bottom>
      <diagonal/>
    </border>
    <border>
      <left/>
      <right/>
      <top/>
      <bottom style="thin">
        <color rgb="FFA6A6A6"/>
      </bottom>
      <diagonal/>
    </border>
    <border>
      <left/>
      <right/>
      <top style="thin">
        <color rgb="FFA6A6A6"/>
      </top>
      <bottom style="thin">
        <color indexed="63"/>
      </bottom>
      <diagonal/>
    </border>
    <border>
      <left/>
      <right/>
      <top/>
      <bottom style="thin">
        <color theme="0" tint="-0.34998626667073579"/>
      </bottom>
      <diagonal/>
    </border>
    <border>
      <left/>
      <right/>
      <top style="thin">
        <color theme="0" tint="-0.34998626667073579"/>
      </top>
      <bottom/>
      <diagonal/>
    </border>
    <border>
      <left/>
      <right/>
      <top/>
      <bottom style="thin">
        <color rgb="FFC0C0C0"/>
      </bottom>
      <diagonal/>
    </border>
    <border>
      <left/>
      <right/>
      <top/>
      <bottom style="thin">
        <color indexed="64"/>
      </bottom>
      <diagonal/>
    </border>
    <border>
      <left/>
      <right/>
      <top style="thin">
        <color auto="1"/>
      </top>
      <bottom style="thin">
        <color auto="1"/>
      </bottom>
      <diagonal/>
    </border>
    <border>
      <left/>
      <right/>
      <top style="thin">
        <color rgb="FFC0C0C0"/>
      </top>
      <bottom style="thin">
        <color rgb="FFC0C0C0"/>
      </bottom>
      <diagonal/>
    </border>
    <border>
      <left style="thin">
        <color rgb="FFC0C0C0"/>
      </left>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diagonal/>
    </border>
    <border>
      <left style="thin">
        <color rgb="FFC0C0C0"/>
      </left>
      <right style="thin">
        <color rgb="FFC0C0C0"/>
      </right>
      <top/>
      <bottom style="thin">
        <color rgb="FFC0C0C0"/>
      </bottom>
      <diagonal/>
    </border>
    <border>
      <left style="thin">
        <color rgb="FFC0C0C0"/>
      </left>
      <right/>
      <top/>
      <bottom/>
      <diagonal/>
    </border>
    <border>
      <left/>
      <right/>
      <top style="thin">
        <color indexed="63"/>
      </top>
      <bottom/>
      <diagonal/>
    </border>
    <border>
      <left/>
      <right/>
      <top style="thin">
        <color theme="0" tint="-0.34998626667073579"/>
      </top>
      <bottom style="thin">
        <color theme="0" tint="-0.34998626667073579"/>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
      <left style="thin">
        <color rgb="FFC0C0C0"/>
      </left>
      <right style="thin">
        <color rgb="FFC0C0C0"/>
      </right>
      <top/>
      <bottom style="thin">
        <color indexed="64"/>
      </bottom>
      <diagonal/>
    </border>
    <border>
      <left style="thin">
        <color rgb="FFC0C0C0"/>
      </left>
      <right style="thin">
        <color rgb="FFC0C0C0"/>
      </right>
      <top style="thin">
        <color indexed="64"/>
      </top>
      <bottom/>
      <diagonal/>
    </border>
    <border>
      <left style="thin">
        <color rgb="FFC0C0C0"/>
      </left>
      <right/>
      <top style="thin">
        <color indexed="63"/>
      </top>
      <bottom style="thin">
        <color rgb="FFC0C0C0"/>
      </bottom>
      <diagonal/>
    </border>
    <border>
      <left/>
      <right/>
      <top style="thin">
        <color indexed="63"/>
      </top>
      <bottom style="thin">
        <color rgb="FFC0C0C0"/>
      </bottom>
      <diagonal/>
    </border>
  </borders>
  <cellStyleXfs count="93">
    <xf numFmtId="0" fontId="0" fillId="0" borderId="0"/>
    <xf numFmtId="167" fontId="15" fillId="0" borderId="0" applyFont="0" applyFill="0" applyBorder="0" applyAlignment="0" applyProtection="0"/>
    <xf numFmtId="0" fontId="16" fillId="0" borderId="0"/>
    <xf numFmtId="4" fontId="28" fillId="2" borderId="2">
      <alignment horizontal="right" vertical="center"/>
    </xf>
    <xf numFmtId="0" fontId="17" fillId="0" borderId="0"/>
    <xf numFmtId="0" fontId="17" fillId="0" borderId="0"/>
    <xf numFmtId="0" fontId="27" fillId="0" borderId="0"/>
    <xf numFmtId="0" fontId="27" fillId="0" borderId="0"/>
    <xf numFmtId="0" fontId="25" fillId="0" borderId="0"/>
    <xf numFmtId="9" fontId="26"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38" fillId="0" borderId="0"/>
    <xf numFmtId="0" fontId="39" fillId="0" borderId="0"/>
    <xf numFmtId="9" fontId="38" fillId="0" borderId="0" applyFont="0" applyFill="0" applyBorder="0" applyAlignment="0" applyProtection="0"/>
    <xf numFmtId="0" fontId="40" fillId="0" borderId="0"/>
    <xf numFmtId="0" fontId="43" fillId="0" borderId="0"/>
    <xf numFmtId="0" fontId="29" fillId="3" borderId="2">
      <alignment vertical="center" wrapText="1"/>
    </xf>
    <xf numFmtId="0" fontId="29" fillId="3" borderId="2">
      <alignment horizontal="center" wrapText="1"/>
    </xf>
    <xf numFmtId="0" fontId="14" fillId="0" borderId="0"/>
    <xf numFmtId="0" fontId="28" fillId="2" borderId="2">
      <alignment horizontal="left" vertical="center" wrapText="1"/>
    </xf>
    <xf numFmtId="3" fontId="28" fillId="2" borderId="2">
      <alignment horizontal="right" vertical="center"/>
    </xf>
    <xf numFmtId="9" fontId="14" fillId="0" borderId="0" applyFont="0" applyFill="0" applyBorder="0" applyAlignment="0" applyProtection="0"/>
    <xf numFmtId="164" fontId="28" fillId="2" borderId="2">
      <alignment horizontal="right" vertical="center"/>
    </xf>
    <xf numFmtId="164" fontId="50" fillId="7" borderId="2">
      <alignment horizontal="right" vertical="center"/>
    </xf>
    <xf numFmtId="0" fontId="13" fillId="0" borderId="0"/>
    <xf numFmtId="9" fontId="13" fillId="0" borderId="0" applyFont="0" applyFill="0" applyBorder="0" applyAlignment="0" applyProtection="0"/>
    <xf numFmtId="0" fontId="29" fillId="3" borderId="2">
      <alignment horizontal="center" wrapText="1"/>
    </xf>
    <xf numFmtId="0" fontId="28" fillId="2" borderId="2">
      <alignment horizontal="left" vertical="center" wrapText="1"/>
    </xf>
    <xf numFmtId="169" fontId="50" fillId="7" borderId="2">
      <alignment horizontal="left" vertical="center"/>
    </xf>
    <xf numFmtId="0" fontId="26" fillId="0" borderId="0"/>
    <xf numFmtId="0" fontId="17" fillId="0" borderId="0"/>
    <xf numFmtId="0" fontId="60" fillId="0" borderId="0" applyNumberFormat="0" applyFill="0" applyBorder="0" applyAlignment="0" applyProtection="0">
      <alignment vertical="top"/>
      <protection locked="0"/>
    </xf>
    <xf numFmtId="0" fontId="61" fillId="8" borderId="2">
      <alignment vertical="center" wrapText="1"/>
    </xf>
    <xf numFmtId="0" fontId="29" fillId="3" borderId="2">
      <alignment vertical="center" wrapText="1"/>
    </xf>
    <xf numFmtId="0" fontId="29" fillId="3" borderId="2">
      <alignment horizontal="center"/>
    </xf>
    <xf numFmtId="4" fontId="29" fillId="10" borderId="2">
      <alignment horizontal="right" vertical="center"/>
    </xf>
    <xf numFmtId="4" fontId="28" fillId="11" borderId="2">
      <alignment horizontal="right" vertical="center"/>
    </xf>
    <xf numFmtId="4" fontId="50" fillId="7" borderId="2">
      <alignment horizontal="right" vertical="center"/>
    </xf>
    <xf numFmtId="4" fontId="50" fillId="12" borderId="2">
      <alignment horizontal="right" vertical="center"/>
    </xf>
    <xf numFmtId="0" fontId="29" fillId="3" borderId="12">
      <alignment vertical="center" wrapText="1"/>
    </xf>
    <xf numFmtId="4" fontId="28" fillId="7" borderId="2">
      <alignment horizontal="right" vertical="center"/>
    </xf>
    <xf numFmtId="170" fontId="28" fillId="7" borderId="2">
      <alignment horizontal="right" vertical="center"/>
    </xf>
    <xf numFmtId="0" fontId="50" fillId="7" borderId="2">
      <alignment horizontal="left" vertical="center"/>
    </xf>
    <xf numFmtId="171" fontId="28" fillId="2" borderId="2">
      <alignment horizontal="right" vertical="center"/>
    </xf>
    <xf numFmtId="171" fontId="50" fillId="7" borderId="2">
      <alignment horizontal="right" vertical="center"/>
    </xf>
    <xf numFmtId="0" fontId="11" fillId="0" borderId="0"/>
    <xf numFmtId="0" fontId="10" fillId="0" borderId="0"/>
    <xf numFmtId="0" fontId="29" fillId="3" borderId="2">
      <alignment vertical="center" wrapText="1"/>
    </xf>
    <xf numFmtId="0" fontId="29" fillId="3" borderId="2">
      <alignment horizontal="center" wrapText="1"/>
    </xf>
    <xf numFmtId="0" fontId="9" fillId="0" borderId="0"/>
    <xf numFmtId="4" fontId="28" fillId="2" borderId="2">
      <alignment horizontal="right" vertical="center"/>
    </xf>
    <xf numFmtId="0" fontId="29" fillId="3" borderId="11">
      <alignment vertical="center" wrapText="1"/>
    </xf>
    <xf numFmtId="0" fontId="28" fillId="2" borderId="2">
      <alignment horizontal="left" vertical="center" wrapText="1"/>
    </xf>
    <xf numFmtId="3" fontId="28" fillId="2" borderId="2">
      <alignment horizontal="right" vertical="center"/>
    </xf>
    <xf numFmtId="0" fontId="28" fillId="2" borderId="2">
      <alignment horizontal="left" vertical="center" wrapText="1"/>
    </xf>
    <xf numFmtId="0" fontId="50" fillId="7" borderId="2">
      <alignment horizontal="left" vertical="center"/>
    </xf>
    <xf numFmtId="164" fontId="50" fillId="7" borderId="2">
      <alignment horizontal="right" vertical="center"/>
    </xf>
    <xf numFmtId="0" fontId="29" fillId="3" borderId="2">
      <alignment horizontal="center" wrapText="1"/>
    </xf>
    <xf numFmtId="0" fontId="62" fillId="9" borderId="12"/>
    <xf numFmtId="0" fontId="29" fillId="3" borderId="2">
      <alignment horizontal="center" wrapText="1"/>
    </xf>
    <xf numFmtId="0" fontId="28" fillId="2" borderId="2">
      <alignment horizontal="left" vertical="center" wrapText="1"/>
    </xf>
    <xf numFmtId="164" fontId="28" fillId="2" borderId="2">
      <alignment horizontal="right" vertical="center"/>
    </xf>
    <xf numFmtId="0" fontId="50" fillId="7" borderId="2">
      <alignment horizontal="left" vertical="center"/>
    </xf>
    <xf numFmtId="0" fontId="29" fillId="3" borderId="12">
      <alignment vertical="center" wrapText="1"/>
    </xf>
    <xf numFmtId="164" fontId="50" fillId="7" borderId="2">
      <alignment horizontal="right" vertical="center"/>
    </xf>
    <xf numFmtId="0" fontId="70" fillId="0" borderId="0" applyNumberFormat="0" applyFill="0" applyBorder="0" applyAlignment="0" applyProtection="0"/>
    <xf numFmtId="0" fontId="71" fillId="0" borderId="0"/>
    <xf numFmtId="0" fontId="73" fillId="0" borderId="0"/>
    <xf numFmtId="0" fontId="8" fillId="0" borderId="0"/>
    <xf numFmtId="0" fontId="7" fillId="0" borderId="0"/>
    <xf numFmtId="43" fontId="26" fillId="0" borderId="0" applyFont="0" applyFill="0" applyBorder="0" applyAlignment="0" applyProtection="0"/>
    <xf numFmtId="4" fontId="28" fillId="14" borderId="2">
      <alignment horizontal="right" vertical="center"/>
    </xf>
    <xf numFmtId="4" fontId="29" fillId="10" borderId="2">
      <alignment horizontal="right" vertical="center"/>
    </xf>
    <xf numFmtId="4" fontId="50" fillId="12" borderId="2">
      <alignment horizontal="right" vertical="center"/>
    </xf>
    <xf numFmtId="4" fontId="50" fillId="7" borderId="2">
      <alignment horizontal="right" vertical="center"/>
    </xf>
    <xf numFmtId="164" fontId="28" fillId="7" borderId="2">
      <alignment horizontal="right" vertical="center"/>
    </xf>
    <xf numFmtId="4" fontId="28" fillId="2" borderId="2">
      <alignment horizontal="right" vertical="center"/>
    </xf>
    <xf numFmtId="0" fontId="6" fillId="0" borderId="0"/>
    <xf numFmtId="4" fontId="28" fillId="7" borderId="2">
      <alignment horizontal="right" vertical="center"/>
    </xf>
    <xf numFmtId="0" fontId="5" fillId="0" borderId="0"/>
    <xf numFmtId="0" fontId="4" fillId="0" borderId="0"/>
    <xf numFmtId="4" fontId="28" fillId="2" borderId="2">
      <alignment horizontal="right" vertical="center"/>
    </xf>
    <xf numFmtId="0" fontId="3" fillId="0" borderId="0"/>
    <xf numFmtId="0" fontId="29" fillId="3" borderId="2">
      <alignment horizontal="center" wrapText="1"/>
    </xf>
    <xf numFmtId="0" fontId="2" fillId="0" borderId="0"/>
    <xf numFmtId="0" fontId="1" fillId="0" borderId="0"/>
    <xf numFmtId="164" fontId="28" fillId="7" borderId="2">
      <alignment horizontal="right" vertical="center"/>
    </xf>
    <xf numFmtId="169" fontId="28" fillId="2" borderId="2">
      <alignment horizontal="left" vertical="center" wrapText="1"/>
    </xf>
    <xf numFmtId="164" fontId="28" fillId="7" borderId="2">
      <alignment horizontal="right" vertical="center"/>
    </xf>
    <xf numFmtId="0" fontId="38" fillId="0" borderId="0"/>
    <xf numFmtId="0" fontId="79" fillId="0" borderId="0"/>
  </cellStyleXfs>
  <cellXfs count="262">
    <xf numFmtId="0" fontId="0" fillId="0" borderId="0" xfId="0"/>
    <xf numFmtId="0" fontId="22" fillId="0" borderId="0" xfId="0" applyFont="1"/>
    <xf numFmtId="0" fontId="23" fillId="0" borderId="0" xfId="0" applyFont="1"/>
    <xf numFmtId="0" fontId="21" fillId="0" borderId="0" xfId="0" applyFont="1"/>
    <xf numFmtId="0" fontId="21" fillId="0" borderId="0" xfId="0" applyFont="1" applyAlignment="1">
      <alignment horizontal="left" vertical="center" indent="1"/>
    </xf>
    <xf numFmtId="0" fontId="22" fillId="0" borderId="0" xfId="0" applyFont="1" applyAlignment="1">
      <alignment horizontal="left" indent="1"/>
    </xf>
    <xf numFmtId="0" fontId="21" fillId="0" borderId="0" xfId="0" applyFont="1" applyAlignment="1">
      <alignment horizontal="left"/>
    </xf>
    <xf numFmtId="0" fontId="24" fillId="0" borderId="0" xfId="0" applyFont="1"/>
    <xf numFmtId="164" fontId="21" fillId="0" borderId="0" xfId="0" applyNumberFormat="1" applyFont="1" applyAlignment="1">
      <alignment wrapText="1"/>
    </xf>
    <xf numFmtId="0" fontId="22" fillId="5" borderId="0" xfId="0" applyFont="1" applyFill="1" applyAlignment="1">
      <alignment horizontal="left" indent="1"/>
    </xf>
    <xf numFmtId="0" fontId="20" fillId="0" borderId="0" xfId="8" applyFont="1"/>
    <xf numFmtId="0" fontId="20" fillId="0" borderId="0" xfId="0" applyFont="1"/>
    <xf numFmtId="0" fontId="21" fillId="5" borderId="0" xfId="0" applyFont="1" applyFill="1" applyAlignment="1">
      <alignment horizontal="left"/>
    </xf>
    <xf numFmtId="0" fontId="0" fillId="5" borderId="0" xfId="0" applyFill="1"/>
    <xf numFmtId="0" fontId="33" fillId="5" borderId="6" xfId="0" applyFont="1" applyFill="1" applyBorder="1"/>
    <xf numFmtId="0" fontId="34" fillId="5" borderId="5" xfId="0" applyFont="1" applyFill="1" applyBorder="1"/>
    <xf numFmtId="49" fontId="32" fillId="5" borderId="0" xfId="0" applyNumberFormat="1" applyFont="1" applyFill="1"/>
    <xf numFmtId="0" fontId="20" fillId="0" borderId="0" xfId="8" applyFont="1" applyAlignment="1">
      <alignment horizontal="right"/>
    </xf>
    <xf numFmtId="0" fontId="20" fillId="0" borderId="0" xfId="0" applyFont="1" applyAlignment="1">
      <alignment horizontal="right"/>
    </xf>
    <xf numFmtId="0" fontId="20" fillId="0" borderId="0" xfId="8" applyFont="1" applyAlignment="1">
      <alignment horizontal="left"/>
    </xf>
    <xf numFmtId="0" fontId="17" fillId="0" borderId="0" xfId="4"/>
    <xf numFmtId="0" fontId="18" fillId="0" borderId="0" xfId="4" applyFont="1" applyAlignment="1">
      <alignment horizontal="center" wrapText="1"/>
    </xf>
    <xf numFmtId="0" fontId="35" fillId="0" borderId="0" xfId="4" applyFont="1"/>
    <xf numFmtId="2" fontId="18" fillId="4" borderId="0" xfId="4" applyNumberFormat="1" applyFont="1" applyFill="1"/>
    <xf numFmtId="166" fontId="18" fillId="4" borderId="0" xfId="4" applyNumberFormat="1" applyFont="1" applyFill="1"/>
    <xf numFmtId="0" fontId="17" fillId="4" borderId="0" xfId="4" applyFill="1"/>
    <xf numFmtId="0" fontId="36" fillId="4" borderId="0" xfId="4" applyFont="1" applyFill="1" applyAlignment="1">
      <alignment horizontal="right" wrapText="1"/>
    </xf>
    <xf numFmtId="0" fontId="17" fillId="0" borderId="0" xfId="4" applyAlignment="1">
      <alignment vertical="center" wrapText="1"/>
    </xf>
    <xf numFmtId="0" fontId="17" fillId="0" borderId="0" xfId="11"/>
    <xf numFmtId="166" fontId="17" fillId="0" borderId="0" xfId="11" applyNumberFormat="1"/>
    <xf numFmtId="4" fontId="37" fillId="0" borderId="0" xfId="11" applyNumberFormat="1" applyFont="1"/>
    <xf numFmtId="0" fontId="17" fillId="0" borderId="0" xfId="12"/>
    <xf numFmtId="165" fontId="17" fillId="0" borderId="0" xfId="11" applyNumberFormat="1"/>
    <xf numFmtId="165" fontId="17" fillId="0" borderId="0" xfId="12" applyNumberFormat="1"/>
    <xf numFmtId="2" fontId="17" fillId="0" borderId="0" xfId="11" applyNumberFormat="1"/>
    <xf numFmtId="4" fontId="17" fillId="0" borderId="0" xfId="11" applyNumberFormat="1"/>
    <xf numFmtId="3" fontId="17" fillId="0" borderId="0" xfId="11" applyNumberFormat="1"/>
    <xf numFmtId="3" fontId="17" fillId="0" borderId="0" xfId="4" applyNumberFormat="1"/>
    <xf numFmtId="164" fontId="31" fillId="0" borderId="0" xfId="0" applyNumberFormat="1" applyFont="1" applyAlignment="1">
      <alignment wrapText="1"/>
    </xf>
    <xf numFmtId="3" fontId="19" fillId="6" borderId="0" xfId="0" applyNumberFormat="1" applyFont="1" applyFill="1"/>
    <xf numFmtId="0" fontId="41" fillId="0" borderId="0" xfId="16" applyFont="1" applyAlignment="1">
      <alignment horizontal="center"/>
    </xf>
    <xf numFmtId="0" fontId="41" fillId="0" borderId="0" xfId="16" applyFont="1"/>
    <xf numFmtId="1" fontId="41" fillId="0" borderId="0" xfId="16" applyNumberFormat="1" applyFont="1"/>
    <xf numFmtId="165" fontId="41" fillId="0" borderId="0" xfId="16" applyNumberFormat="1" applyFont="1"/>
    <xf numFmtId="165" fontId="42" fillId="0" borderId="0" xfId="16" applyNumberFormat="1" applyFont="1"/>
    <xf numFmtId="2" fontId="41" fillId="0" borderId="0" xfId="16" applyNumberFormat="1" applyFont="1"/>
    <xf numFmtId="0" fontId="43" fillId="0" borderId="0" xfId="17"/>
    <xf numFmtId="0" fontId="21" fillId="0" borderId="0" xfId="0" applyFont="1" applyAlignment="1">
      <alignment vertical="top" wrapText="1"/>
    </xf>
    <xf numFmtId="164" fontId="31" fillId="0" borderId="0" xfId="0" applyNumberFormat="1" applyFont="1" applyAlignment="1">
      <alignment vertical="top" wrapText="1"/>
    </xf>
    <xf numFmtId="166" fontId="0" fillId="0" borderId="0" xfId="0" applyNumberFormat="1"/>
    <xf numFmtId="0" fontId="44" fillId="0" borderId="0" xfId="0" applyFont="1"/>
    <xf numFmtId="4" fontId="15" fillId="0" borderId="0" xfId="0" applyNumberFormat="1" applyFont="1"/>
    <xf numFmtId="0" fontId="47" fillId="5" borderId="0" xfId="20" applyFont="1" applyFill="1"/>
    <xf numFmtId="0" fontId="48" fillId="5" borderId="9" xfId="20" applyFont="1" applyFill="1" applyBorder="1"/>
    <xf numFmtId="0" fontId="23" fillId="0" borderId="0" xfId="0" applyFont="1" applyAlignment="1">
      <alignment wrapText="1"/>
    </xf>
    <xf numFmtId="0" fontId="22" fillId="0" borderId="0" xfId="0" applyFont="1" applyAlignment="1">
      <alignment horizontal="left" wrapText="1"/>
    </xf>
    <xf numFmtId="0" fontId="45" fillId="0" borderId="0" xfId="20" applyFont="1" applyAlignment="1">
      <alignment wrapText="1"/>
    </xf>
    <xf numFmtId="0" fontId="22" fillId="0" borderId="0" xfId="0" applyFont="1" applyAlignment="1">
      <alignment wrapText="1"/>
    </xf>
    <xf numFmtId="0" fontId="46" fillId="5" borderId="8" xfId="20" applyFont="1" applyFill="1" applyBorder="1" applyAlignment="1">
      <alignment wrapText="1"/>
    </xf>
    <xf numFmtId="17" fontId="48" fillId="5" borderId="8" xfId="20" quotePrefix="1" applyNumberFormat="1" applyFont="1" applyFill="1" applyBorder="1" applyAlignment="1">
      <alignment horizontal="right" wrapText="1"/>
    </xf>
    <xf numFmtId="0" fontId="49" fillId="5" borderId="9" xfId="0" applyFont="1" applyFill="1" applyBorder="1" applyAlignment="1">
      <alignment horizontal="left" vertical="center"/>
    </xf>
    <xf numFmtId="168" fontId="49" fillId="5" borderId="9" xfId="9" applyNumberFormat="1" applyFont="1" applyFill="1" applyBorder="1" applyAlignment="1" applyProtection="1">
      <alignment vertical="center"/>
    </xf>
    <xf numFmtId="4" fontId="0" fillId="0" borderId="0" xfId="0" applyNumberFormat="1"/>
    <xf numFmtId="0" fontId="30" fillId="0" borderId="0" xfId="11" applyFont="1"/>
    <xf numFmtId="0" fontId="13" fillId="0" borderId="0" xfId="26"/>
    <xf numFmtId="4" fontId="13" fillId="0" borderId="0" xfId="26" applyNumberFormat="1"/>
    <xf numFmtId="168" fontId="17" fillId="0" borderId="0" xfId="9" applyNumberFormat="1" applyFont="1"/>
    <xf numFmtId="0" fontId="51" fillId="0" borderId="0" xfId="11" applyFont="1"/>
    <xf numFmtId="0" fontId="52" fillId="0" borderId="0" xfId="11" applyFont="1"/>
    <xf numFmtId="168" fontId="0" fillId="0" borderId="0" xfId="27" applyNumberFormat="1" applyFont="1" applyFill="1"/>
    <xf numFmtId="0" fontId="53" fillId="0" borderId="0" xfId="0" applyFont="1"/>
    <xf numFmtId="0" fontId="12" fillId="0" borderId="0" xfId="26" applyFont="1"/>
    <xf numFmtId="0" fontId="45" fillId="0" borderId="0" xfId="20" applyFont="1" applyAlignment="1">
      <alignment horizontal="center" wrapText="1"/>
    </xf>
    <xf numFmtId="0" fontId="22" fillId="0" borderId="0" xfId="0" quotePrefix="1" applyFont="1"/>
    <xf numFmtId="0" fontId="54" fillId="0" borderId="0" xfId="0" applyFont="1"/>
    <xf numFmtId="0" fontId="55" fillId="0" borderId="0" xfId="0" applyFont="1" applyAlignment="1">
      <alignment horizontal="left" vertical="center" indent="1"/>
    </xf>
    <xf numFmtId="0" fontId="54" fillId="0" borderId="0" xfId="0" applyFont="1" applyAlignment="1">
      <alignment horizontal="left" indent="1"/>
    </xf>
    <xf numFmtId="0" fontId="54" fillId="5" borderId="0" xfId="0" applyFont="1" applyFill="1" applyAlignment="1">
      <alignment horizontal="left" indent="1"/>
    </xf>
    <xf numFmtId="17" fontId="20" fillId="0" borderId="0" xfId="0" applyNumberFormat="1" applyFont="1" applyAlignment="1">
      <alignment horizontal="right"/>
    </xf>
    <xf numFmtId="165" fontId="56" fillId="0" borderId="0" xfId="0" applyNumberFormat="1" applyFont="1"/>
    <xf numFmtId="0" fontId="56" fillId="0" borderId="0" xfId="0" applyFont="1"/>
    <xf numFmtId="164" fontId="56" fillId="0" borderId="0" xfId="0" applyNumberFormat="1" applyFont="1"/>
    <xf numFmtId="170" fontId="56" fillId="0" borderId="0" xfId="0" applyNumberFormat="1" applyFont="1"/>
    <xf numFmtId="166" fontId="32" fillId="5" borderId="5" xfId="0" applyNumberFormat="1" applyFont="1" applyFill="1" applyBorder="1" applyAlignment="1">
      <alignment horizontal="left" vertical="center"/>
    </xf>
    <xf numFmtId="164" fontId="31" fillId="0" borderId="0" xfId="0" applyNumberFormat="1" applyFont="1" applyAlignment="1">
      <alignment horizontal="left"/>
    </xf>
    <xf numFmtId="0" fontId="33" fillId="0" borderId="0" xfId="0" applyFont="1"/>
    <xf numFmtId="3" fontId="31" fillId="5" borderId="1" xfId="0" applyNumberFormat="1" applyFont="1" applyFill="1" applyBorder="1" applyAlignment="1">
      <alignment horizontal="left" vertical="center"/>
    </xf>
    <xf numFmtId="164" fontId="32" fillId="5" borderId="0" xfId="0" applyNumberFormat="1" applyFont="1" applyFill="1" applyAlignment="1">
      <alignment horizontal="left" vertical="center"/>
    </xf>
    <xf numFmtId="164" fontId="32" fillId="5" borderId="3" xfId="0" applyNumberFormat="1" applyFont="1" applyFill="1" applyBorder="1" applyAlignment="1">
      <alignment horizontal="left" vertical="center"/>
    </xf>
    <xf numFmtId="3" fontId="32" fillId="0" borderId="0" xfId="0" applyNumberFormat="1" applyFont="1" applyAlignment="1">
      <alignment horizontal="centerContinuous"/>
    </xf>
    <xf numFmtId="3" fontId="32" fillId="0" borderId="0" xfId="0" applyNumberFormat="1" applyFont="1"/>
    <xf numFmtId="0" fontId="31" fillId="5" borderId="4" xfId="0" applyFont="1" applyFill="1" applyBorder="1" applyAlignment="1">
      <alignment horizontal="right" vertical="center"/>
    </xf>
    <xf numFmtId="4" fontId="32" fillId="5" borderId="0" xfId="0" applyNumberFormat="1" applyFont="1" applyFill="1" applyAlignment="1">
      <alignment horizontal="right" vertical="center"/>
    </xf>
    <xf numFmtId="2" fontId="32" fillId="5" borderId="3" xfId="0" applyNumberFormat="1" applyFont="1" applyFill="1" applyBorder="1" applyAlignment="1">
      <alignment horizontal="right" vertical="center"/>
    </xf>
    <xf numFmtId="0" fontId="15" fillId="0" borderId="0" xfId="0" applyFont="1"/>
    <xf numFmtId="0" fontId="21" fillId="0" borderId="0" xfId="0" applyFont="1" applyAlignment="1">
      <alignment horizontal="right" vertical="center"/>
    </xf>
    <xf numFmtId="0" fontId="58" fillId="0" borderId="0" xfId="0" applyFont="1" applyAlignment="1">
      <alignment horizontal="right"/>
    </xf>
    <xf numFmtId="0" fontId="59" fillId="5" borderId="0" xfId="0" applyFont="1" applyFill="1" applyAlignment="1">
      <alignment horizontal="right" vertical="center"/>
    </xf>
    <xf numFmtId="0" fontId="31" fillId="5" borderId="0" xfId="33" applyFont="1" applyFill="1" applyBorder="1" applyAlignment="1" applyProtection="1">
      <alignment horizontal="left"/>
    </xf>
    <xf numFmtId="164" fontId="21" fillId="0" borderId="0" xfId="0" applyNumberFormat="1" applyFont="1" applyAlignment="1">
      <alignment horizontal="left"/>
    </xf>
    <xf numFmtId="0" fontId="59" fillId="5" borderId="0" xfId="0" applyFont="1" applyFill="1" applyAlignment="1">
      <alignment horizontal="right" vertical="top"/>
    </xf>
    <xf numFmtId="0" fontId="21" fillId="5" borderId="0" xfId="33" applyFont="1" applyFill="1" applyBorder="1" applyAlignment="1" applyProtection="1">
      <alignment horizontal="left"/>
    </xf>
    <xf numFmtId="0" fontId="32" fillId="0" borderId="0" xfId="0" applyFont="1"/>
    <xf numFmtId="3" fontId="21" fillId="0" borderId="0" xfId="0" applyNumberFormat="1" applyFont="1" applyAlignment="1">
      <alignment horizontal="left"/>
    </xf>
    <xf numFmtId="2" fontId="32" fillId="5" borderId="5" xfId="0" applyNumberFormat="1" applyFont="1" applyFill="1" applyBorder="1" applyAlignment="1">
      <alignment horizontal="right" vertical="center"/>
    </xf>
    <xf numFmtId="2" fontId="32" fillId="5" borderId="0" xfId="0" applyNumberFormat="1" applyFont="1" applyFill="1" applyAlignment="1">
      <alignment horizontal="right" vertical="center"/>
    </xf>
    <xf numFmtId="0" fontId="31" fillId="4" borderId="0" xfId="31" applyFont="1" applyFill="1"/>
    <xf numFmtId="0" fontId="32" fillId="5" borderId="0" xfId="0" applyFont="1" applyFill="1"/>
    <xf numFmtId="0" fontId="32" fillId="5" borderId="5" xfId="0" applyFont="1" applyFill="1" applyBorder="1"/>
    <xf numFmtId="4" fontId="32" fillId="5" borderId="5" xfId="0" applyNumberFormat="1" applyFont="1" applyFill="1" applyBorder="1" applyAlignment="1">
      <alignment horizontal="right" vertical="center"/>
    </xf>
    <xf numFmtId="2" fontId="63" fillId="13" borderId="5" xfId="0" applyNumberFormat="1" applyFont="1" applyFill="1" applyBorder="1" applyAlignment="1">
      <alignment horizontal="right" vertical="center"/>
    </xf>
    <xf numFmtId="171" fontId="28" fillId="2" borderId="2" xfId="45">
      <alignment horizontal="right" vertical="center"/>
    </xf>
    <xf numFmtId="11" fontId="0" fillId="0" borderId="0" xfId="0" applyNumberFormat="1"/>
    <xf numFmtId="0" fontId="64" fillId="3" borderId="2" xfId="35" applyFont="1" applyAlignment="1">
      <alignment vertical="center"/>
    </xf>
    <xf numFmtId="0" fontId="65" fillId="0" borderId="0" xfId="0" applyFont="1"/>
    <xf numFmtId="0" fontId="48" fillId="4" borderId="0" xfId="31" applyFont="1" applyFill="1"/>
    <xf numFmtId="0" fontId="66" fillId="0" borderId="0" xfId="0" applyFont="1"/>
    <xf numFmtId="0" fontId="67" fillId="16" borderId="0" xfId="0" applyFont="1" applyFill="1"/>
    <xf numFmtId="0" fontId="20" fillId="0" borderId="0" xfId="32" applyFont="1" applyAlignment="1">
      <alignment horizontal="left"/>
    </xf>
    <xf numFmtId="0" fontId="68" fillId="0" borderId="0" xfId="0" applyFont="1"/>
    <xf numFmtId="164" fontId="32" fillId="5" borderId="3" xfId="0" applyNumberFormat="1" applyFont="1" applyFill="1" applyBorder="1" applyAlignment="1">
      <alignment horizontal="right" vertical="center"/>
    </xf>
    <xf numFmtId="4" fontId="32" fillId="5" borderId="0" xfId="0" applyNumberFormat="1" applyFont="1" applyFill="1" applyAlignment="1">
      <alignment horizontal="left" vertical="center"/>
    </xf>
    <xf numFmtId="0" fontId="29" fillId="3" borderId="2" xfId="49" applyAlignment="1">
      <alignment vertical="center"/>
    </xf>
    <xf numFmtId="0" fontId="29" fillId="3" borderId="12" xfId="65" applyAlignment="1">
      <alignment vertical="center"/>
    </xf>
    <xf numFmtId="0" fontId="28" fillId="2" borderId="2" xfId="62" quotePrefix="1" applyAlignment="1">
      <alignment horizontal="left" vertical="center"/>
    </xf>
    <xf numFmtId="164" fontId="28" fillId="2" borderId="2" xfId="63">
      <alignment horizontal="right" vertical="center"/>
    </xf>
    <xf numFmtId="3" fontId="28" fillId="2" borderId="2" xfId="55">
      <alignment horizontal="right" vertical="center"/>
    </xf>
    <xf numFmtId="0" fontId="69" fillId="0" borderId="0" xfId="0" applyFont="1"/>
    <xf numFmtId="0" fontId="70" fillId="0" borderId="0" xfId="67" applyFill="1" applyBorder="1" applyProtection="1"/>
    <xf numFmtId="0" fontId="21" fillId="5" borderId="9" xfId="0" applyFont="1" applyFill="1" applyBorder="1" applyAlignment="1">
      <alignment horizontal="left" vertical="center" indent="1"/>
    </xf>
    <xf numFmtId="0" fontId="15" fillId="0" borderId="0" xfId="0" applyFont="1" applyAlignment="1">
      <alignment wrapText="1"/>
    </xf>
    <xf numFmtId="4" fontId="32" fillId="5" borderId="3" xfId="0" applyNumberFormat="1" applyFont="1" applyFill="1" applyBorder="1" applyAlignment="1">
      <alignment horizontal="right" vertical="center"/>
    </xf>
    <xf numFmtId="0" fontId="19" fillId="0" borderId="0" xfId="0" applyFont="1" applyAlignment="1">
      <alignment vertical="top"/>
    </xf>
    <xf numFmtId="0" fontId="17" fillId="0" borderId="0" xfId="11" applyAlignment="1">
      <alignment vertical="top" wrapText="1"/>
    </xf>
    <xf numFmtId="0" fontId="74" fillId="5" borderId="0" xfId="20" applyFont="1" applyFill="1"/>
    <xf numFmtId="164" fontId="74" fillId="5" borderId="0" xfId="20" applyNumberFormat="1" applyFont="1" applyFill="1"/>
    <xf numFmtId="164" fontId="47" fillId="5" borderId="0" xfId="20" applyNumberFormat="1" applyFont="1" applyFill="1"/>
    <xf numFmtId="164" fontId="47" fillId="5" borderId="0" xfId="20" applyNumberFormat="1" applyFont="1" applyFill="1" applyAlignment="1">
      <alignment horizontal="right"/>
    </xf>
    <xf numFmtId="164" fontId="48" fillId="5" borderId="9" xfId="20" applyNumberFormat="1" applyFont="1" applyFill="1" applyBorder="1"/>
    <xf numFmtId="168" fontId="0" fillId="0" borderId="0" xfId="9" applyNumberFormat="1" applyFont="1"/>
    <xf numFmtId="4" fontId="31" fillId="5" borderId="0" xfId="0" applyNumberFormat="1" applyFont="1" applyFill="1" applyAlignment="1">
      <alignment horizontal="left" vertical="center"/>
    </xf>
    <xf numFmtId="3" fontId="21" fillId="5" borderId="17" xfId="0" applyNumberFormat="1" applyFont="1" applyFill="1" applyBorder="1" applyAlignment="1">
      <alignment horizontal="left" vertical="center"/>
    </xf>
    <xf numFmtId="0" fontId="31" fillId="5" borderId="4" xfId="0" applyFont="1" applyFill="1" applyBorder="1" applyAlignment="1">
      <alignment horizontal="center" vertical="center"/>
    </xf>
    <xf numFmtId="0" fontId="29" fillId="3" borderId="2" xfId="59" applyAlignment="1">
      <alignment horizontal="center"/>
    </xf>
    <xf numFmtId="0" fontId="0" fillId="0" borderId="7" xfId="0" applyBorder="1"/>
    <xf numFmtId="0" fontId="29" fillId="3" borderId="2" xfId="59" quotePrefix="1" applyAlignment="1">
      <alignment horizontal="center"/>
    </xf>
    <xf numFmtId="3" fontId="0" fillId="0" borderId="0" xfId="0" applyNumberFormat="1"/>
    <xf numFmtId="0" fontId="29" fillId="3" borderId="2" xfId="59" quotePrefix="1">
      <alignment horizontal="center" wrapText="1"/>
    </xf>
    <xf numFmtId="0" fontId="32" fillId="5" borderId="0" xfId="0" applyFont="1" applyFill="1" applyAlignment="1">
      <alignment horizontal="center" vertical="center"/>
    </xf>
    <xf numFmtId="173" fontId="0" fillId="0" borderId="0" xfId="72" applyNumberFormat="1" applyFont="1"/>
    <xf numFmtId="0" fontId="29" fillId="3" borderId="7" xfId="59" quotePrefix="1" applyBorder="1" applyAlignment="1">
      <alignment horizontal="right"/>
    </xf>
    <xf numFmtId="0" fontId="33" fillId="5" borderId="18" xfId="0" applyFont="1" applyFill="1" applyBorder="1"/>
    <xf numFmtId="0" fontId="75" fillId="0" borderId="0" xfId="0" applyFont="1"/>
    <xf numFmtId="168" fontId="75" fillId="0" borderId="0" xfId="9" applyNumberFormat="1" applyFont="1"/>
    <xf numFmtId="10" fontId="75" fillId="0" borderId="0" xfId="9" applyNumberFormat="1" applyFont="1"/>
    <xf numFmtId="166" fontId="75" fillId="0" borderId="0" xfId="0" applyNumberFormat="1" applyFont="1"/>
    <xf numFmtId="0" fontId="29" fillId="3" borderId="2" xfId="59" quotePrefix="1" applyAlignment="1"/>
    <xf numFmtId="0" fontId="29" fillId="3" borderId="7" xfId="59" quotePrefix="1" applyBorder="1" applyAlignment="1"/>
    <xf numFmtId="4" fontId="76" fillId="0" borderId="0" xfId="0" applyNumberFormat="1" applyFont="1"/>
    <xf numFmtId="0" fontId="0" fillId="0" borderId="14" xfId="0" applyBorder="1" applyAlignment="1">
      <alignment horizontal="left" vertical="center"/>
    </xf>
    <xf numFmtId="0" fontId="0" fillId="0" borderId="0" xfId="0" applyAlignment="1">
      <alignment horizontal="left" vertical="center"/>
    </xf>
    <xf numFmtId="0" fontId="0" fillId="0" borderId="2" xfId="0" applyBorder="1" applyAlignment="1">
      <alignment horizontal="left" vertical="center"/>
    </xf>
    <xf numFmtId="0" fontId="0" fillId="0" borderId="16" xfId="0" applyBorder="1" applyAlignment="1">
      <alignment horizontal="left" vertical="center"/>
    </xf>
    <xf numFmtId="0" fontId="77" fillId="5" borderId="4" xfId="0" applyFont="1" applyFill="1" applyBorder="1" applyAlignment="1">
      <alignment horizontal="center" vertical="center"/>
    </xf>
    <xf numFmtId="0" fontId="31" fillId="5" borderId="4" xfId="0" applyFont="1" applyFill="1" applyBorder="1" applyAlignment="1">
      <alignment horizontal="center"/>
    </xf>
    <xf numFmtId="2" fontId="76" fillId="0" borderId="0" xfId="0" applyNumberFormat="1" applyFont="1"/>
    <xf numFmtId="171" fontId="0" fillId="0" borderId="0" xfId="0" applyNumberFormat="1" applyAlignment="1">
      <alignment horizontal="left" vertical="center"/>
    </xf>
    <xf numFmtId="171" fontId="0" fillId="0" borderId="0" xfId="0" applyNumberFormat="1"/>
    <xf numFmtId="164" fontId="0" fillId="0" borderId="0" xfId="0" applyNumberFormat="1"/>
    <xf numFmtId="168" fontId="0" fillId="0" borderId="0" xfId="72" applyNumberFormat="1" applyFont="1"/>
    <xf numFmtId="2" fontId="0" fillId="0" borderId="0" xfId="0" applyNumberFormat="1"/>
    <xf numFmtId="168" fontId="0" fillId="0" borderId="0" xfId="0" applyNumberFormat="1"/>
    <xf numFmtId="4" fontId="28" fillId="17" borderId="2" xfId="79" applyNumberFormat="1" applyFont="1" applyFill="1" applyBorder="1" applyAlignment="1">
      <alignment horizontal="right" vertical="center" wrapText="1"/>
    </xf>
    <xf numFmtId="4" fontId="28" fillId="17" borderId="15" xfId="79" applyNumberFormat="1" applyFont="1" applyFill="1" applyBorder="1" applyAlignment="1">
      <alignment horizontal="right" vertical="center" wrapText="1"/>
    </xf>
    <xf numFmtId="10" fontId="31" fillId="0" borderId="0" xfId="9" applyNumberFormat="1" applyFont="1" applyFill="1" applyBorder="1" applyAlignment="1" applyProtection="1">
      <alignment horizontal="left"/>
    </xf>
    <xf numFmtId="174" fontId="0" fillId="0" borderId="0" xfId="9" applyNumberFormat="1" applyFont="1"/>
    <xf numFmtId="0" fontId="29" fillId="3" borderId="2" xfId="59" quotePrefix="1" applyAlignment="1">
      <alignment horizontal="right"/>
    </xf>
    <xf numFmtId="0" fontId="20" fillId="0" borderId="0" xfId="32" applyFont="1" applyAlignment="1">
      <alignment horizontal="right"/>
    </xf>
    <xf numFmtId="164" fontId="31" fillId="0" borderId="0" xfId="0" applyNumberFormat="1" applyFont="1"/>
    <xf numFmtId="4" fontId="28" fillId="17" borderId="15" xfId="81" applyNumberFormat="1" applyFont="1" applyFill="1" applyBorder="1" applyAlignment="1">
      <alignment horizontal="right" vertical="center" wrapText="1"/>
    </xf>
    <xf numFmtId="171" fontId="69" fillId="0" borderId="0" xfId="0" applyNumberFormat="1" applyFont="1"/>
    <xf numFmtId="168" fontId="69" fillId="0" borderId="0" xfId="9" applyNumberFormat="1" applyFont="1"/>
    <xf numFmtId="0" fontId="0" fillId="0" borderId="15" xfId="0" applyBorder="1" applyAlignment="1">
      <alignment horizontal="left" vertical="center"/>
    </xf>
    <xf numFmtId="0" fontId="50" fillId="7" borderId="2" xfId="64" quotePrefix="1">
      <alignment horizontal="left" vertical="center"/>
    </xf>
    <xf numFmtId="4" fontId="28" fillId="2" borderId="2" xfId="83">
      <alignment horizontal="right" vertical="center"/>
    </xf>
    <xf numFmtId="0" fontId="0" fillId="0" borderId="14" xfId="0" applyBorder="1" applyAlignment="1">
      <alignment vertical="center"/>
    </xf>
    <xf numFmtId="0" fontId="0" fillId="0" borderId="15" xfId="0" applyBorder="1" applyAlignment="1">
      <alignment vertical="center"/>
    </xf>
    <xf numFmtId="0" fontId="78" fillId="0" borderId="0" xfId="0" applyFont="1"/>
    <xf numFmtId="170" fontId="0" fillId="0" borderId="0" xfId="0" applyNumberFormat="1"/>
    <xf numFmtId="168" fontId="31" fillId="0" borderId="0" xfId="9" applyNumberFormat="1" applyFont="1" applyFill="1" applyBorder="1" applyAlignment="1" applyProtection="1">
      <alignment horizontal="left"/>
    </xf>
    <xf numFmtId="4" fontId="28" fillId="7" borderId="2" xfId="42">
      <alignment horizontal="right" vertical="center"/>
    </xf>
    <xf numFmtId="4" fontId="28" fillId="2" borderId="0" xfId="83" applyBorder="1">
      <alignment horizontal="right" vertical="center"/>
    </xf>
    <xf numFmtId="0" fontId="29" fillId="19" borderId="15" xfId="0" applyFont="1" applyFill="1" applyBorder="1" applyAlignment="1">
      <alignment horizontal="center" wrapText="1"/>
    </xf>
    <xf numFmtId="0" fontId="29" fillId="19" borderId="2" xfId="0" applyFont="1" applyFill="1" applyBorder="1" applyAlignment="1">
      <alignment horizontal="center" wrapText="1"/>
    </xf>
    <xf numFmtId="171" fontId="50" fillId="7" borderId="2" xfId="46">
      <alignment horizontal="right" vertical="center"/>
    </xf>
    <xf numFmtId="164" fontId="50" fillId="7" borderId="2" xfId="66">
      <alignment horizontal="right" vertical="center"/>
    </xf>
    <xf numFmtId="0" fontId="32" fillId="5" borderId="0" xfId="0" applyFont="1" applyFill="1" applyAlignment="1">
      <alignment horizontal="center"/>
    </xf>
    <xf numFmtId="0" fontId="32" fillId="5" borderId="5" xfId="0" applyFont="1" applyFill="1" applyBorder="1" applyAlignment="1">
      <alignment horizontal="center"/>
    </xf>
    <xf numFmtId="170" fontId="28" fillId="7" borderId="2" xfId="43">
      <alignment horizontal="right" vertical="center"/>
    </xf>
    <xf numFmtId="164" fontId="28" fillId="7" borderId="2" xfId="88">
      <alignment horizontal="right" vertical="center"/>
    </xf>
    <xf numFmtId="0" fontId="0" fillId="15" borderId="0" xfId="0" applyFill="1"/>
    <xf numFmtId="164" fontId="28" fillId="20" borderId="2" xfId="63" applyFill="1">
      <alignment horizontal="right" vertical="center"/>
    </xf>
    <xf numFmtId="164" fontId="75" fillId="0" borderId="0" xfId="0" applyNumberFormat="1" applyFont="1"/>
    <xf numFmtId="4" fontId="28" fillId="0" borderId="2" xfId="42" applyFill="1">
      <alignment horizontal="right" vertical="center"/>
    </xf>
    <xf numFmtId="0" fontId="28" fillId="7" borderId="2" xfId="62" quotePrefix="1" applyFill="1" applyAlignment="1">
      <alignment horizontal="left" vertical="center"/>
    </xf>
    <xf numFmtId="170" fontId="28" fillId="18" borderId="2" xfId="0" applyNumberFormat="1" applyFont="1" applyFill="1" applyBorder="1" applyAlignment="1">
      <alignment horizontal="right" vertical="center" wrapText="1"/>
    </xf>
    <xf numFmtId="164" fontId="28" fillId="7" borderId="2" xfId="77">
      <alignment horizontal="right" vertical="center"/>
    </xf>
    <xf numFmtId="164" fontId="28" fillId="7" borderId="2" xfId="90">
      <alignment horizontal="right" vertical="center"/>
    </xf>
    <xf numFmtId="164" fontId="28" fillId="18" borderId="2" xfId="0" applyNumberFormat="1" applyFont="1" applyFill="1" applyBorder="1" applyAlignment="1">
      <alignment horizontal="right" vertical="center" wrapText="1"/>
    </xf>
    <xf numFmtId="4" fontId="28" fillId="2" borderId="2" xfId="78">
      <alignment horizontal="right" vertical="center"/>
    </xf>
    <xf numFmtId="4" fontId="28" fillId="0" borderId="2" xfId="83" applyFill="1">
      <alignment horizontal="right" vertical="center"/>
    </xf>
    <xf numFmtId="4" fontId="28" fillId="17" borderId="2" xfId="0" applyNumberFormat="1" applyFont="1" applyFill="1" applyBorder="1" applyAlignment="1">
      <alignment horizontal="right" vertical="center" wrapText="1"/>
    </xf>
    <xf numFmtId="0" fontId="28" fillId="2" borderId="2" xfId="62" quotePrefix="1" applyAlignment="1">
      <alignment horizontal="right" vertical="center" wrapText="1"/>
    </xf>
    <xf numFmtId="4" fontId="28" fillId="2" borderId="16" xfId="83" applyBorder="1">
      <alignment horizontal="right" vertical="center"/>
    </xf>
    <xf numFmtId="170" fontId="80" fillId="18" borderId="2" xfId="92" applyNumberFormat="1" applyFont="1" applyFill="1" applyBorder="1" applyAlignment="1">
      <alignment horizontal="right" vertical="center"/>
    </xf>
    <xf numFmtId="164" fontId="80" fillId="18" borderId="2" xfId="92" applyNumberFormat="1" applyFont="1" applyFill="1" applyBorder="1" applyAlignment="1">
      <alignment horizontal="right" vertical="center"/>
    </xf>
    <xf numFmtId="4" fontId="80" fillId="17" borderId="2" xfId="92" applyNumberFormat="1" applyFont="1" applyFill="1" applyBorder="1" applyAlignment="1">
      <alignment horizontal="right" vertical="center"/>
    </xf>
    <xf numFmtId="0" fontId="29" fillId="3" borderId="2" xfId="36" quotePrefix="1">
      <alignment horizontal="center"/>
    </xf>
    <xf numFmtId="0" fontId="29" fillId="3" borderId="2" xfId="36">
      <alignment horizontal="center"/>
    </xf>
    <xf numFmtId="4" fontId="28" fillId="11" borderId="2" xfId="38">
      <alignment horizontal="right" vertical="center"/>
    </xf>
    <xf numFmtId="4" fontId="50" fillId="7" borderId="2" xfId="76">
      <alignment horizontal="right" vertical="center"/>
    </xf>
    <xf numFmtId="4" fontId="28" fillId="14" borderId="2" xfId="73">
      <alignment horizontal="right" vertical="center"/>
    </xf>
    <xf numFmtId="4" fontId="50" fillId="12" borderId="2" xfId="40">
      <alignment horizontal="right" vertical="center"/>
    </xf>
    <xf numFmtId="4" fontId="28" fillId="17" borderId="2" xfId="81" applyNumberFormat="1" applyFont="1" applyFill="1" applyBorder="1" applyAlignment="1">
      <alignment horizontal="right" vertical="center" wrapText="1"/>
    </xf>
    <xf numFmtId="0" fontId="81" fillId="0" borderId="0" xfId="0" applyFont="1"/>
    <xf numFmtId="164" fontId="31" fillId="15" borderId="0" xfId="0" applyNumberFormat="1" applyFont="1" applyFill="1" applyAlignment="1">
      <alignment horizontal="left"/>
    </xf>
    <xf numFmtId="4" fontId="28" fillId="21" borderId="2" xfId="83" applyFill="1">
      <alignment horizontal="right" vertical="center"/>
    </xf>
    <xf numFmtId="4" fontId="50" fillId="0" borderId="2" xfId="76" applyFill="1">
      <alignment horizontal="right" vertical="center"/>
    </xf>
    <xf numFmtId="164" fontId="31" fillId="0" borderId="0" xfId="0" applyNumberFormat="1" applyFont="1" applyAlignment="1">
      <alignment horizontal="left" vertical="top" wrapText="1"/>
    </xf>
    <xf numFmtId="0" fontId="21" fillId="0" borderId="0" xfId="0" applyFont="1" applyAlignment="1">
      <alignment horizontal="left" vertical="top" wrapText="1"/>
    </xf>
    <xf numFmtId="0" fontId="20" fillId="0" borderId="0" xfId="8" applyFont="1" applyAlignment="1">
      <alignment horizontal="right"/>
    </xf>
    <xf numFmtId="0" fontId="20" fillId="0" borderId="0" xfId="0" applyFont="1" applyAlignment="1">
      <alignment horizontal="right"/>
    </xf>
    <xf numFmtId="0" fontId="19" fillId="0" borderId="0" xfId="0" applyFont="1" applyAlignment="1">
      <alignment horizontal="left" vertical="top" wrapText="1"/>
    </xf>
    <xf numFmtId="3" fontId="31" fillId="5" borderId="6" xfId="0" applyNumberFormat="1" applyFont="1" applyFill="1" applyBorder="1" applyAlignment="1">
      <alignment horizontal="right" wrapText="1"/>
    </xf>
    <xf numFmtId="3" fontId="31" fillId="5" borderId="5" xfId="0" applyNumberFormat="1" applyFont="1" applyFill="1" applyBorder="1" applyAlignment="1">
      <alignment horizontal="right" wrapText="1"/>
    </xf>
    <xf numFmtId="0" fontId="29" fillId="3" borderId="2" xfId="59" quotePrefix="1" applyAlignment="1">
      <alignment horizontal="center"/>
    </xf>
    <xf numFmtId="0" fontId="0" fillId="0" borderId="7" xfId="0" applyBorder="1" applyAlignment="1">
      <alignment horizontal="center"/>
    </xf>
    <xf numFmtId="3" fontId="31" fillId="5" borderId="6" xfId="0" applyNumberFormat="1" applyFont="1" applyFill="1" applyBorder="1" applyAlignment="1">
      <alignment horizontal="center" vertical="center" wrapText="1"/>
    </xf>
    <xf numFmtId="3" fontId="31" fillId="5" borderId="5" xfId="0" applyNumberFormat="1" applyFont="1" applyFill="1" applyBorder="1" applyAlignment="1">
      <alignment horizontal="center" vertical="center" wrapText="1"/>
    </xf>
    <xf numFmtId="0" fontId="29" fillId="3" borderId="11" xfId="59" applyBorder="1" applyAlignment="1">
      <alignment horizontal="center"/>
    </xf>
    <xf numFmtId="0" fontId="0" fillId="0" borderId="10" xfId="0" applyBorder="1" applyAlignment="1">
      <alignment horizontal="center"/>
    </xf>
    <xf numFmtId="0" fontId="29" fillId="3" borderId="19" xfId="59" quotePrefix="1" applyBorder="1" applyAlignment="1">
      <alignment horizontal="center"/>
    </xf>
    <xf numFmtId="0" fontId="0" fillId="0" borderId="20" xfId="0" applyBorder="1" applyAlignment="1">
      <alignment horizontal="center"/>
    </xf>
    <xf numFmtId="0" fontId="29" fillId="3" borderId="21" xfId="59" quotePrefix="1" applyBorder="1" applyAlignment="1">
      <alignment horizontal="center"/>
    </xf>
    <xf numFmtId="0" fontId="0" fillId="0" borderId="22" xfId="0" applyBorder="1" applyAlignment="1">
      <alignment horizontal="center"/>
    </xf>
    <xf numFmtId="0" fontId="29" fillId="3" borderId="27" xfId="59" quotePrefix="1" applyBorder="1" applyAlignment="1">
      <alignment horizontal="center"/>
    </xf>
    <xf numFmtId="0" fontId="0" fillId="0" borderId="28" xfId="0" applyBorder="1" applyAlignment="1">
      <alignment horizontal="center"/>
    </xf>
    <xf numFmtId="0" fontId="29" fillId="3" borderId="23" xfId="59" quotePrefix="1" applyBorder="1" applyAlignment="1">
      <alignment horizontal="center"/>
    </xf>
    <xf numFmtId="0" fontId="0" fillId="0" borderId="24" xfId="0" applyBorder="1" applyAlignment="1">
      <alignment horizontal="center"/>
    </xf>
    <xf numFmtId="0" fontId="28" fillId="2" borderId="14" xfId="62" quotePrefix="1" applyBorder="1" applyAlignment="1">
      <alignment horizontal="left" vertical="center"/>
    </xf>
    <xf numFmtId="0" fontId="0" fillId="0" borderId="15" xfId="0" applyBorder="1" applyAlignment="1">
      <alignment horizontal="left" vertical="center"/>
    </xf>
    <xf numFmtId="0" fontId="0" fillId="0" borderId="14" xfId="0" applyBorder="1" applyAlignment="1">
      <alignment horizontal="left" vertical="center"/>
    </xf>
    <xf numFmtId="0" fontId="28" fillId="2" borderId="13" xfId="62" quotePrefix="1" applyBorder="1" applyAlignment="1">
      <alignment horizontal="center" vertical="center"/>
    </xf>
    <xf numFmtId="0" fontId="28" fillId="2" borderId="14" xfId="62" quotePrefix="1" applyBorder="1" applyAlignment="1">
      <alignment horizontal="center" vertical="center"/>
    </xf>
    <xf numFmtId="0" fontId="28" fillId="2" borderId="25" xfId="62" quotePrefix="1" applyBorder="1" applyAlignment="1">
      <alignment horizontal="center" vertical="center"/>
    </xf>
    <xf numFmtId="0" fontId="0" fillId="0" borderId="26"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9" fillId="3" borderId="11" xfId="59" quotePrefix="1" applyBorder="1" applyAlignment="1">
      <alignment horizontal="center"/>
    </xf>
    <xf numFmtId="0" fontId="28" fillId="2" borderId="13" xfId="62" quotePrefix="1" applyBorder="1" applyAlignment="1">
      <alignment horizontal="left" vertical="center"/>
    </xf>
    <xf numFmtId="169" fontId="28" fillId="2" borderId="14" xfId="89" quotePrefix="1" applyBorder="1" applyAlignment="1">
      <alignment horizontal="left" vertical="center"/>
    </xf>
    <xf numFmtId="169" fontId="28" fillId="2" borderId="13" xfId="89" quotePrefix="1" applyBorder="1" applyAlignment="1">
      <alignment horizontal="left" vertical="center"/>
    </xf>
  </cellXfs>
  <cellStyles count="93">
    <cellStyle name="Euro" xfId="1" xr:uid="{00000000-0005-0000-0000-000000000000}"/>
    <cellStyle name="FUTURA9" xfId="2" xr:uid="{00000000-0005-0000-0000-000001000000}"/>
    <cellStyle name="Hipervínculo" xfId="67" builtinId="8"/>
    <cellStyle name="Hipervínculo 2" xfId="33" xr:uid="{00000000-0005-0000-0000-000002000000}"/>
    <cellStyle name="Millares" xfId="72" builtinId="3"/>
    <cellStyle name="MSTRStyle.All.c11_0c75425b-e4a8-4ede-ad3a-b7e420107163" xfId="28" xr:uid="{00000000-0005-0000-0000-000003000000}"/>
    <cellStyle name="MSTRStyle.All.c12_73f9af77-3b67-4e30-857e-a07fd4a2b3f5" xfId="24" xr:uid="{00000000-0005-0000-0000-000004000000}"/>
    <cellStyle name="MSTRStyle.All.c13_6b657269-c2f6-4112-b642-63cbe2217ce6" xfId="22" xr:uid="{00000000-0005-0000-0000-000005000000}"/>
    <cellStyle name="MSTRStyle.All.c14_299390cd-d429-49fc-85b2-53213256ee02" xfId="3" xr:uid="{00000000-0005-0000-0000-000006000000}"/>
    <cellStyle name="MSTRStyle.All.c15_2f4368de-db71-4a43-a39a-b7b0e4791d74" xfId="25" xr:uid="{00000000-0005-0000-0000-000007000000}"/>
    <cellStyle name="MSTRStyle.All.c2_1198c2cb-65a7-418f-8b21-ef92ba6b70e4" xfId="18" xr:uid="{00000000-0005-0000-0000-000008000000}"/>
    <cellStyle name="MSTRStyle.All.c20_6bd5dc4a-d28f-4b91-a6b3-a27c7bfb9777" xfId="30" xr:uid="{00000000-0005-0000-0000-000009000000}"/>
    <cellStyle name="MSTRStyle.All.c3_9f27800b-f169-4bc7-8559-5d9aa778b6fd" xfId="21" xr:uid="{00000000-0005-0000-0000-00000A000000}"/>
    <cellStyle name="MSTRStyle.All.c6_52bbba20-dd49-44ca-889f-10924ebd6a5c" xfId="29" xr:uid="{00000000-0005-0000-0000-00000B000000}"/>
    <cellStyle name="MSTRStyle.All.c7_67d71c51-d7a9-4ecd-a2d7-840811351f10" xfId="19" xr:uid="{00000000-0005-0000-0000-00000C000000}"/>
    <cellStyle name="MSTRStyle.Todos.c1_4ee6af08-3fa7-497d-9a2b-5d22f7f6cf92" xfId="60" xr:uid="{66164B93-65A2-4E6E-B59B-EC36A45BCEB7}"/>
    <cellStyle name="MSTRStyle.Todos.c10_9bc36f20-d62c-4100-864b-2ce3176c08a6" xfId="85" xr:uid="{261B1AE8-29B9-4A71-AA9D-0BA725F68BE1}"/>
    <cellStyle name="MSTRStyle.Todos.c10_de9580a1-3d58-45d3-983d-0121107db173" xfId="59" xr:uid="{61836922-CCE8-44D1-990A-53D4B3E60064}"/>
    <cellStyle name="MSTRStyle.Todos.c11_9aeed9a0-1dcd-4458-8a5a-e22ad423d2a7" xfId="61" xr:uid="{AD04831E-8F0D-44DA-A82B-4C5A049C56B7}"/>
    <cellStyle name="MSTRStyle.Todos.c12_04393f74-caef-4779-a1bc-97cad4e1637e" xfId="45" xr:uid="{00000000-0005-0000-0000-00000E000000}"/>
    <cellStyle name="MSTRStyle.Todos.c13_1f45c18f-f49f-4755-908b-10e38c2e3163" xfId="78" xr:uid="{FCA4B10E-EE33-4397-B99A-F7ACDA67DE9E}"/>
    <cellStyle name="MSTRStyle.Todos.c13_87d7be99-df52-4067-a8d4-177d9bcab94b" xfId="83" xr:uid="{64089B7B-23AC-438D-B3C4-ACDBAA48B765}"/>
    <cellStyle name="MSTRStyle.Todos.c13_d92a60c7-3384-450c-8b0a-9fbe5fb5c7c3" xfId="63" xr:uid="{B6CFFEE3-2AF7-4ACD-B09C-05F462785A20}"/>
    <cellStyle name="MSTRStyle.Todos.c14_8171157e-8634-46a0-a47a-5c0800996ebb" xfId="41" xr:uid="{00000000-0005-0000-0000-000012000000}"/>
    <cellStyle name="MSTRStyle.Todos.c14_b8d3d029-c173-4fcf-ae43-19c2dd645511" xfId="65" xr:uid="{ECA070B7-8A4D-48C9-9D41-34175596A91A}"/>
    <cellStyle name="MSTRStyle.Todos.c15_1869017a-483c-40ce-aa41-b6f875413ed5" xfId="44" xr:uid="{00000000-0005-0000-0000-000013000000}"/>
    <cellStyle name="MSTRStyle.Todos.c16_0aca6bba-6dd1-43cf-8f70-abc091d0aeea" xfId="46" xr:uid="{00000000-0005-0000-0000-000014000000}"/>
    <cellStyle name="MSTRStyle.Todos.c16_7aab6c13-c15e-4cc7-a790-8b1d94ffe91d" xfId="36" xr:uid="{00000000-0005-0000-0000-000015000000}"/>
    <cellStyle name="MSTRStyle.Todos.c17_1a192d30-97a0-4989-9b60-36f9de4cdbd3" xfId="39" xr:uid="{00000000-0005-0000-0000-000017000000}"/>
    <cellStyle name="MSTRStyle.Todos.c17_9190d45b-ffc1-4104-b4c7-224707feff3e" xfId="43" xr:uid="{00000000-0005-0000-0000-000018000000}"/>
    <cellStyle name="MSTRStyle.Todos.c18_f36069f7-de38-438b-b3cd-3bacd5cdcd0c" xfId="76" xr:uid="{A0A1DEDF-AF84-431B-A689-3E47D430E622}"/>
    <cellStyle name="MSTRStyle.Todos.c19_7343edcc-569a-472c-8862-ad65001299f7" xfId="38" xr:uid="{00000000-0005-0000-0000-000019000000}"/>
    <cellStyle name="MSTRStyle.Todos.c19_c1ff0363-a62d-4e9a-97ca-17fb1a91b079" xfId="90" xr:uid="{29A8B7B7-7830-43A1-86BF-EFA7A624D730}"/>
    <cellStyle name="MSTRStyle.Todos.c2_1770ca99-95a1-4c32-8caa-a84928ae86dc" xfId="53" xr:uid="{00000000-0005-0000-0000-00001B000000}"/>
    <cellStyle name="MSTRStyle.Todos.c20_de1d9886-14e4-479c-a87c-a544df53b72f" xfId="52" xr:uid="{00000000-0005-0000-0000-00001C000000}"/>
    <cellStyle name="MSTRStyle.Todos.c21_1034e7df-20b4-4851-ba48-f23813b54d16" xfId="37" xr:uid="{00000000-0005-0000-0000-00001D000000}"/>
    <cellStyle name="MSTRStyle.Todos.c21_cb9f42f7-34a6-413e-8dd7-0a195e3ae097" xfId="42" xr:uid="{00000000-0005-0000-0000-00001E000000}"/>
    <cellStyle name="MSTRStyle.Todos.c22_05f04fa5-a069-4698-b526-84b47104714b" xfId="75" xr:uid="{D4EBFC2B-A3B7-4888-9720-A4E461323554}"/>
    <cellStyle name="MSTRStyle.Todos.c22FB013911EA85FFC2610080EFD5BAAC_76fdbead-a11a-4d6e-9ddf-e574d99c4833" xfId="77" xr:uid="{9B3BCEA8-B04B-4414-8BCF-053019CD5067}"/>
    <cellStyle name="MSTRStyle.Todos.c23_a434b425-8db0-4990-aa7f-b71a4e2617de" xfId="40" xr:uid="{00000000-0005-0000-0000-000020000000}"/>
    <cellStyle name="MSTRStyle.Todos.c3_13bf36c8-3f00-44cb-ac7e-4b2798c4bf7a" xfId="54" xr:uid="{13F26237-7327-473B-B5B1-43CFE7AC2674}"/>
    <cellStyle name="MSTRStyle.Todos.c3_c4cc2c21-0e5a-4f1d-aa03-c8d867460512" xfId="62" xr:uid="{2FBEEFC6-4927-43EF-86CC-C2CB4E31433E}"/>
    <cellStyle name="MSTRStyle.Todos.c5E29F72711ED505700000080EF951C6B_c5dce312-fb35-46dd-8e75-db24d903cb28" xfId="88" xr:uid="{DD563A80-118E-42EB-949E-7F1BA88756B3}"/>
    <cellStyle name="MSTRStyle.Todos.c6_14b916b9-3928-4a37-b959-a4d2cc0d87c1" xfId="56" xr:uid="{C37C8868-6122-4FE6-BFB2-63E41E908936}"/>
    <cellStyle name="MSTRStyle.Todos.c6_45a13731-13c9-423a-be63-7c30eaced678" xfId="35" xr:uid="{00000000-0005-0000-0000-000023000000}"/>
    <cellStyle name="MSTRStyle.Todos.c6_61777fd2-1b09-4007-a1d9-90a6e78a2a7c" xfId="49" xr:uid="{00000000-0005-0000-0000-000024000000}"/>
    <cellStyle name="MSTRStyle.Todos.c6_6cb39904-4c30-4369-859d-02cae5e13fb8" xfId="89" xr:uid="{4B017D88-6E71-4CA9-A2EA-F3F4BDA8335E}"/>
    <cellStyle name="MSTRStyle.Todos.c7_43304d09-5b65-4e0e-9784-63a6af05ce89" xfId="50" xr:uid="{00000000-0005-0000-0000-000026000000}"/>
    <cellStyle name="MSTRStyle.Todos.c70D14ACA11EA32D01CD20080EFB5EA00_5fdec2cd-2afd-4a29-b530-7e0802ec361d" xfId="57" xr:uid="{49A4A61C-671E-4773-8499-88853451D819}"/>
    <cellStyle name="MSTRStyle.Todos.c70D153EE11EA32D01CD20080EFB5EA00_5427d19a-25a0-4d8a-94d3-5347b42308a2" xfId="58" xr:uid="{81B106EB-010C-44EF-BA24-2F1B8F78B25C}"/>
    <cellStyle name="MSTRStyle.Todos.c8_84f9e710-4ce8-4dfa-9724-f39923ad69e4" xfId="34" xr:uid="{00000000-0005-0000-0000-000027000000}"/>
    <cellStyle name="MSTRStyle.Todos.c9_78ea82b2-b25c-4386-8e66-cdd346d1bef0" xfId="55" xr:uid="{459C0C5C-EF2A-44AD-B890-04F2D55B19FA}"/>
    <cellStyle name="MSTRStyle.Todos.c90E4BB7911EAA65AC2610080EFB57AAD_f07eea07-c3ff-41b1-82da-2674436a3628" xfId="74" xr:uid="{642D75E5-BE96-4125-9F15-C402442EDC81}"/>
    <cellStyle name="MSTRStyle.Todos.cB9741C8011EA32D01CD20080EF058B01_45c5b83e-0976-42ec-8a77-fbb7bf985530" xfId="64" xr:uid="{B0ADF679-E4F8-4F3F-80C4-4333BB87D06E}"/>
    <cellStyle name="MSTRStyle.Todos.cB974281A11EA32D01CD20080EF058B01_e3608e4f-70c6-4e85-9df7-bb8af8595dd6" xfId="66" xr:uid="{3C216A56-6C36-4E2A-B160-75D8CE296AE0}"/>
    <cellStyle name="MSTRStyle.Todos.cD8A0D4CD11EA13A48B1B0080EF5575DA_366e978f-114a-4b5d-be20-800c36eeb15d" xfId="80" xr:uid="{13DC4E38-B73E-428C-9BFC-DE142B488BC1}"/>
    <cellStyle name="MSTRStyle.Todos.cFA43056511E9FB678F890080EFF52244_4ec8f762-4808-46be-a038-987e3097519d" xfId="73" xr:uid="{3F137070-9967-44D6-A7BC-3F3EA8CA6293}"/>
    <cellStyle name="Normal" xfId="0" builtinId="0"/>
    <cellStyle name="Normal 10" xfId="47" xr:uid="{00000000-0005-0000-0000-00002A000000}"/>
    <cellStyle name="Normal 11" xfId="51" xr:uid="{00000000-0005-0000-0000-00002B000000}"/>
    <cellStyle name="Normal 12" xfId="68" xr:uid="{70481923-B561-45D9-B815-6F3E40E58E42}"/>
    <cellStyle name="Normal 13" xfId="69" xr:uid="{F4CEF317-9534-4714-A33C-73D10F68157D}"/>
    <cellStyle name="Normal 14" xfId="70" xr:uid="{0C912CB0-5F3F-41CB-933B-8BBF2BD1891F}"/>
    <cellStyle name="Normal 15" xfId="71" xr:uid="{9C14DE39-61F6-4803-9D4C-50C086BDA55C}"/>
    <cellStyle name="Normal 16" xfId="79" xr:uid="{9E8EAD6E-6DBA-41E4-993F-5E886774A5DE}"/>
    <cellStyle name="Normal 17" xfId="81" xr:uid="{6046D703-8906-4AD6-A383-7897179C4955}"/>
    <cellStyle name="Normal 18" xfId="82" xr:uid="{5DF66136-CDFE-4A04-8587-EA9FF02EF8A5}"/>
    <cellStyle name="Normal 19" xfId="84" xr:uid="{CDCAEA77-3CE1-4541-BBAA-62EF90AD1B7C}"/>
    <cellStyle name="Normal 2" xfId="13" xr:uid="{00000000-0005-0000-0000-00002C000000}"/>
    <cellStyle name="Normal 2 2" xfId="91" xr:uid="{43E3660D-E118-4D08-9C85-407EEDF14FE1}"/>
    <cellStyle name="Normal 2 2 2" xfId="4" xr:uid="{00000000-0005-0000-0000-00002D000000}"/>
    <cellStyle name="Normal 20" xfId="86" xr:uid="{A79DDE69-9CF1-4FD9-8E32-07187CCE5DC8}"/>
    <cellStyle name="Normal 21" xfId="87" xr:uid="{ACD0ED57-34DF-4740-9CF0-3282C113B335}"/>
    <cellStyle name="Normal 22" xfId="92" xr:uid="{355B5799-480D-4FC9-B278-543BB6129D1B}"/>
    <cellStyle name="Normal 3" xfId="14" xr:uid="{00000000-0005-0000-0000-00002E000000}"/>
    <cellStyle name="Normal 4" xfId="5" xr:uid="{00000000-0005-0000-0000-00002F000000}"/>
    <cellStyle name="Normal 5" xfId="6" xr:uid="{00000000-0005-0000-0000-000030000000}"/>
    <cellStyle name="Normal 6" xfId="7" xr:uid="{00000000-0005-0000-0000-000031000000}"/>
    <cellStyle name="Normal 7" xfId="17" xr:uid="{00000000-0005-0000-0000-000032000000}"/>
    <cellStyle name="Normal 8" xfId="20" xr:uid="{00000000-0005-0000-0000-000033000000}"/>
    <cellStyle name="Normal 9" xfId="26" xr:uid="{00000000-0005-0000-0000-000034000000}"/>
    <cellStyle name="Normal 9 2" xfId="48" xr:uid="{00000000-0005-0000-0000-000035000000}"/>
    <cellStyle name="Normal_4.1.5" xfId="31" xr:uid="{00000000-0005-0000-0000-000036000000}"/>
    <cellStyle name="Normal_A1 Comparacion Internacional" xfId="8" xr:uid="{00000000-0005-0000-0000-000037000000}"/>
    <cellStyle name="Normal_A1 Comparacion Internacional 2" xfId="32" xr:uid="{00000000-0005-0000-0000-000038000000}"/>
    <cellStyle name="Normal_MAY_3_PAG_10-12" xfId="16" xr:uid="{00000000-0005-0000-0000-000039000000}"/>
    <cellStyle name="Normal_Requerimientos_ ofertas_ asignaci_n y utilizaci_n de Secundaria (Mensual-simple)" xfId="12" xr:uid="{00000000-0005-0000-0000-00003A000000}"/>
    <cellStyle name="Normal_Restricciones T_cnicas de Seguridad (Mensual-simple)" xfId="11" xr:uid="{00000000-0005-0000-0000-00003B000000}"/>
    <cellStyle name="Porcentaje" xfId="9" builtinId="5"/>
    <cellStyle name="Porcentaje 2" xfId="15" xr:uid="{00000000-0005-0000-0000-00003D000000}"/>
    <cellStyle name="Porcentaje 3" xfId="23" xr:uid="{00000000-0005-0000-0000-00003E000000}"/>
    <cellStyle name="Porcentaje 4" xfId="27" xr:uid="{00000000-0005-0000-0000-00003F000000}"/>
    <cellStyle name="Porcentual 2" xfId="10" xr:uid="{00000000-0005-0000-0000-000040000000}"/>
  </cellStyles>
  <dxfs count="8">
    <dxf>
      <font>
        <color theme="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1" defaultTableStyle="TableStyleMedium2" defaultPivotStyle="PivotStyleLight16">
    <tableStyle name="Invisible" pivot="0" table="0" count="0" xr9:uid="{8CD3BEC6-F677-4A33-A981-6D1D11F1A00A}"/>
  </tableStyles>
  <colors>
    <indexedColors>
      <rgbColor rgb="00000000"/>
      <rgbColor rgb="00FFFFFF"/>
      <rgbColor rgb="00FF0000"/>
      <rgbColor rgb="0000FF00"/>
      <rgbColor rgb="000000FF"/>
      <rgbColor rgb="00FFFF00"/>
      <rgbColor rgb="00FF00FF"/>
      <rgbColor rgb="0000FFFF"/>
      <rgbColor rgb="00004563"/>
      <rgbColor rgb="00FFFFFF"/>
      <rgbColor rgb="00DB0705"/>
      <rgbColor rgb="00005463"/>
      <rgbColor rgb="000000D4"/>
      <rgbColor rgb="00FCF305"/>
      <rgbColor rgb="00BB0000"/>
      <rgbColor rgb="0000570B"/>
      <rgbColor rgb="00900000"/>
      <rgbColor rgb="00006411"/>
      <rgbColor rgb="0085FC70"/>
      <rgbColor rgb="0090713A"/>
      <rgbColor rgb="004600A5"/>
      <rgbColor rgb="00008080"/>
      <rgbColor rgb="00C0C0C0"/>
      <rgbColor rgb="00808080"/>
      <rgbColor rgb="00B398B4"/>
      <rgbColor rgb="00802060"/>
      <rgbColor rgb="00FFFFC0"/>
      <rgbColor rgb="00A0E0E0"/>
      <rgbColor rgb="00600080"/>
      <rgbColor rgb="00FF8080"/>
      <rgbColor rgb="000080C0"/>
      <rgbColor rgb="00C0C0FF"/>
      <rgbColor rgb="00081959"/>
      <rgbColor rgb="00FFF9E9"/>
      <rgbColor rgb="00FFFF00"/>
      <rgbColor rgb="0000FFFF"/>
      <rgbColor rgb="00800080"/>
      <rgbColor rgb="00800000"/>
      <rgbColor rgb="00008080"/>
      <rgbColor rgb="00D6DF20"/>
      <rgbColor rgb="0000CFFF"/>
      <rgbColor rgb="0069FFFF"/>
      <rgbColor rgb="00E0FFE0"/>
      <rgbColor rgb="00FFFF80"/>
      <rgbColor rgb="00A6CAF0"/>
      <rgbColor rgb="00EECEDA"/>
      <rgbColor rgb="00B38FEE"/>
      <rgbColor rgb="00E3E3E3"/>
      <rgbColor rgb="002A6FF9"/>
      <rgbColor rgb="003FB8CD"/>
      <rgbColor rgb="00488436"/>
      <rgbColor rgb="00958C41"/>
      <rgbColor rgb="008E5E42"/>
      <rgbColor rgb="00A0627A"/>
      <rgbColor rgb="00624FAC"/>
      <rgbColor rgb="00969696"/>
      <rgbColor rgb="00DCDEF5"/>
      <rgbColor rgb="00CDF0DB"/>
      <rgbColor rgb="00FFF9E9"/>
      <rgbColor rgb="00F7D2C6"/>
      <rgbColor rgb="00BEF4FF"/>
      <rgbColor rgb="00EECED9"/>
      <rgbColor rgb="004A3285"/>
      <rgbColor rgb="00A6A6A6"/>
    </indexedColors>
    <mruColors>
      <color rgb="FFFFCC99"/>
      <color rgb="FFFFC000"/>
      <color rgb="FFFF9900"/>
      <color rgb="FFFFFFFF"/>
      <color rgb="FFF2F2F2"/>
      <color rgb="FF28A064"/>
      <color rgb="FF95B3D7"/>
      <color rgb="FF464394"/>
      <color rgb="FF9999FF"/>
      <color rgb="FFCFA2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30.xml"/><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458945069569453E-2"/>
          <c:y val="0.18150286769709345"/>
          <c:w val="0.88441902532453698"/>
          <c:h val="0.66557985807329645"/>
        </c:manualLayout>
      </c:layout>
      <c:areaChart>
        <c:grouping val="stacked"/>
        <c:varyColors val="0"/>
        <c:ser>
          <c:idx val="0"/>
          <c:order val="1"/>
          <c:tx>
            <c:v>Precio mínimo</c:v>
          </c:tx>
          <c:spPr>
            <a:solidFill>
              <a:srgbClr val="F2F2F2"/>
            </a:solidFill>
          </c:spPr>
          <c:val>
            <c:numRef>
              <c:f>Dat_01!$AA$8:$AA$38</c:f>
              <c:numCache>
                <c:formatCode>#,##0.00</c:formatCode>
                <c:ptCount val="31"/>
                <c:pt idx="0">
                  <c:v>52.784745150100001</c:v>
                </c:pt>
                <c:pt idx="1">
                  <c:v>55.01</c:v>
                </c:pt>
                <c:pt idx="2">
                  <c:v>73.9401345088</c:v>
                </c:pt>
                <c:pt idx="3">
                  <c:v>50.428821178699998</c:v>
                </c:pt>
                <c:pt idx="4">
                  <c:v>61.931974718699998</c:v>
                </c:pt>
                <c:pt idx="5">
                  <c:v>0</c:v>
                </c:pt>
                <c:pt idx="6">
                  <c:v>81.959687656100002</c:v>
                </c:pt>
                <c:pt idx="7">
                  <c:v>60.082410597500001</c:v>
                </c:pt>
                <c:pt idx="8">
                  <c:v>6.5002692876000001</c:v>
                </c:pt>
                <c:pt idx="9">
                  <c:v>28.757379639100002</c:v>
                </c:pt>
                <c:pt idx="10">
                  <c:v>50.465381618000002</c:v>
                </c:pt>
                <c:pt idx="11">
                  <c:v>60.126288385800002</c:v>
                </c:pt>
                <c:pt idx="12">
                  <c:v>74.657446135200004</c:v>
                </c:pt>
                <c:pt idx="13">
                  <c:v>88.882870019799995</c:v>
                </c:pt>
                <c:pt idx="14">
                  <c:v>86.314958107199999</c:v>
                </c:pt>
                <c:pt idx="15">
                  <c:v>94.752305801700004</c:v>
                </c:pt>
                <c:pt idx="16">
                  <c:v>112.05889700909999</c:v>
                </c:pt>
                <c:pt idx="17">
                  <c:v>96.852853274599994</c:v>
                </c:pt>
                <c:pt idx="18">
                  <c:v>100.1348031153</c:v>
                </c:pt>
                <c:pt idx="19">
                  <c:v>83.820191770500003</c:v>
                </c:pt>
                <c:pt idx="20">
                  <c:v>64.624762302400001</c:v>
                </c:pt>
                <c:pt idx="21">
                  <c:v>30.637786243899999</c:v>
                </c:pt>
                <c:pt idx="22">
                  <c:v>0.91249593839999998</c:v>
                </c:pt>
                <c:pt idx="23">
                  <c:v>3.2284236089</c:v>
                </c:pt>
                <c:pt idx="24">
                  <c:v>0</c:v>
                </c:pt>
                <c:pt idx="25">
                  <c:v>1.9267971192</c:v>
                </c:pt>
                <c:pt idx="26">
                  <c:v>3.78</c:v>
                </c:pt>
                <c:pt idx="27">
                  <c:v>1.98</c:v>
                </c:pt>
                <c:pt idx="28">
                  <c:v>11.104707891</c:v>
                </c:pt>
                <c:pt idx="29">
                  <c:v>0.72513260950000002</c:v>
                </c:pt>
                <c:pt idx="30">
                  <c:v>-0.44016648670000003</c:v>
                </c:pt>
              </c:numCache>
            </c:numRef>
          </c:val>
          <c:extLst>
            <c:ext xmlns:c16="http://schemas.microsoft.com/office/drawing/2014/chart" uri="{C3380CC4-5D6E-409C-BE32-E72D297353CC}">
              <c16:uniqueId val="{00000001-9F97-4626-80A4-AD849F207667}"/>
            </c:ext>
          </c:extLst>
        </c:ser>
        <c:ser>
          <c:idx val="2"/>
          <c:order val="2"/>
          <c:tx>
            <c:v>Precio máximo</c:v>
          </c:tx>
          <c:spPr>
            <a:solidFill>
              <a:schemeClr val="tx2">
                <a:lumMod val="40000"/>
                <a:lumOff val="60000"/>
              </a:schemeClr>
            </a:solidFill>
          </c:spPr>
          <c:val>
            <c:numRef>
              <c:f>Dat_01!$AN$8:$AN$38</c:f>
              <c:numCache>
                <c:formatCode>#,##0.00</c:formatCode>
                <c:ptCount val="31"/>
                <c:pt idx="0">
                  <c:v>56.119529974099997</c:v>
                </c:pt>
                <c:pt idx="1">
                  <c:v>52.028953576300005</c:v>
                </c:pt>
                <c:pt idx="2">
                  <c:v>34.126852745500003</c:v>
                </c:pt>
                <c:pt idx="3">
                  <c:v>47.263892104300005</c:v>
                </c:pt>
                <c:pt idx="4">
                  <c:v>61.763653003000009</c:v>
                </c:pt>
                <c:pt idx="5">
                  <c:v>117.96857347700001</c:v>
                </c:pt>
                <c:pt idx="6">
                  <c:v>52.969275789399987</c:v>
                </c:pt>
                <c:pt idx="7">
                  <c:v>47.300842373899997</c:v>
                </c:pt>
                <c:pt idx="8">
                  <c:v>84.746969787799998</c:v>
                </c:pt>
                <c:pt idx="9">
                  <c:v>97.522537142599987</c:v>
                </c:pt>
                <c:pt idx="10">
                  <c:v>52.718921200899992</c:v>
                </c:pt>
                <c:pt idx="11">
                  <c:v>59.514500374699999</c:v>
                </c:pt>
                <c:pt idx="12">
                  <c:v>65.997602473899988</c:v>
                </c:pt>
                <c:pt idx="13">
                  <c:v>77.262107793699997</c:v>
                </c:pt>
                <c:pt idx="14">
                  <c:v>51.90711461219999</c:v>
                </c:pt>
                <c:pt idx="15">
                  <c:v>62.108092930799984</c:v>
                </c:pt>
                <c:pt idx="16">
                  <c:v>43.166812029599996</c:v>
                </c:pt>
                <c:pt idx="17">
                  <c:v>80.451205951700018</c:v>
                </c:pt>
                <c:pt idx="18">
                  <c:v>83.005421446500009</c:v>
                </c:pt>
                <c:pt idx="19">
                  <c:v>43.434168403699999</c:v>
                </c:pt>
                <c:pt idx="20">
                  <c:v>34.595412845499993</c:v>
                </c:pt>
                <c:pt idx="21">
                  <c:v>51.327978518600005</c:v>
                </c:pt>
                <c:pt idx="22">
                  <c:v>106.2066452256</c:v>
                </c:pt>
                <c:pt idx="23">
                  <c:v>39.573944130599997</c:v>
                </c:pt>
                <c:pt idx="24">
                  <c:v>37.358304132999997</c:v>
                </c:pt>
                <c:pt idx="25">
                  <c:v>86.785935243599994</c:v>
                </c:pt>
                <c:pt idx="26">
                  <c:v>92.122449096300002</c:v>
                </c:pt>
                <c:pt idx="27">
                  <c:v>84.29293412349999</c:v>
                </c:pt>
                <c:pt idx="28">
                  <c:v>43.137187820600005</c:v>
                </c:pt>
                <c:pt idx="29">
                  <c:v>36.947250829699996</c:v>
                </c:pt>
                <c:pt idx="30">
                  <c:v>35.440166486700001</c:v>
                </c:pt>
              </c:numCache>
            </c:numRef>
          </c:val>
          <c:extLst>
            <c:ext xmlns:c16="http://schemas.microsoft.com/office/drawing/2014/chart" uri="{C3380CC4-5D6E-409C-BE32-E72D297353CC}">
              <c16:uniqueId val="{00000000-9F97-4626-80A4-AD849F207667}"/>
            </c:ext>
          </c:extLst>
        </c:ser>
        <c:dLbls>
          <c:showLegendKey val="0"/>
          <c:showVal val="0"/>
          <c:showCatName val="0"/>
          <c:showSerName val="0"/>
          <c:showPercent val="0"/>
          <c:showBubbleSize val="0"/>
        </c:dLbls>
        <c:axId val="404549504"/>
        <c:axId val="404549896"/>
      </c:areaChart>
      <c:lineChart>
        <c:grouping val="standard"/>
        <c:varyColors val="0"/>
        <c:ser>
          <c:idx val="1"/>
          <c:order val="0"/>
          <c:tx>
            <c:v>Precio medio</c:v>
          </c:tx>
          <c:marker>
            <c:symbol val="none"/>
          </c:marker>
          <c:cat>
            <c:numRef>
              <c:f>Dat_01!$AQ$8:$AQ$38</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Dat_01!$AC$8:$AC$38</c:f>
              <c:numCache>
                <c:formatCode>#,##0.00</c:formatCode>
                <c:ptCount val="31"/>
                <c:pt idx="0">
                  <c:v>80.7615387699</c:v>
                </c:pt>
                <c:pt idx="1">
                  <c:v>84.051031403899998</c:v>
                </c:pt>
                <c:pt idx="2">
                  <c:v>89.559846007700003</c:v>
                </c:pt>
                <c:pt idx="3">
                  <c:v>66.326763978700001</c:v>
                </c:pt>
                <c:pt idx="4">
                  <c:v>96.389938464099998</c:v>
                </c:pt>
                <c:pt idx="5">
                  <c:v>55.537017585299999</c:v>
                </c:pt>
                <c:pt idx="6">
                  <c:v>103.52590344550001</c:v>
                </c:pt>
                <c:pt idx="7">
                  <c:v>80.092615788800003</c:v>
                </c:pt>
                <c:pt idx="8">
                  <c:v>50.129476558999997</c:v>
                </c:pt>
                <c:pt idx="9">
                  <c:v>69.059946008799997</c:v>
                </c:pt>
                <c:pt idx="10">
                  <c:v>77.837112332800004</c:v>
                </c:pt>
                <c:pt idx="11">
                  <c:v>88.866544541400003</c:v>
                </c:pt>
                <c:pt idx="12">
                  <c:v>96.477812082400007</c:v>
                </c:pt>
                <c:pt idx="13">
                  <c:v>117.2481616047</c:v>
                </c:pt>
                <c:pt idx="14">
                  <c:v>106.6628760479</c:v>
                </c:pt>
                <c:pt idx="15">
                  <c:v>120.1438208008</c:v>
                </c:pt>
                <c:pt idx="16">
                  <c:v>127.6647540766</c:v>
                </c:pt>
                <c:pt idx="17">
                  <c:v>119.411771277</c:v>
                </c:pt>
                <c:pt idx="18">
                  <c:v>131.81146444199999</c:v>
                </c:pt>
                <c:pt idx="19">
                  <c:v>101.9527109383</c:v>
                </c:pt>
                <c:pt idx="20">
                  <c:v>82.999293949899993</c:v>
                </c:pt>
                <c:pt idx="21">
                  <c:v>60.208077373999998</c:v>
                </c:pt>
                <c:pt idx="22">
                  <c:v>35.221737892100002</c:v>
                </c:pt>
                <c:pt idx="23">
                  <c:v>20.145460739299999</c:v>
                </c:pt>
                <c:pt idx="24">
                  <c:v>11.588827866000001</c:v>
                </c:pt>
                <c:pt idx="25">
                  <c:v>36.4171049901</c:v>
                </c:pt>
                <c:pt idx="26">
                  <c:v>28.989860778800001</c:v>
                </c:pt>
                <c:pt idx="27">
                  <c:v>28.017886415300001</c:v>
                </c:pt>
                <c:pt idx="28">
                  <c:v>26.644481085100001</c:v>
                </c:pt>
                <c:pt idx="29">
                  <c:v>13.102614770800001</c:v>
                </c:pt>
                <c:pt idx="30">
                  <c:v>5.9463488509999998</c:v>
                </c:pt>
              </c:numCache>
            </c:numRef>
          </c:val>
          <c:smooth val="0"/>
          <c:extLst>
            <c:ext xmlns:c16="http://schemas.microsoft.com/office/drawing/2014/chart" uri="{C3380CC4-5D6E-409C-BE32-E72D297353CC}">
              <c16:uniqueId val="{00000002-9F97-4626-80A4-AD849F207667}"/>
            </c:ext>
          </c:extLst>
        </c:ser>
        <c:dLbls>
          <c:showLegendKey val="0"/>
          <c:showVal val="0"/>
          <c:showCatName val="0"/>
          <c:showSerName val="0"/>
          <c:showPercent val="0"/>
          <c:showBubbleSize val="0"/>
        </c:dLbls>
        <c:marker val="1"/>
        <c:smooth val="0"/>
        <c:axId val="404549504"/>
        <c:axId val="404549896"/>
      </c:lineChart>
      <c:catAx>
        <c:axId val="404549504"/>
        <c:scaling>
          <c:orientation val="minMax"/>
        </c:scaling>
        <c:delete val="0"/>
        <c:axPos val="b"/>
        <c:numFmt formatCode="General" sourceLinked="1"/>
        <c:majorTickMark val="none"/>
        <c:minorTickMark val="none"/>
        <c:tickLblPos val="low"/>
        <c:spPr>
          <a:ln w="3175">
            <a:noFill/>
            <a:prstDash val="solid"/>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896"/>
        <c:crosses val="autoZero"/>
        <c:auto val="1"/>
        <c:lblAlgn val="ctr"/>
        <c:lblOffset val="100"/>
        <c:noMultiLvlLbl val="0"/>
      </c:catAx>
      <c:valAx>
        <c:axId val="404549896"/>
        <c:scaling>
          <c:orientation val="minMax"/>
        </c:scaling>
        <c:delete val="0"/>
        <c:axPos val="l"/>
        <c:majorGridlines/>
        <c:title>
          <c:tx>
            <c:rich>
              <a:bodyPr rot="0" vert="horz"/>
              <a:lstStyle/>
              <a:p>
                <a:pPr algn="ctr">
                  <a:defRPr sz="800" b="0" i="0" u="none" strike="noStrike" baseline="0">
                    <a:solidFill>
                      <a:srgbClr val="004563"/>
                    </a:solidFill>
                    <a:latin typeface="Helv"/>
                    <a:ea typeface="Helv"/>
                    <a:cs typeface="Helv"/>
                  </a:defRPr>
                </a:pPr>
                <a:r>
                  <a:rPr lang="es-ES">
                    <a:solidFill>
                      <a:srgbClr val="004563"/>
                    </a:solidFill>
                  </a:rPr>
                  <a:t>€/MWh</a:t>
                </a:r>
              </a:p>
            </c:rich>
          </c:tx>
          <c:layout>
            <c:manualLayout>
              <c:xMode val="edge"/>
              <c:yMode val="edge"/>
              <c:x val="1.4598496133929178E-2"/>
              <c:y val="9.1525423728818792E-2"/>
            </c:manualLayout>
          </c:layout>
          <c:overlay val="0"/>
          <c:spPr>
            <a:noFill/>
            <a:ln w="25400">
              <a:noFill/>
            </a:ln>
          </c:spPr>
        </c:title>
        <c:numFmt formatCode="0" sourceLinked="0"/>
        <c:majorTickMark val="out"/>
        <c:minorTickMark val="none"/>
        <c:tickLblPos val="nextTo"/>
        <c:spPr>
          <a:ln w="9525">
            <a:noFill/>
          </a:ln>
        </c:spPr>
        <c:txPr>
          <a:bodyPr rot="0" vert="horz"/>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4549504"/>
        <c:crosses val="autoZero"/>
        <c:crossBetween val="between"/>
        <c:minorUnit val="10"/>
      </c:valAx>
      <c:spPr>
        <a:solidFill>
          <a:srgbClr val="F2F2F2"/>
        </a:solidFill>
        <a:ln w="25400">
          <a:noFill/>
        </a:ln>
      </c:spPr>
    </c:plotArea>
    <c:legend>
      <c:legendPos val="t"/>
      <c:legendEntry>
        <c:idx val="0"/>
        <c:delete val="1"/>
      </c:legendEntry>
      <c:legendEntry>
        <c:idx val="1"/>
        <c:delete val="1"/>
      </c:legendEntry>
      <c:legendEntry>
        <c:idx val="2"/>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legendEntry>
      <c:overlay val="0"/>
    </c:legend>
    <c:plotVisOnly val="1"/>
    <c:dispBlanksAs val="zero"/>
    <c:showDLblsOverMax val="0"/>
  </c:chart>
  <c:spPr>
    <a:solidFill>
      <a:srgbClr val="F2F2F2"/>
    </a:solidFill>
    <a:ln w="9525">
      <a:noFill/>
    </a:ln>
  </c:spPr>
  <c:txPr>
    <a:bodyPr/>
    <a:lstStyle/>
    <a:p>
      <a:pPr>
        <a:defRPr sz="600" b="0" i="0" u="none" strike="noStrike" baseline="0">
          <a:solidFill>
            <a:srgbClr val="000000"/>
          </a:solidFill>
          <a:latin typeface="Helv"/>
          <a:ea typeface="Helv"/>
          <a:cs typeface="Helv"/>
        </a:defRPr>
      </a:pPr>
      <a:endParaRPr lang="es-ES"/>
    </a:p>
  </c:txPr>
  <c:printSettings>
    <c:headerFooter/>
    <c:pageMargins b="0.75000000000001465" l="0.70000000000000062" r="0.70000000000000062" t="0.75000000000001465" header="0.30000000000000032" footer="0.30000000000000032"/>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93111346282373E-2"/>
          <c:y val="3.7659765548332613E-2"/>
          <c:w val="0.90234727490582289"/>
          <c:h val="0.8266986520009546"/>
        </c:manualLayout>
      </c:layout>
      <c:barChart>
        <c:barDir val="col"/>
        <c:grouping val="clustered"/>
        <c:varyColors val="0"/>
        <c:ser>
          <c:idx val="0"/>
          <c:order val="0"/>
          <c:tx>
            <c:v>Potencia media a subir</c:v>
          </c:tx>
          <c:spPr>
            <a:solidFill>
              <a:srgbClr val="007AB0"/>
            </a:solidFill>
          </c:spPr>
          <c:invertIfNegative val="0"/>
          <c:val>
            <c:numRef>
              <c:f>Dat_01!#REF!</c:f>
              <c:numCache>
                <c:formatCode>General</c:formatCode>
                <c:ptCount val="1"/>
                <c:pt idx="0">
                  <c:v>1</c:v>
                </c:pt>
              </c:numCache>
            </c:numRef>
          </c:val>
          <c:extLst>
            <c:ext xmlns:c16="http://schemas.microsoft.com/office/drawing/2014/chart" uri="{C3380CC4-5D6E-409C-BE32-E72D297353CC}">
              <c16:uniqueId val="{00000001-B814-4A22-93AF-AC4A71005C3B}"/>
            </c:ext>
          </c:extLst>
        </c:ser>
        <c:ser>
          <c:idx val="10"/>
          <c:order val="1"/>
          <c:tx>
            <c:v>Potencia media a bajar</c:v>
          </c:tx>
          <c:spPr>
            <a:solidFill>
              <a:srgbClr val="0090D1"/>
            </a:solidFill>
            <a:ln w="25400">
              <a:noFill/>
            </a:ln>
          </c:spPr>
          <c:invertIfNegative val="0"/>
          <c:val>
            <c:numRef>
              <c:f>Dat_01!$B$185:$N$185</c:f>
              <c:numCache>
                <c:formatCode>#,##0</c:formatCode>
                <c:ptCount val="13"/>
              </c:numCache>
            </c:numRef>
          </c:val>
          <c:extLst>
            <c:ext xmlns:c16="http://schemas.microsoft.com/office/drawing/2014/chart" uri="{C3380CC4-5D6E-409C-BE32-E72D297353CC}">
              <c16:uniqueId val="{00000000-B814-4A22-93AF-AC4A71005C3B}"/>
            </c:ext>
          </c:extLst>
        </c:ser>
        <c:dLbls>
          <c:showLegendKey val="0"/>
          <c:showVal val="0"/>
          <c:showCatName val="0"/>
          <c:showSerName val="0"/>
          <c:showPercent val="0"/>
          <c:showBubbleSize val="0"/>
        </c:dLbls>
        <c:gapWidth val="150"/>
        <c:overlap val="100"/>
        <c:axId val="403144144"/>
        <c:axId val="403143752"/>
      </c:barChart>
      <c:lineChart>
        <c:grouping val="standard"/>
        <c:varyColors val="0"/>
        <c:ser>
          <c:idx val="1"/>
          <c:order val="2"/>
          <c:tx>
            <c:v>Precio medio</c:v>
          </c:tx>
          <c:spPr>
            <a:ln>
              <a:solidFill>
                <a:srgbClr val="004563"/>
              </a:solidFill>
            </a:ln>
          </c:spPr>
          <c:marker>
            <c:symbol val="none"/>
          </c:marker>
          <c:val>
            <c:numRef>
              <c:f>Dat_01!$C$416:$O$416</c:f>
              <c:numCache>
                <c:formatCode>#,##0.00</c:formatCode>
                <c:ptCount val="13"/>
                <c:pt idx="0">
                  <c:v>37.464347836400002</c:v>
                </c:pt>
                <c:pt idx="1">
                  <c:v>26.586120180000002</c:v>
                </c:pt>
                <c:pt idx="2">
                  <c:v>29.008521289200001</c:v>
                </c:pt>
                <c:pt idx="3">
                  <c:v>18.106053319000001</c:v>
                </c:pt>
                <c:pt idx="4">
                  <c:v>17.670425277900002</c:v>
                </c:pt>
                <c:pt idx="5">
                  <c:v>12.5788518301</c:v>
                </c:pt>
                <c:pt idx="6">
                  <c:v>13.7043949349</c:v>
                </c:pt>
                <c:pt idx="7">
                  <c:v>18.185907200199999</c:v>
                </c:pt>
                <c:pt idx="8">
                  <c:v>24.3133326757</c:v>
                </c:pt>
                <c:pt idx="9">
                  <c:v>16.621921591100001</c:v>
                </c:pt>
                <c:pt idx="10">
                  <c:v>18.8662189675</c:v>
                </c:pt>
                <c:pt idx="11">
                  <c:v>13.108400383799999</c:v>
                </c:pt>
                <c:pt idx="12">
                  <c:v>10.8123653194</c:v>
                </c:pt>
              </c:numCache>
            </c:numRef>
          </c:val>
          <c:smooth val="0"/>
          <c:extLst>
            <c:ext xmlns:c16="http://schemas.microsoft.com/office/drawing/2014/chart" uri="{C3380CC4-5D6E-409C-BE32-E72D297353CC}">
              <c16:uniqueId val="{00000002-B814-4A22-93AF-AC4A71005C3B}"/>
            </c:ext>
          </c:extLst>
        </c:ser>
        <c:dLbls>
          <c:showLegendKey val="0"/>
          <c:showVal val="0"/>
          <c:showCatName val="0"/>
          <c:showSerName val="0"/>
          <c:showPercent val="0"/>
          <c:showBubbleSize val="0"/>
        </c:dLbls>
        <c:marker val="1"/>
        <c:smooth val="0"/>
        <c:axId val="1440999263"/>
        <c:axId val="1441007903"/>
      </c:lineChart>
      <c:valAx>
        <c:axId val="403143752"/>
        <c:scaling>
          <c:orientation val="maxMin"/>
          <c:max val="1400"/>
          <c:min val="0"/>
        </c:scaling>
        <c:delete val="0"/>
        <c:axPos val="l"/>
        <c:majorGridlines>
          <c:spPr>
            <a:ln>
              <a:prstDash val="sysDot"/>
            </a:ln>
          </c:spPr>
        </c:majorGridlines>
        <c:numFmt formatCode="#,##0" sourceLinked="0"/>
        <c:majorTickMark val="out"/>
        <c:minorTickMark val="none"/>
        <c:tickLblPos val="nextTo"/>
        <c:txPr>
          <a:bodyPr/>
          <a:lstStyle/>
          <a:p>
            <a:pPr>
              <a:defRPr>
                <a:solidFill>
                  <a:srgbClr val="004563"/>
                </a:solidFill>
              </a:defRPr>
            </a:pPr>
            <a:endParaRPr lang="es-ES"/>
          </a:p>
        </c:txPr>
        <c:crossAx val="403144144"/>
        <c:crosses val="autoZero"/>
        <c:crossBetween val="between"/>
      </c:valAx>
      <c:catAx>
        <c:axId val="403144144"/>
        <c:scaling>
          <c:orientation val="minMax"/>
        </c:scaling>
        <c:delete val="1"/>
        <c:axPos val="t"/>
        <c:numFmt formatCode="General" sourceLinked="1"/>
        <c:majorTickMark val="out"/>
        <c:minorTickMark val="none"/>
        <c:tickLblPos val="nextTo"/>
        <c:crossAx val="403143752"/>
        <c:crosses val="autoZero"/>
        <c:auto val="1"/>
        <c:lblAlgn val="ctr"/>
        <c:lblOffset val="100"/>
        <c:noMultiLvlLbl val="0"/>
      </c:catAx>
      <c:valAx>
        <c:axId val="1441007903"/>
        <c:scaling>
          <c:orientation val="maxMin"/>
          <c:max val="84"/>
        </c:scaling>
        <c:delete val="0"/>
        <c:axPos val="r"/>
        <c:numFmt formatCode="#,##0" sourceLinked="0"/>
        <c:majorTickMark val="out"/>
        <c:minorTickMark val="none"/>
        <c:tickLblPos val="nextTo"/>
        <c:spPr>
          <a:ln>
            <a:noFill/>
          </a:ln>
        </c:spPr>
        <c:crossAx val="1440999263"/>
        <c:crosses val="max"/>
        <c:crossBetween val="between"/>
        <c:majorUnit val="12"/>
      </c:valAx>
      <c:catAx>
        <c:axId val="1440999263"/>
        <c:scaling>
          <c:orientation val="minMax"/>
        </c:scaling>
        <c:delete val="1"/>
        <c:axPos val="t"/>
        <c:majorTickMark val="out"/>
        <c:minorTickMark val="none"/>
        <c:tickLblPos val="nextTo"/>
        <c:crossAx val="1441007903"/>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18887794862755325"/>
          <c:y val="0.88952543666091277"/>
          <c:w val="0.58006603466381956"/>
          <c:h val="0.11047431432200966"/>
        </c:manualLayout>
      </c:layout>
      <c:overlay val="0"/>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v>Energía a subir</c:v>
          </c:tx>
          <c:spPr>
            <a:solidFill>
              <a:srgbClr val="007AB0"/>
            </a:solidFill>
            <a:ln>
              <a:noFill/>
            </a:ln>
            <a:effectLst/>
          </c:spPr>
          <c:invertIfNegative val="0"/>
          <c:cat>
            <c:strRef>
              <c:f>Dat_01!$B$180:$N$180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Dat_01!$B$192:$N$192</c:f>
              <c:numCache>
                <c:formatCode>#,##0;\(#,##0\)</c:formatCode>
                <c:ptCount val="13"/>
                <c:pt idx="0">
                  <c:v>73.119370000000004</c:v>
                </c:pt>
                <c:pt idx="1">
                  <c:v>59.611581999999999</c:v>
                </c:pt>
                <c:pt idx="2">
                  <c:v>81.554850999999999</c:v>
                </c:pt>
                <c:pt idx="3">
                  <c:v>85.516738000000004</c:v>
                </c:pt>
                <c:pt idx="4">
                  <c:v>100.845438</c:v>
                </c:pt>
                <c:pt idx="5">
                  <c:v>88.146169</c:v>
                </c:pt>
                <c:pt idx="6">
                  <c:v>58.699295999999997</c:v>
                </c:pt>
                <c:pt idx="7">
                  <c:v>71.704355000000007</c:v>
                </c:pt>
                <c:pt idx="8">
                  <c:v>68.034813999999997</c:v>
                </c:pt>
                <c:pt idx="9">
                  <c:v>90.106879000000006</c:v>
                </c:pt>
                <c:pt idx="10">
                  <c:v>88.275216</c:v>
                </c:pt>
                <c:pt idx="11">
                  <c:v>92.510457000000002</c:v>
                </c:pt>
                <c:pt idx="12">
                  <c:v>92.520251000000002</c:v>
                </c:pt>
              </c:numCache>
            </c:numRef>
          </c:val>
          <c:extLst>
            <c:ext xmlns:c16="http://schemas.microsoft.com/office/drawing/2014/chart" uri="{C3380CC4-5D6E-409C-BE32-E72D297353CC}">
              <c16:uniqueId val="{00000000-D85F-4E73-9069-EBA282BB923C}"/>
            </c:ext>
          </c:extLst>
        </c:ser>
        <c:dLbls>
          <c:showLegendKey val="0"/>
          <c:showVal val="0"/>
          <c:showCatName val="0"/>
          <c:showSerName val="0"/>
          <c:showPercent val="0"/>
          <c:showBubbleSize val="0"/>
        </c:dLbls>
        <c:gapWidth val="150"/>
        <c:overlap val="100"/>
        <c:axId val="403144928"/>
        <c:axId val="403145320"/>
      </c:barChart>
      <c:lineChart>
        <c:grouping val="standard"/>
        <c:varyColors val="0"/>
        <c:ser>
          <c:idx val="2"/>
          <c:order val="1"/>
          <c:tx>
            <c:v>Precio medio</c:v>
          </c:tx>
          <c:spPr>
            <a:ln w="28575" cap="rnd">
              <a:solidFill>
                <a:srgbClr val="004563"/>
              </a:solidFill>
              <a:round/>
            </a:ln>
            <a:effectLst/>
          </c:spPr>
          <c:marker>
            <c:symbol val="circle"/>
            <c:size val="6"/>
            <c:spPr>
              <a:noFill/>
              <a:ln w="9525">
                <a:noFill/>
              </a:ln>
              <a:effectLst/>
            </c:spPr>
          </c:marker>
          <c:cat>
            <c:strRef>
              <c:f>Dat_01!$B$181:$N$181</c:f>
              <c:strCache>
                <c:ptCount val="13"/>
                <c:pt idx="0">
                  <c:v>2025 Enero</c:v>
                </c:pt>
                <c:pt idx="1">
                  <c:v>2025 Febrero</c:v>
                </c:pt>
                <c:pt idx="2">
                  <c:v>2025 Marzo</c:v>
                </c:pt>
                <c:pt idx="3">
                  <c:v>2025 Abril</c:v>
                </c:pt>
                <c:pt idx="4">
                  <c:v>2025 Mayo</c:v>
                </c:pt>
                <c:pt idx="5">
                  <c:v>2025 Junio</c:v>
                </c:pt>
                <c:pt idx="6">
                  <c:v>2025 Julio</c:v>
                </c:pt>
                <c:pt idx="7">
                  <c:v>2025 Agosto</c:v>
                </c:pt>
                <c:pt idx="8">
                  <c:v>2025 Septiembre</c:v>
                </c:pt>
                <c:pt idx="9">
                  <c:v>2025 Octubre</c:v>
                </c:pt>
                <c:pt idx="10">
                  <c:v>2025 Noviembre</c:v>
                </c:pt>
                <c:pt idx="11">
                  <c:v>2025 Diciembre</c:v>
                </c:pt>
                <c:pt idx="12">
                  <c:v>2026 Enero</c:v>
                </c:pt>
              </c:strCache>
            </c:strRef>
          </c:cat>
          <c:val>
            <c:numRef>
              <c:f>Dat_01!$C$413:$O$413</c:f>
              <c:numCache>
                <c:formatCode>#,##0.00</c:formatCode>
                <c:ptCount val="13"/>
                <c:pt idx="0">
                  <c:v>133.31983673260001</c:v>
                </c:pt>
                <c:pt idx="1">
                  <c:v>140.03264444760001</c:v>
                </c:pt>
                <c:pt idx="2">
                  <c:v>120.096505014</c:v>
                </c:pt>
                <c:pt idx="3">
                  <c:v>77.523932633800001</c:v>
                </c:pt>
                <c:pt idx="4">
                  <c:v>63.343057325899998</c:v>
                </c:pt>
                <c:pt idx="5">
                  <c:v>112.625288936</c:v>
                </c:pt>
                <c:pt idx="6">
                  <c:v>110.444987815</c:v>
                </c:pt>
                <c:pt idx="7">
                  <c:v>98.521136264800006</c:v>
                </c:pt>
                <c:pt idx="8">
                  <c:v>101.9472367099</c:v>
                </c:pt>
                <c:pt idx="9">
                  <c:v>97.886706690099999</c:v>
                </c:pt>
                <c:pt idx="10">
                  <c:v>88.113274485000005</c:v>
                </c:pt>
                <c:pt idx="11">
                  <c:v>96.135054601199997</c:v>
                </c:pt>
                <c:pt idx="12">
                  <c:v>104.8609944799</c:v>
                </c:pt>
              </c:numCache>
            </c:numRef>
          </c:val>
          <c:smooth val="0"/>
          <c:extLst>
            <c:ext xmlns:c16="http://schemas.microsoft.com/office/drawing/2014/chart" uri="{C3380CC4-5D6E-409C-BE32-E72D297353CC}">
              <c16:uniqueId val="{00000001-D85F-4E73-9069-EBA282BB923C}"/>
            </c:ext>
          </c:extLst>
        </c:ser>
        <c:dLbls>
          <c:showLegendKey val="0"/>
          <c:showVal val="0"/>
          <c:showCatName val="0"/>
          <c:showSerName val="0"/>
          <c:showPercent val="0"/>
          <c:showBubbleSize val="0"/>
        </c:dLbls>
        <c:marker val="1"/>
        <c:smooth val="0"/>
        <c:axId val="1990767184"/>
        <c:axId val="1990780496"/>
      </c:lineChart>
      <c:catAx>
        <c:axId val="403144928"/>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5320"/>
        <c:crosses val="autoZero"/>
        <c:auto val="1"/>
        <c:lblAlgn val="ctr"/>
        <c:lblOffset val="100"/>
        <c:noMultiLvlLbl val="1"/>
      </c:catAx>
      <c:valAx>
        <c:axId val="403145320"/>
        <c:scaling>
          <c:orientation val="minMax"/>
          <c:max val="180"/>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GWh</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4928"/>
        <c:crosses val="autoZero"/>
        <c:crossBetween val="between"/>
        <c:majorUnit val="20"/>
        <c:minorUnit val="10"/>
      </c:valAx>
      <c:valAx>
        <c:axId val="1990780496"/>
        <c:scaling>
          <c:orientation val="minMax"/>
          <c:min val="-9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1990767184"/>
        <c:crosses val="max"/>
        <c:crossBetween val="between"/>
        <c:majorUnit val="30"/>
      </c:valAx>
      <c:catAx>
        <c:axId val="1990767184"/>
        <c:scaling>
          <c:orientation val="minMax"/>
        </c:scaling>
        <c:delete val="1"/>
        <c:axPos val="b"/>
        <c:numFmt formatCode="General" sourceLinked="1"/>
        <c:majorTickMark val="out"/>
        <c:minorTickMark val="none"/>
        <c:tickLblPos val="nextTo"/>
        <c:crossAx val="199078049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111346282373E-2"/>
          <c:y val="3.7659765548332613E-2"/>
          <c:w val="0.90234727490582289"/>
          <c:h val="0.8266986520009546"/>
        </c:manualLayout>
      </c:layout>
      <c:barChart>
        <c:barDir val="col"/>
        <c:grouping val="stacked"/>
        <c:varyColors val="0"/>
        <c:ser>
          <c:idx val="10"/>
          <c:order val="0"/>
          <c:tx>
            <c:v>Energía a subir</c:v>
          </c:tx>
          <c:spPr>
            <a:solidFill>
              <a:srgbClr val="007AB0"/>
            </a:solidFill>
            <a:ln w="25400">
              <a:noFill/>
            </a:ln>
          </c:spPr>
          <c:invertIfNegative val="0"/>
          <c:cat>
            <c:strRef>
              <c:f>Dat_01!$B$187:$N$187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Dat_01!$B$193:$N$193</c:f>
              <c:numCache>
                <c:formatCode>General</c:formatCode>
                <c:ptCount val="13"/>
              </c:numCache>
            </c:numRef>
          </c:val>
          <c:extLst>
            <c:ext xmlns:c16="http://schemas.microsoft.com/office/drawing/2014/chart" uri="{C3380CC4-5D6E-409C-BE32-E72D297353CC}">
              <c16:uniqueId val="{00000000-0D40-469F-A1D4-30CF56672232}"/>
            </c:ext>
          </c:extLst>
        </c:ser>
        <c:ser>
          <c:idx val="1"/>
          <c:order val="1"/>
          <c:tx>
            <c:v>Energía a bajar</c:v>
          </c:tx>
          <c:spPr>
            <a:solidFill>
              <a:srgbClr val="0090D1"/>
            </a:solidFill>
          </c:spPr>
          <c:invertIfNegative val="0"/>
          <c:cat>
            <c:strRef>
              <c:f>Dat_01!$B$187:$N$187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Dat_01!$B$191:$N$191</c:f>
              <c:numCache>
                <c:formatCode>#,##0;\(#,##0\)</c:formatCode>
                <c:ptCount val="13"/>
                <c:pt idx="0">
                  <c:v>77.682462000000001</c:v>
                </c:pt>
                <c:pt idx="1">
                  <c:v>84.822263000000007</c:v>
                </c:pt>
                <c:pt idx="2">
                  <c:v>105.459892</c:v>
                </c:pt>
                <c:pt idx="3">
                  <c:v>92.657791000000003</c:v>
                </c:pt>
                <c:pt idx="4">
                  <c:v>95.844481999999999</c:v>
                </c:pt>
                <c:pt idx="5">
                  <c:v>72.700210999999996</c:v>
                </c:pt>
                <c:pt idx="6">
                  <c:v>80.985911000000002</c:v>
                </c:pt>
                <c:pt idx="7">
                  <c:v>71.164877000000004</c:v>
                </c:pt>
                <c:pt idx="8">
                  <c:v>86.558627999999999</c:v>
                </c:pt>
                <c:pt idx="9">
                  <c:v>64.755118999999993</c:v>
                </c:pt>
                <c:pt idx="10">
                  <c:v>78.213511999999994</c:v>
                </c:pt>
                <c:pt idx="11">
                  <c:v>49.694707000000001</c:v>
                </c:pt>
                <c:pt idx="12">
                  <c:v>88.198836999999997</c:v>
                </c:pt>
              </c:numCache>
            </c:numRef>
          </c:val>
          <c:extLst>
            <c:ext xmlns:c16="http://schemas.microsoft.com/office/drawing/2014/chart" uri="{C3380CC4-5D6E-409C-BE32-E72D297353CC}">
              <c16:uniqueId val="{00000001-0D40-469F-A1D4-30CF56672232}"/>
            </c:ext>
          </c:extLst>
        </c:ser>
        <c:dLbls>
          <c:showLegendKey val="0"/>
          <c:showVal val="0"/>
          <c:showCatName val="0"/>
          <c:showSerName val="0"/>
          <c:showPercent val="0"/>
          <c:showBubbleSize val="0"/>
        </c:dLbls>
        <c:gapWidth val="150"/>
        <c:overlap val="100"/>
        <c:axId val="403147280"/>
        <c:axId val="403146888"/>
      </c:barChart>
      <c:lineChart>
        <c:grouping val="standard"/>
        <c:varyColors val="0"/>
        <c:ser>
          <c:idx val="0"/>
          <c:order val="2"/>
          <c:tx>
            <c:v>Precio medio subir</c:v>
          </c:tx>
          <c:spPr>
            <a:ln>
              <a:solidFill>
                <a:srgbClr val="004563"/>
              </a:solidFill>
            </a:ln>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1-0AFB-4F4A-A7D1-CE21C49474DA}"/>
            </c:ext>
          </c:extLst>
        </c:ser>
        <c:ser>
          <c:idx val="2"/>
          <c:order val="3"/>
          <c:tx>
            <c:v>Precio medio bajar</c:v>
          </c:tx>
          <c:spPr>
            <a:ln>
              <a:solidFill>
                <a:srgbClr val="404040"/>
              </a:solidFill>
            </a:ln>
          </c:spPr>
          <c:marker>
            <c:symbol val="circle"/>
            <c:size val="6"/>
            <c:spPr>
              <a:noFill/>
              <a:ln>
                <a:noFill/>
              </a:ln>
            </c:spPr>
          </c:marker>
          <c:val>
            <c:numRef>
              <c:f>Dat_01!$C$417:$O$417</c:f>
              <c:numCache>
                <c:formatCode>#,##0.00</c:formatCode>
                <c:ptCount val="13"/>
                <c:pt idx="0">
                  <c:v>24.699318291699999</c:v>
                </c:pt>
                <c:pt idx="1">
                  <c:v>22.808634897200001</c:v>
                </c:pt>
                <c:pt idx="2">
                  <c:v>-19.560346367299999</c:v>
                </c:pt>
                <c:pt idx="3">
                  <c:v>-25.501952932799998</c:v>
                </c:pt>
                <c:pt idx="4">
                  <c:v>-21.3875057447</c:v>
                </c:pt>
                <c:pt idx="5">
                  <c:v>12.0135543721</c:v>
                </c:pt>
                <c:pt idx="6">
                  <c:v>12.2452130523</c:v>
                </c:pt>
                <c:pt idx="7">
                  <c:v>15.0051950839</c:v>
                </c:pt>
                <c:pt idx="8">
                  <c:v>-5.3674323135000002</c:v>
                </c:pt>
                <c:pt idx="9">
                  <c:v>3.3776366820999999</c:v>
                </c:pt>
                <c:pt idx="10">
                  <c:v>-5.9475195433000003</c:v>
                </c:pt>
                <c:pt idx="11">
                  <c:v>20.511905126199999</c:v>
                </c:pt>
                <c:pt idx="12">
                  <c:v>-14.7022421982</c:v>
                </c:pt>
              </c:numCache>
            </c:numRef>
          </c:val>
          <c:smooth val="0"/>
          <c:extLst>
            <c:ext xmlns:c16="http://schemas.microsoft.com/office/drawing/2014/chart" uri="{C3380CC4-5D6E-409C-BE32-E72D297353CC}">
              <c16:uniqueId val="{00000003-0D40-469F-A1D4-30CF56672232}"/>
            </c:ext>
          </c:extLst>
        </c:ser>
        <c:dLbls>
          <c:showLegendKey val="0"/>
          <c:showVal val="0"/>
          <c:showCatName val="0"/>
          <c:showSerName val="0"/>
          <c:showPercent val="0"/>
          <c:showBubbleSize val="0"/>
        </c:dLbls>
        <c:marker val="1"/>
        <c:smooth val="0"/>
        <c:axId val="403148064"/>
        <c:axId val="403147672"/>
      </c:lineChart>
      <c:valAx>
        <c:axId val="403146888"/>
        <c:scaling>
          <c:orientation val="maxMin"/>
          <c:max val="180"/>
          <c:min val="0"/>
        </c:scaling>
        <c:delete val="0"/>
        <c:axPos val="l"/>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7280"/>
        <c:crosses val="autoZero"/>
        <c:crossBetween val="between"/>
        <c:majorUnit val="20"/>
      </c:valAx>
      <c:catAx>
        <c:axId val="403147280"/>
        <c:scaling>
          <c:orientation val="minMax"/>
        </c:scaling>
        <c:delete val="1"/>
        <c:axPos val="t"/>
        <c:numFmt formatCode="General" sourceLinked="1"/>
        <c:majorTickMark val="out"/>
        <c:minorTickMark val="none"/>
        <c:tickLblPos val="nextTo"/>
        <c:crossAx val="403146888"/>
        <c:crosses val="autoZero"/>
        <c:auto val="1"/>
        <c:lblAlgn val="ctr"/>
        <c:lblOffset val="100"/>
        <c:noMultiLvlLbl val="0"/>
      </c:catAx>
      <c:valAx>
        <c:axId val="403147672"/>
        <c:scaling>
          <c:orientation val="maxMin"/>
          <c:max val="180"/>
          <c:min val="-90"/>
        </c:scaling>
        <c:delete val="0"/>
        <c:axPos val="r"/>
        <c:numFmt formatCode="#,##0" sourceLinked="0"/>
        <c:majorTickMark val="out"/>
        <c:minorTickMark val="none"/>
        <c:tickLblPos val="nextTo"/>
        <c:spPr>
          <a:ln>
            <a:noFill/>
          </a:ln>
        </c:spPr>
        <c:crossAx val="403148064"/>
        <c:crosses val="max"/>
        <c:crossBetween val="between"/>
        <c:majorUnit val="30"/>
      </c:valAx>
      <c:catAx>
        <c:axId val="403148064"/>
        <c:scaling>
          <c:orientation val="minMax"/>
        </c:scaling>
        <c:delete val="1"/>
        <c:axPos val="t"/>
        <c:majorTickMark val="out"/>
        <c:minorTickMark val="none"/>
        <c:tickLblPos val="nextTo"/>
        <c:crossAx val="403147672"/>
        <c:crosses val="autoZero"/>
        <c:auto val="1"/>
        <c:lblAlgn val="ctr"/>
        <c:lblOffset val="100"/>
        <c:noMultiLvlLbl val="0"/>
      </c:catAx>
      <c:spPr>
        <a:solidFill>
          <a:schemeClr val="bg1">
            <a:lumMod val="85000"/>
          </a:schemeClr>
        </a:solidFill>
        <a:ln w="25400">
          <a:noFill/>
        </a:ln>
      </c:spPr>
    </c:plotArea>
    <c:legend>
      <c:legendPos val="b"/>
      <c:layout>
        <c:manualLayout>
          <c:xMode val="edge"/>
          <c:yMode val="edge"/>
          <c:x val="0.16329404894622285"/>
          <c:y val="0.87213445124032496"/>
          <c:w val="0.68385161941634542"/>
          <c:h val="0.10943430395315672"/>
        </c:manualLayout>
      </c:layout>
      <c:overlay val="0"/>
      <c:spPr>
        <a:ln>
          <a:noFill/>
        </a:ln>
      </c:spPr>
      <c:txPr>
        <a:bodyPr/>
        <a:lstStyle/>
        <a:p>
          <a:pPr>
            <a:defRPr>
              <a:solidFill>
                <a:srgbClr val="004563"/>
              </a:solidFill>
            </a:defRPr>
          </a:pPr>
          <a:endParaRPr lang="es-ES"/>
        </a:p>
      </c:txPr>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9.7142349238217726E-2"/>
          <c:w val="0.90427766318885094"/>
          <c:h val="0.7115726750207626"/>
        </c:manualLayout>
      </c:layout>
      <c:barChart>
        <c:barDir val="col"/>
        <c:grouping val="stacked"/>
        <c:varyColors val="0"/>
        <c:ser>
          <c:idx val="2"/>
          <c:order val="1"/>
          <c:tx>
            <c:strRef>
              <c:f>Dat_01!$B$218</c:f>
              <c:strCache>
                <c:ptCount val="1"/>
                <c:pt idx="0">
                  <c:v>Carbón</c:v>
                </c:pt>
              </c:strCache>
            </c:strRef>
          </c:tx>
          <c:spPr>
            <a:solidFill>
              <a:srgbClr val="993300"/>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Dat_01!$C$218:$O$218</c:f>
              <c:numCache>
                <c:formatCode>#,##0.0</c:formatCode>
                <c:ptCount val="13"/>
                <c:pt idx="0">
                  <c:v>938.7</c:v>
                </c:pt>
                <c:pt idx="1">
                  <c:v>339</c:v>
                </c:pt>
                <c:pt idx="2">
                  <c:v>85</c:v>
                </c:pt>
                <c:pt idx="3">
                  <c:v>105</c:v>
                </c:pt>
                <c:pt idx="4">
                  <c:v>0</c:v>
                </c:pt>
                <c:pt idx="5">
                  <c:v>83.75</c:v>
                </c:pt>
                <c:pt idx="6">
                  <c:v>10</c:v>
                </c:pt>
                <c:pt idx="7">
                  <c:v>0</c:v>
                </c:pt>
                <c:pt idx="8">
                  <c:v>0</c:v>
                </c:pt>
                <c:pt idx="9">
                  <c:v>0</c:v>
                </c:pt>
                <c:pt idx="10">
                  <c:v>0</c:v>
                </c:pt>
                <c:pt idx="11">
                  <c:v>2.5</c:v>
                </c:pt>
                <c:pt idx="12">
                  <c:v>0</c:v>
                </c:pt>
              </c:numCache>
            </c:numRef>
          </c:val>
          <c:extLst>
            <c:ext xmlns:c16="http://schemas.microsoft.com/office/drawing/2014/chart" uri="{C3380CC4-5D6E-409C-BE32-E72D297353CC}">
              <c16:uniqueId val="{00000000-BED9-452D-8454-5CC367FCBEF2}"/>
            </c:ext>
          </c:extLst>
        </c:ser>
        <c:ser>
          <c:idx val="3"/>
          <c:order val="2"/>
          <c:tx>
            <c:strRef>
              <c:f>Dat_01!$B$219</c:f>
              <c:strCache>
                <c:ptCount val="1"/>
                <c:pt idx="0">
                  <c:v>Ciclo Combinado</c:v>
                </c:pt>
              </c:strCache>
            </c:strRef>
          </c:tx>
          <c:spPr>
            <a:solidFill>
              <a:srgbClr val="FFCC66"/>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Dat_01!$C$219:$O$219</c:f>
              <c:numCache>
                <c:formatCode>#,##0.0</c:formatCode>
                <c:ptCount val="13"/>
                <c:pt idx="0">
                  <c:v>78421.95</c:v>
                </c:pt>
                <c:pt idx="1">
                  <c:v>87805.447</c:v>
                </c:pt>
                <c:pt idx="2">
                  <c:v>30848.534</c:v>
                </c:pt>
                <c:pt idx="3">
                  <c:v>16612.3</c:v>
                </c:pt>
                <c:pt idx="4">
                  <c:v>9449.5499999999993</c:v>
                </c:pt>
                <c:pt idx="5">
                  <c:v>34376.15</c:v>
                </c:pt>
                <c:pt idx="6">
                  <c:v>27134.55</c:v>
                </c:pt>
                <c:pt idx="7">
                  <c:v>23693.05</c:v>
                </c:pt>
                <c:pt idx="8">
                  <c:v>36576.124000000003</c:v>
                </c:pt>
                <c:pt idx="9">
                  <c:v>43036.358999999997</c:v>
                </c:pt>
                <c:pt idx="10">
                  <c:v>15669.689</c:v>
                </c:pt>
                <c:pt idx="11">
                  <c:v>18577.234</c:v>
                </c:pt>
                <c:pt idx="12">
                  <c:v>26667.285</c:v>
                </c:pt>
              </c:numCache>
            </c:numRef>
          </c:val>
          <c:extLst>
            <c:ext xmlns:c16="http://schemas.microsoft.com/office/drawing/2014/chart" uri="{C3380CC4-5D6E-409C-BE32-E72D297353CC}">
              <c16:uniqueId val="{00000001-BED9-452D-8454-5CC367FCBEF2}"/>
            </c:ext>
          </c:extLst>
        </c:ser>
        <c:ser>
          <c:idx val="4"/>
          <c:order val="3"/>
          <c:tx>
            <c:strRef>
              <c:f>Dat_01!$B$220</c:f>
              <c:strCache>
                <c:ptCount val="1"/>
                <c:pt idx="0">
                  <c:v>Cogeneración</c:v>
                </c:pt>
              </c:strCache>
            </c:strRef>
          </c:tx>
          <c:spPr>
            <a:solidFill>
              <a:srgbClr val="CFA2CA"/>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Dat_01!$C$220:$O$220</c:f>
              <c:numCache>
                <c:formatCode>#,##0.0</c:formatCode>
                <c:ptCount val="13"/>
                <c:pt idx="0">
                  <c:v>668.6</c:v>
                </c:pt>
                <c:pt idx="1">
                  <c:v>993.53399999999999</c:v>
                </c:pt>
                <c:pt idx="2">
                  <c:v>1360.5</c:v>
                </c:pt>
                <c:pt idx="3">
                  <c:v>1568.95</c:v>
                </c:pt>
                <c:pt idx="4">
                  <c:v>863.15</c:v>
                </c:pt>
                <c:pt idx="5">
                  <c:v>366.5</c:v>
                </c:pt>
                <c:pt idx="6">
                  <c:v>941.3</c:v>
                </c:pt>
                <c:pt idx="7">
                  <c:v>409.5</c:v>
                </c:pt>
                <c:pt idx="8">
                  <c:v>383.58300000000003</c:v>
                </c:pt>
                <c:pt idx="9">
                  <c:v>665</c:v>
                </c:pt>
                <c:pt idx="10">
                  <c:v>436.983</c:v>
                </c:pt>
                <c:pt idx="11">
                  <c:v>509.983</c:v>
                </c:pt>
                <c:pt idx="12">
                  <c:v>1312.75</c:v>
                </c:pt>
              </c:numCache>
            </c:numRef>
          </c:val>
          <c:extLst>
            <c:ext xmlns:c16="http://schemas.microsoft.com/office/drawing/2014/chart" uri="{C3380CC4-5D6E-409C-BE32-E72D297353CC}">
              <c16:uniqueId val="{00000002-BED9-452D-8454-5CC367FCBEF2}"/>
            </c:ext>
          </c:extLst>
        </c:ser>
        <c:ser>
          <c:idx val="5"/>
          <c:order val="4"/>
          <c:tx>
            <c:strRef>
              <c:f>Dat_01!$B$221</c:f>
              <c:strCache>
                <c:ptCount val="1"/>
                <c:pt idx="0">
                  <c:v>Consumo Bombeo</c:v>
                </c:pt>
              </c:strCache>
            </c:strRef>
          </c:tx>
          <c:spPr>
            <a:solidFill>
              <a:srgbClr val="2C4D75"/>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Dat_01!$C$221:$O$221</c:f>
              <c:numCache>
                <c:formatCode>#,##0.0</c:formatCode>
                <c:ptCount val="13"/>
                <c:pt idx="0">
                  <c:v>53314.275000000001</c:v>
                </c:pt>
                <c:pt idx="1">
                  <c:v>76705.798999999999</c:v>
                </c:pt>
                <c:pt idx="2">
                  <c:v>53970.15</c:v>
                </c:pt>
                <c:pt idx="3">
                  <c:v>44515.75</c:v>
                </c:pt>
                <c:pt idx="4">
                  <c:v>21756.775000000001</c:v>
                </c:pt>
                <c:pt idx="5">
                  <c:v>9671.85</c:v>
                </c:pt>
                <c:pt idx="6">
                  <c:v>22367.341</c:v>
                </c:pt>
                <c:pt idx="7">
                  <c:v>22439.35</c:v>
                </c:pt>
                <c:pt idx="8">
                  <c:v>24097.200000000001</c:v>
                </c:pt>
                <c:pt idx="9">
                  <c:v>24716.331999999999</c:v>
                </c:pt>
                <c:pt idx="10">
                  <c:v>15651.814</c:v>
                </c:pt>
                <c:pt idx="11">
                  <c:v>21209.651000000002</c:v>
                </c:pt>
                <c:pt idx="12">
                  <c:v>65291.366000000002</c:v>
                </c:pt>
              </c:numCache>
            </c:numRef>
          </c:val>
          <c:extLst>
            <c:ext xmlns:c16="http://schemas.microsoft.com/office/drawing/2014/chart" uri="{C3380CC4-5D6E-409C-BE32-E72D297353CC}">
              <c16:uniqueId val="{00000003-BED9-452D-8454-5CC367FCBEF2}"/>
            </c:ext>
          </c:extLst>
        </c:ser>
        <c:ser>
          <c:idx val="7"/>
          <c:order val="5"/>
          <c:tx>
            <c:strRef>
              <c:f>Dat_01!$B$223</c:f>
              <c:strCache>
                <c:ptCount val="1"/>
                <c:pt idx="0">
                  <c:v>Eólica</c:v>
                </c:pt>
              </c:strCache>
            </c:strRef>
          </c:tx>
          <c:spPr>
            <a:solidFill>
              <a:srgbClr val="70AD47"/>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Dat_01!$C$223:$O$223</c:f>
              <c:numCache>
                <c:formatCode>#,##0.0</c:formatCode>
                <c:ptCount val="13"/>
                <c:pt idx="0">
                  <c:v>95848.875</c:v>
                </c:pt>
                <c:pt idx="1">
                  <c:v>82469.11</c:v>
                </c:pt>
                <c:pt idx="2">
                  <c:v>172995.63699999999</c:v>
                </c:pt>
                <c:pt idx="3">
                  <c:v>130290.417</c:v>
                </c:pt>
                <c:pt idx="4">
                  <c:v>60074.966999999997</c:v>
                </c:pt>
                <c:pt idx="5">
                  <c:v>26082.375</c:v>
                </c:pt>
                <c:pt idx="6">
                  <c:v>69061.966</c:v>
                </c:pt>
                <c:pt idx="7">
                  <c:v>52735.925999999999</c:v>
                </c:pt>
                <c:pt idx="8">
                  <c:v>63325.637000000002</c:v>
                </c:pt>
                <c:pt idx="9">
                  <c:v>56825.010999999999</c:v>
                </c:pt>
                <c:pt idx="10">
                  <c:v>74208.519</c:v>
                </c:pt>
                <c:pt idx="11">
                  <c:v>31529.169000000002</c:v>
                </c:pt>
                <c:pt idx="12">
                  <c:v>172075.13800000001</c:v>
                </c:pt>
              </c:numCache>
            </c:numRef>
          </c:val>
          <c:extLst>
            <c:ext xmlns:c16="http://schemas.microsoft.com/office/drawing/2014/chart" uri="{C3380CC4-5D6E-409C-BE32-E72D297353CC}">
              <c16:uniqueId val="{00000004-BED9-452D-8454-5CC367FCBEF2}"/>
            </c:ext>
          </c:extLst>
        </c:ser>
        <c:ser>
          <c:idx val="8"/>
          <c:order val="6"/>
          <c:tx>
            <c:strRef>
              <c:f>Dat_01!$B$224</c:f>
              <c:strCache>
                <c:ptCount val="1"/>
                <c:pt idx="0">
                  <c:v>Turbina Vapor, Gas y Fuel</c:v>
                </c:pt>
              </c:strCache>
              <c:extLst xmlns:c15="http://schemas.microsoft.com/office/drawing/2012/chart"/>
            </c:strRef>
          </c:tx>
          <c:spPr>
            <a:solidFill>
              <a:srgbClr val="BA0F16"/>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extLst xmlns:c15="http://schemas.microsoft.com/office/drawing/2012/chart"/>
            </c:strRef>
          </c:cat>
          <c:val>
            <c:numRef>
              <c:f>Dat_01!$C$224:$O$224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C-BED9-452D-8454-5CC367FCBEF2}"/>
            </c:ext>
          </c:extLst>
        </c:ser>
        <c:ser>
          <c:idx val="9"/>
          <c:order val="7"/>
          <c:tx>
            <c:strRef>
              <c:f>Dat_01!$B$226</c:f>
              <c:strCache>
                <c:ptCount val="1"/>
                <c:pt idx="0">
                  <c:v>Hidráulica</c:v>
                </c:pt>
              </c:strCache>
            </c:strRef>
          </c:tx>
          <c:spPr>
            <a:solidFill>
              <a:srgbClr val="0090D1"/>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Dat_01!$C$226:$O$226</c:f>
              <c:numCache>
                <c:formatCode>#,##0.0</c:formatCode>
                <c:ptCount val="13"/>
                <c:pt idx="0">
                  <c:v>50536.925000000003</c:v>
                </c:pt>
                <c:pt idx="1">
                  <c:v>84995.438999999998</c:v>
                </c:pt>
                <c:pt idx="2">
                  <c:v>62327.576000000001</c:v>
                </c:pt>
                <c:pt idx="3">
                  <c:v>66805.399999999994</c:v>
                </c:pt>
                <c:pt idx="4">
                  <c:v>38696.474999999999</c:v>
                </c:pt>
                <c:pt idx="5">
                  <c:v>56107.25</c:v>
                </c:pt>
                <c:pt idx="6">
                  <c:v>28608.517</c:v>
                </c:pt>
                <c:pt idx="7">
                  <c:v>11833.25</c:v>
                </c:pt>
                <c:pt idx="8">
                  <c:v>35547.775999999998</c:v>
                </c:pt>
                <c:pt idx="9">
                  <c:v>20297.741000000002</c:v>
                </c:pt>
                <c:pt idx="10">
                  <c:v>14523.97</c:v>
                </c:pt>
                <c:pt idx="11">
                  <c:v>20973.499</c:v>
                </c:pt>
                <c:pt idx="12">
                  <c:v>50957.332999999999</c:v>
                </c:pt>
              </c:numCache>
            </c:numRef>
          </c:val>
          <c:extLst>
            <c:ext xmlns:c16="http://schemas.microsoft.com/office/drawing/2014/chart" uri="{C3380CC4-5D6E-409C-BE32-E72D297353CC}">
              <c16:uniqueId val="{00000005-BED9-452D-8454-5CC367FCBEF2}"/>
            </c:ext>
          </c:extLst>
        </c:ser>
        <c:ser>
          <c:idx val="10"/>
          <c:order val="8"/>
          <c:tx>
            <c:strRef>
              <c:f>Dat_01!$B$228</c:f>
              <c:strCache>
                <c:ptCount val="1"/>
                <c:pt idx="0">
                  <c:v>Internacionales</c:v>
                </c:pt>
              </c:strCache>
              <c:extLst xmlns:c15="http://schemas.microsoft.com/office/drawing/2012/chart"/>
            </c:strRef>
          </c:tx>
          <c:spPr>
            <a:solidFill>
              <a:srgbClr val="E5DDB7"/>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extLst xmlns:c15="http://schemas.microsoft.com/office/drawing/2012/chart"/>
            </c:strRef>
          </c:cat>
          <c:val>
            <c:numRef>
              <c:f>Dat_01!$C$228:$O$228</c:f>
              <c:numCache>
                <c:formatCode>#,##0.0</c:formatCode>
                <c:ptCount val="13"/>
                <c:pt idx="0">
                  <c:v>26087.775000000001</c:v>
                </c:pt>
                <c:pt idx="1">
                  <c:v>33505.375</c:v>
                </c:pt>
                <c:pt idx="2">
                  <c:v>36555.050000000003</c:v>
                </c:pt>
                <c:pt idx="3">
                  <c:v>42367.775000000001</c:v>
                </c:pt>
                <c:pt idx="4">
                  <c:v>23024.25</c:v>
                </c:pt>
                <c:pt idx="5">
                  <c:v>44160.5</c:v>
                </c:pt>
                <c:pt idx="6">
                  <c:v>32261.5</c:v>
                </c:pt>
                <c:pt idx="7">
                  <c:v>35004.25</c:v>
                </c:pt>
                <c:pt idx="8">
                  <c:v>45108.25</c:v>
                </c:pt>
                <c:pt idx="9">
                  <c:v>21705.724999999999</c:v>
                </c:pt>
                <c:pt idx="10">
                  <c:v>6274.25</c:v>
                </c:pt>
                <c:pt idx="11">
                  <c:v>33295.5</c:v>
                </c:pt>
                <c:pt idx="12">
                  <c:v>33967.75</c:v>
                </c:pt>
              </c:numCache>
              <c:extLst xmlns:c15="http://schemas.microsoft.com/office/drawing/2012/chart"/>
            </c:numRef>
          </c:val>
          <c:extLst xmlns:c15="http://schemas.microsoft.com/office/drawing/2012/chart">
            <c:ext xmlns:c16="http://schemas.microsoft.com/office/drawing/2014/chart" uri="{C3380CC4-5D6E-409C-BE32-E72D297353CC}">
              <c16:uniqueId val="{0000000D-BED9-452D-8454-5CC367FCBEF2}"/>
            </c:ext>
          </c:extLst>
        </c:ser>
        <c:ser>
          <c:idx val="11"/>
          <c:order val="9"/>
          <c:tx>
            <c:strRef>
              <c:f>Dat_01!$B$229</c:f>
              <c:strCache>
                <c:ptCount val="1"/>
                <c:pt idx="0">
                  <c:v>Nuclear</c:v>
                </c:pt>
              </c:strCache>
            </c:strRef>
          </c:tx>
          <c:spPr>
            <a:solidFill>
              <a:srgbClr val="324394"/>
            </a:solidFill>
            <a:ln>
              <a:noFill/>
            </a:ln>
            <a:effectLst/>
          </c:spPr>
          <c:invertIfNegative val="0"/>
          <c:dPt>
            <c:idx val="0"/>
            <c:invertIfNegative val="0"/>
            <c:bubble3D val="0"/>
            <c:extLst>
              <c:ext xmlns:c16="http://schemas.microsoft.com/office/drawing/2014/chart" uri="{C3380CC4-5D6E-409C-BE32-E72D297353CC}">
                <c16:uniqueId val="{00000000-B54C-4622-B2B4-5566771477CD}"/>
              </c:ext>
            </c:extLst>
          </c:dPt>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Dat_01!$C$229:$O$229</c:f>
              <c:numCache>
                <c:formatCode>#,##0.0</c:formatCode>
                <c:ptCount val="13"/>
                <c:pt idx="0">
                  <c:v>798.25</c:v>
                </c:pt>
                <c:pt idx="1">
                  <c:v>703.5</c:v>
                </c:pt>
                <c:pt idx="2">
                  <c:v>479.5</c:v>
                </c:pt>
                <c:pt idx="3">
                  <c:v>203.75</c:v>
                </c:pt>
                <c:pt idx="4">
                  <c:v>2702</c:v>
                </c:pt>
                <c:pt idx="5">
                  <c:v>200.75</c:v>
                </c:pt>
                <c:pt idx="6">
                  <c:v>0.5</c:v>
                </c:pt>
                <c:pt idx="7">
                  <c:v>8</c:v>
                </c:pt>
                <c:pt idx="8">
                  <c:v>350.21699999999998</c:v>
                </c:pt>
                <c:pt idx="9">
                  <c:v>1195</c:v>
                </c:pt>
                <c:pt idx="10">
                  <c:v>416.85</c:v>
                </c:pt>
                <c:pt idx="11">
                  <c:v>643.25</c:v>
                </c:pt>
                <c:pt idx="12">
                  <c:v>60.75</c:v>
                </c:pt>
              </c:numCache>
            </c:numRef>
          </c:val>
          <c:extLst>
            <c:ext xmlns:c16="http://schemas.microsoft.com/office/drawing/2014/chart" uri="{C3380CC4-5D6E-409C-BE32-E72D297353CC}">
              <c16:uniqueId val="{00000006-BED9-452D-8454-5CC367FCBEF2}"/>
            </c:ext>
          </c:extLst>
        </c:ser>
        <c:ser>
          <c:idx val="12"/>
          <c:order val="10"/>
          <c:tx>
            <c:strRef>
              <c:f>Dat_01!$B$230</c:f>
              <c:strCache>
                <c:ptCount val="1"/>
                <c:pt idx="0">
                  <c:v>Otras Renovables</c:v>
                </c:pt>
              </c:strCache>
            </c:strRef>
          </c:tx>
          <c:spPr>
            <a:solidFill>
              <a:srgbClr val="9A5CBC"/>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Dat_01!$C$230:$O$230</c:f>
              <c:numCache>
                <c:formatCode>#,##0.0</c:formatCode>
                <c:ptCount val="13"/>
                <c:pt idx="0">
                  <c:v>234</c:v>
                </c:pt>
                <c:pt idx="1">
                  <c:v>980.66600000000005</c:v>
                </c:pt>
                <c:pt idx="2">
                  <c:v>1739.683</c:v>
                </c:pt>
                <c:pt idx="3">
                  <c:v>3896.5160000000001</c:v>
                </c:pt>
                <c:pt idx="4">
                  <c:v>4437.6490000000003</c:v>
                </c:pt>
                <c:pt idx="5">
                  <c:v>3327.3</c:v>
                </c:pt>
                <c:pt idx="6">
                  <c:v>2881.4830000000002</c:v>
                </c:pt>
                <c:pt idx="7">
                  <c:v>2162.366</c:v>
                </c:pt>
                <c:pt idx="8">
                  <c:v>1952.1</c:v>
                </c:pt>
                <c:pt idx="9">
                  <c:v>2226.7640000000001</c:v>
                </c:pt>
                <c:pt idx="10">
                  <c:v>1742.778</c:v>
                </c:pt>
                <c:pt idx="11">
                  <c:v>2462.2339999999999</c:v>
                </c:pt>
                <c:pt idx="12">
                  <c:v>4065.0329999999999</c:v>
                </c:pt>
              </c:numCache>
            </c:numRef>
          </c:val>
          <c:extLst>
            <c:ext xmlns:c16="http://schemas.microsoft.com/office/drawing/2014/chart" uri="{C3380CC4-5D6E-409C-BE32-E72D297353CC}">
              <c16:uniqueId val="{00000007-BED9-452D-8454-5CC367FCBEF2}"/>
            </c:ext>
          </c:extLst>
        </c:ser>
        <c:ser>
          <c:idx val="13"/>
          <c:order val="11"/>
          <c:tx>
            <c:strRef>
              <c:f>Dat_01!$B$231</c:f>
              <c:strCache>
                <c:ptCount val="1"/>
                <c:pt idx="0">
                  <c:v>Residuos no Renovables</c:v>
                </c:pt>
              </c:strCache>
              <c:extLst xmlns:c15="http://schemas.microsoft.com/office/drawing/2012/chart"/>
            </c:strRef>
          </c:tx>
          <c:spPr>
            <a:solidFill>
              <a:schemeClr val="tx1">
                <a:lumMod val="65000"/>
                <a:lumOff val="35000"/>
              </a:schemeClr>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extLst xmlns:c15="http://schemas.microsoft.com/office/drawing/2012/chart"/>
            </c:strRef>
          </c:cat>
          <c:val>
            <c:numRef>
              <c:f>Dat_01!$C$231:$O$231</c:f>
              <c:numCache>
                <c:formatCode>#,##0.0</c:formatCode>
                <c:ptCount val="13"/>
                <c:pt idx="0">
                  <c:v>0</c:v>
                </c:pt>
                <c:pt idx="1">
                  <c:v>0</c:v>
                </c:pt>
                <c:pt idx="2">
                  <c:v>0</c:v>
                </c:pt>
                <c:pt idx="3">
                  <c:v>0</c:v>
                </c:pt>
                <c:pt idx="4">
                  <c:v>0</c:v>
                </c:pt>
                <c:pt idx="5">
                  <c:v>0</c:v>
                </c:pt>
                <c:pt idx="6">
                  <c:v>0</c:v>
                </c:pt>
                <c:pt idx="7">
                  <c:v>0</c:v>
                </c:pt>
                <c:pt idx="8">
                  <c:v>0</c:v>
                </c:pt>
                <c:pt idx="9">
                  <c:v>24</c:v>
                </c:pt>
                <c:pt idx="10">
                  <c:v>11.75</c:v>
                </c:pt>
                <c:pt idx="11">
                  <c:v>5</c:v>
                </c:pt>
                <c:pt idx="12">
                  <c:v>0</c:v>
                </c:pt>
              </c:numCache>
              <c:extLst xmlns:c15="http://schemas.microsoft.com/office/drawing/2012/chart"/>
            </c:numRef>
          </c:val>
          <c:extLst xmlns:c15="http://schemas.microsoft.com/office/drawing/2012/chart">
            <c:ext xmlns:c16="http://schemas.microsoft.com/office/drawing/2014/chart" uri="{C3380CC4-5D6E-409C-BE32-E72D297353CC}">
              <c16:uniqueId val="{0000000E-BED9-452D-8454-5CC367FCBEF2}"/>
            </c:ext>
          </c:extLst>
        </c:ser>
        <c:ser>
          <c:idx val="14"/>
          <c:order val="12"/>
          <c:tx>
            <c:strRef>
              <c:f>Dat_01!$B$232</c:f>
              <c:strCache>
                <c:ptCount val="1"/>
                <c:pt idx="0">
                  <c:v>Solar fotovoltaica</c:v>
                </c:pt>
              </c:strCache>
            </c:strRef>
          </c:tx>
          <c:spPr>
            <a:solidFill>
              <a:srgbClr val="EE6112"/>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Dat_01!$C$232:$O$232</c:f>
              <c:numCache>
                <c:formatCode>#,##0.0</c:formatCode>
                <c:ptCount val="13"/>
                <c:pt idx="0">
                  <c:v>23892.075000000001</c:v>
                </c:pt>
                <c:pt idx="1">
                  <c:v>63591.995999999999</c:v>
                </c:pt>
                <c:pt idx="2">
                  <c:v>87722.982999999993</c:v>
                </c:pt>
                <c:pt idx="3">
                  <c:v>104779.283</c:v>
                </c:pt>
                <c:pt idx="4">
                  <c:v>99194.45</c:v>
                </c:pt>
                <c:pt idx="5">
                  <c:v>21212.375</c:v>
                </c:pt>
                <c:pt idx="6">
                  <c:v>83232.362999999998</c:v>
                </c:pt>
                <c:pt idx="7">
                  <c:v>66270.042000000001</c:v>
                </c:pt>
                <c:pt idx="8">
                  <c:v>79062.11</c:v>
                </c:pt>
                <c:pt idx="9">
                  <c:v>48759.669000000002</c:v>
                </c:pt>
                <c:pt idx="10">
                  <c:v>25768.780999999999</c:v>
                </c:pt>
                <c:pt idx="11">
                  <c:v>6381.4690000000001</c:v>
                </c:pt>
                <c:pt idx="12">
                  <c:v>37857.144999999997</c:v>
                </c:pt>
              </c:numCache>
            </c:numRef>
          </c:val>
          <c:extLst xmlns:c15="http://schemas.microsoft.com/office/drawing/2012/chart">
            <c:ext xmlns:c16="http://schemas.microsoft.com/office/drawing/2014/chart" uri="{C3380CC4-5D6E-409C-BE32-E72D297353CC}">
              <c16:uniqueId val="{0000000F-BED9-452D-8454-5CC367FCBEF2}"/>
            </c:ext>
          </c:extLst>
        </c:ser>
        <c:ser>
          <c:idx val="15"/>
          <c:order val="13"/>
          <c:tx>
            <c:strRef>
              <c:f>Dat_01!$B$233</c:f>
              <c:strCache>
                <c:ptCount val="1"/>
                <c:pt idx="0">
                  <c:v>Solar térmica</c:v>
                </c:pt>
              </c:strCache>
            </c:strRef>
          </c:tx>
          <c:spPr>
            <a:solidFill>
              <a:srgbClr val="FF0000"/>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Dat_01!$C$233:$O$233</c:f>
              <c:numCache>
                <c:formatCode>#,##0.0</c:formatCode>
                <c:ptCount val="13"/>
                <c:pt idx="0">
                  <c:v>2461.75</c:v>
                </c:pt>
                <c:pt idx="1">
                  <c:v>2296.4499999999998</c:v>
                </c:pt>
                <c:pt idx="2">
                  <c:v>2136.5</c:v>
                </c:pt>
                <c:pt idx="3">
                  <c:v>679</c:v>
                </c:pt>
                <c:pt idx="4">
                  <c:v>1243.3</c:v>
                </c:pt>
                <c:pt idx="5">
                  <c:v>979.75</c:v>
                </c:pt>
                <c:pt idx="6">
                  <c:v>771.75</c:v>
                </c:pt>
                <c:pt idx="7">
                  <c:v>1365</c:v>
                </c:pt>
                <c:pt idx="8">
                  <c:v>807.75</c:v>
                </c:pt>
                <c:pt idx="9">
                  <c:v>907.75</c:v>
                </c:pt>
                <c:pt idx="10">
                  <c:v>86.75</c:v>
                </c:pt>
                <c:pt idx="11">
                  <c:v>606.25</c:v>
                </c:pt>
                <c:pt idx="12">
                  <c:v>1893.25</c:v>
                </c:pt>
              </c:numCache>
            </c:numRef>
          </c:val>
          <c:extLst xmlns:c15="http://schemas.microsoft.com/office/drawing/2012/chart">
            <c:ext xmlns:c16="http://schemas.microsoft.com/office/drawing/2014/chart" uri="{C3380CC4-5D6E-409C-BE32-E72D297353CC}">
              <c16:uniqueId val="{00000010-BED9-452D-8454-5CC367FCBEF2}"/>
            </c:ext>
          </c:extLst>
        </c:ser>
        <c:ser>
          <c:idx val="16"/>
          <c:order val="14"/>
          <c:tx>
            <c:strRef>
              <c:f>Dat_01!$B$234</c:f>
              <c:strCache>
                <c:ptCount val="1"/>
                <c:pt idx="0">
                  <c:v>Turbinación bombeo</c:v>
                </c:pt>
              </c:strCache>
            </c:strRef>
          </c:tx>
          <c:spPr>
            <a:solidFill>
              <a:srgbClr val="95B3D7"/>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Dat_01!$C$234:$O$234</c:f>
              <c:numCache>
                <c:formatCode>#,##0.0</c:formatCode>
                <c:ptCount val="13"/>
                <c:pt idx="0">
                  <c:v>28796.799999999999</c:v>
                </c:pt>
                <c:pt idx="1">
                  <c:v>30971.184000000001</c:v>
                </c:pt>
                <c:pt idx="2">
                  <c:v>23083.05</c:v>
                </c:pt>
                <c:pt idx="3">
                  <c:v>24323</c:v>
                </c:pt>
                <c:pt idx="4">
                  <c:v>15956.517</c:v>
                </c:pt>
                <c:pt idx="5">
                  <c:v>10532.25</c:v>
                </c:pt>
                <c:pt idx="6">
                  <c:v>10383.450000000001</c:v>
                </c:pt>
                <c:pt idx="7">
                  <c:v>10664.65</c:v>
                </c:pt>
                <c:pt idx="8">
                  <c:v>13546.782999999999</c:v>
                </c:pt>
                <c:pt idx="9">
                  <c:v>17059.75</c:v>
                </c:pt>
                <c:pt idx="10">
                  <c:v>8942.5499999999993</c:v>
                </c:pt>
                <c:pt idx="11">
                  <c:v>10255.6</c:v>
                </c:pt>
                <c:pt idx="12">
                  <c:v>30050.967000000001</c:v>
                </c:pt>
              </c:numCache>
            </c:numRef>
          </c:val>
          <c:extLst>
            <c:ext xmlns:c16="http://schemas.microsoft.com/office/drawing/2014/chart" uri="{C3380CC4-5D6E-409C-BE32-E72D297353CC}">
              <c16:uniqueId val="{00000008-BED9-452D-8454-5CC367FCBEF2}"/>
            </c:ext>
          </c:extLst>
        </c:ser>
        <c:ser>
          <c:idx val="18"/>
          <c:order val="16"/>
          <c:tx>
            <c:strRef>
              <c:f>Dat_01!$B$225</c:f>
              <c:strCache>
                <c:ptCount val="1"/>
                <c:pt idx="0">
                  <c:v>Hibridación</c:v>
                </c:pt>
              </c:strCache>
            </c:strRef>
          </c:tx>
          <c:spPr>
            <a:solidFill>
              <a:srgbClr val="28A064"/>
            </a:solidFill>
            <a:ln>
              <a:noFill/>
            </a:ln>
            <a:effectLst/>
          </c:spPr>
          <c:invertIfNegative val="0"/>
          <c:val>
            <c:numRef>
              <c:f>Dat_01!$C$225:$O$225</c:f>
              <c:numCache>
                <c:formatCode>#,##0.0</c:formatCode>
                <c:ptCount val="13"/>
                <c:pt idx="0">
                  <c:v>0</c:v>
                </c:pt>
                <c:pt idx="1">
                  <c:v>0</c:v>
                </c:pt>
                <c:pt idx="2">
                  <c:v>0</c:v>
                </c:pt>
                <c:pt idx="3">
                  <c:v>22.75</c:v>
                </c:pt>
                <c:pt idx="4">
                  <c:v>22</c:v>
                </c:pt>
                <c:pt idx="5">
                  <c:v>0</c:v>
                </c:pt>
                <c:pt idx="6">
                  <c:v>0</c:v>
                </c:pt>
                <c:pt idx="7">
                  <c:v>0</c:v>
                </c:pt>
                <c:pt idx="8">
                  <c:v>211.4</c:v>
                </c:pt>
                <c:pt idx="9">
                  <c:v>15.25</c:v>
                </c:pt>
                <c:pt idx="10">
                  <c:v>0</c:v>
                </c:pt>
                <c:pt idx="11">
                  <c:v>0.5</c:v>
                </c:pt>
                <c:pt idx="12">
                  <c:v>25.3</c:v>
                </c:pt>
              </c:numCache>
            </c:numRef>
          </c:val>
          <c:extLst>
            <c:ext xmlns:c16="http://schemas.microsoft.com/office/drawing/2014/chart" uri="{C3380CC4-5D6E-409C-BE32-E72D297353CC}">
              <c16:uniqueId val="{00000001-C300-474D-9580-6BA5FFE9A1A7}"/>
            </c:ext>
          </c:extLst>
        </c:ser>
        <c:dLbls>
          <c:showLegendKey val="0"/>
          <c:showVal val="0"/>
          <c:showCatName val="0"/>
          <c:showSerName val="0"/>
          <c:showPercent val="0"/>
          <c:showBubbleSize val="0"/>
        </c:dLbls>
        <c:gapWidth val="150"/>
        <c:overlap val="100"/>
        <c:axId val="403148848"/>
        <c:axId val="403149240"/>
        <c:extLst>
          <c:ext xmlns:c15="http://schemas.microsoft.com/office/drawing/2012/chart" uri="{02D57815-91ED-43cb-92C2-25804820EDAC}">
            <c15:filteredBarSeries>
              <c15:ser>
                <c:idx val="1"/>
                <c:order val="0"/>
                <c:tx>
                  <c:strRef>
                    <c:extLst>
                      <c:ext uri="{02D57815-91ED-43cb-92C2-25804820EDAC}">
                        <c15:formulaRef>
                          <c15:sqref>Dat_01!$B$217</c15:sqref>
                        </c15:formulaRef>
                      </c:ext>
                    </c:extLst>
                    <c:strCache>
                      <c:ptCount val="1"/>
                      <c:pt idx="0">
                        <c:v>Adquisición de Energía</c:v>
                      </c:pt>
                    </c:strCache>
                  </c:strRef>
                </c:tx>
                <c:spPr>
                  <a:solidFill>
                    <a:srgbClr val="FFDD00"/>
                  </a:solidFill>
                  <a:ln>
                    <a:noFill/>
                  </a:ln>
                  <a:effectLst/>
                </c:spPr>
                <c:invertIfNegative val="0"/>
                <c:cat>
                  <c:strRef>
                    <c:extLst>
                      <c:ext uri="{02D57815-91ED-43cb-92C2-25804820EDAC}">
                        <c15:formulaRef>
                          <c15:sqref>Dat_01!$C$194:$O$194</c15:sqref>
                        </c15:formulaRef>
                      </c:ext>
                    </c:extLst>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extLst>
                      <c:ext uri="{02D57815-91ED-43cb-92C2-25804820EDAC}">
                        <c15:formulaRef>
                          <c15:sqref>Dat_01!$C$217:$O$217</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BED9-452D-8454-5CC367FCBEF2}"/>
                  </c:ext>
                </c:extLst>
              </c15:ser>
            </c15:filteredBarSeries>
            <c15:filteredBarSeries>
              <c15:ser>
                <c:idx val="6"/>
                <c:order val="15"/>
                <c:tx>
                  <c:strRef>
                    <c:extLst xmlns:c15="http://schemas.microsoft.com/office/drawing/2012/chart">
                      <c:ext xmlns:c15="http://schemas.microsoft.com/office/drawing/2012/chart" uri="{02D57815-91ED-43cb-92C2-25804820EDAC}">
                        <c15:formulaRef>
                          <c15:sqref>Dat_01!$B$227</c15:sqref>
                        </c15:formulaRef>
                      </c:ext>
                    </c:extLst>
                    <c:strCache>
                      <c:ptCount val="1"/>
                      <c:pt idx="0">
                        <c:v>Instrumentales DESV</c:v>
                      </c:pt>
                    </c:strCache>
                  </c:strRef>
                </c:tx>
                <c:spPr>
                  <a:solidFill>
                    <a:schemeClr val="accent1">
                      <a:lumMod val="60000"/>
                    </a:schemeClr>
                  </a:solidFill>
                  <a:ln>
                    <a:noFill/>
                  </a:ln>
                  <a:effectLst/>
                </c:spPr>
                <c:invertIfNegative val="0"/>
                <c:val>
                  <c:numRef>
                    <c:extLst xmlns:c15="http://schemas.microsoft.com/office/drawing/2012/chart">
                      <c:ext xmlns:c15="http://schemas.microsoft.com/office/drawing/2012/chart" uri="{02D57815-91ED-43cb-92C2-25804820EDAC}">
                        <c15:formulaRef>
                          <c15:sqref>Dat_01!$C$227:$O$227</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3-658E-41E0-8124-49BFF7EB4A61}"/>
                  </c:ext>
                </c:extLst>
              </c15:ser>
            </c15:filteredBarSeries>
          </c:ext>
        </c:extLst>
      </c:barChart>
      <c:lineChart>
        <c:grouping val="standard"/>
        <c:varyColors val="0"/>
        <c:ser>
          <c:idx val="17"/>
          <c:order val="17"/>
          <c:tx>
            <c:v>Precio medio subir</c:v>
          </c:tx>
          <c:spPr>
            <a:ln w="28575" cap="rnd">
              <a:solidFill>
                <a:srgbClr val="004563"/>
              </a:solidFill>
              <a:round/>
            </a:ln>
            <a:effectLst/>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9-BED9-452D-8454-5CC367FCBEF2}"/>
            </c:ext>
          </c:extLst>
        </c:ser>
        <c:ser>
          <c:idx val="0"/>
          <c:order val="18"/>
          <c:tx>
            <c:v>Precio medio bajar</c:v>
          </c:tx>
          <c:spPr>
            <a:ln w="28575" cap="rnd">
              <a:solidFill>
                <a:srgbClr val="404040"/>
              </a:solidFill>
              <a:round/>
            </a:ln>
            <a:effectLst/>
          </c:spPr>
          <c:marker>
            <c:symbol val="none"/>
          </c:marker>
          <c:val>
            <c:numRef>
              <c:f>Dat_01!$C$419:$O$419</c:f>
              <c:numCache>
                <c:formatCode>#,##0.00</c:formatCode>
                <c:ptCount val="13"/>
                <c:pt idx="0">
                  <c:v>45.334035121399999</c:v>
                </c:pt>
                <c:pt idx="1">
                  <c:v>37.849235561100002</c:v>
                </c:pt>
                <c:pt idx="2">
                  <c:v>1.7364664057999999</c:v>
                </c:pt>
                <c:pt idx="3">
                  <c:v>-3.2239345521999998</c:v>
                </c:pt>
                <c:pt idx="4">
                  <c:v>-4.1235086641000001</c:v>
                </c:pt>
                <c:pt idx="5">
                  <c:v>59.358578694199998</c:v>
                </c:pt>
                <c:pt idx="6">
                  <c:v>18.384595549299998</c:v>
                </c:pt>
                <c:pt idx="7">
                  <c:v>15.012926886100001</c:v>
                </c:pt>
                <c:pt idx="8">
                  <c:v>0.25983211550000002</c:v>
                </c:pt>
                <c:pt idx="9">
                  <c:v>32.758575262699999</c:v>
                </c:pt>
                <c:pt idx="10">
                  <c:v>15.736337971199999</c:v>
                </c:pt>
                <c:pt idx="11">
                  <c:v>44.960934410900002</c:v>
                </c:pt>
                <c:pt idx="12">
                  <c:v>25.704341869</c:v>
                </c:pt>
              </c:numCache>
            </c:numRef>
          </c:val>
          <c:smooth val="0"/>
          <c:extLst>
            <c:ext xmlns:c16="http://schemas.microsoft.com/office/drawing/2014/chart" uri="{C3380CC4-5D6E-409C-BE32-E72D297353CC}">
              <c16:uniqueId val="{0000000A-BED9-452D-8454-5CC367FCBEF2}"/>
            </c:ext>
          </c:extLst>
        </c:ser>
        <c:dLbls>
          <c:showLegendKey val="0"/>
          <c:showVal val="0"/>
          <c:showCatName val="0"/>
          <c:showSerName val="0"/>
          <c:showPercent val="0"/>
          <c:showBubbleSize val="0"/>
        </c:dLbls>
        <c:marker val="1"/>
        <c:smooth val="0"/>
        <c:axId val="531370712"/>
        <c:axId val="531370320"/>
      </c:lineChart>
      <c:catAx>
        <c:axId val="403148848"/>
        <c:scaling>
          <c:orientation val="minMax"/>
        </c:scaling>
        <c:delete val="1"/>
        <c:axPos val="t"/>
        <c:numFmt formatCode="General" sourceLinked="1"/>
        <c:majorTickMark val="out"/>
        <c:minorTickMark val="none"/>
        <c:tickLblPos val="low"/>
        <c:crossAx val="403149240"/>
        <c:crosses val="autoZero"/>
        <c:auto val="1"/>
        <c:lblAlgn val="ctr"/>
        <c:lblOffset val="100"/>
        <c:noMultiLvlLbl val="0"/>
      </c:catAx>
      <c:valAx>
        <c:axId val="403149240"/>
        <c:scaling>
          <c:orientation val="maxMin"/>
          <c:max val="550000"/>
          <c:min val="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403148848"/>
        <c:crosses val="autoZero"/>
        <c:crossBetween val="between"/>
        <c:majorUnit val="50000"/>
        <c:dispUnits>
          <c:builtInUnit val="thousands"/>
        </c:dispUnits>
      </c:valAx>
      <c:valAx>
        <c:axId val="531370320"/>
        <c:scaling>
          <c:orientation val="maxMin"/>
          <c:max val="16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0712"/>
        <c:crosses val="max"/>
        <c:crossBetween val="between"/>
        <c:majorUnit val="20"/>
      </c:valAx>
      <c:catAx>
        <c:axId val="531370712"/>
        <c:scaling>
          <c:orientation val="minMax"/>
        </c:scaling>
        <c:delete val="1"/>
        <c:axPos val="t"/>
        <c:numFmt formatCode="General" sourceLinked="1"/>
        <c:majorTickMark val="out"/>
        <c:minorTickMark val="none"/>
        <c:tickLblPos val="nextTo"/>
        <c:crossAx val="531370320"/>
        <c:crosses val="autoZero"/>
        <c:auto val="1"/>
        <c:lblAlgn val="ctr"/>
        <c:lblOffset val="100"/>
        <c:noMultiLvlLbl val="0"/>
      </c:catAx>
      <c:spPr>
        <a:noFill/>
        <a:ln>
          <a:noFill/>
        </a:ln>
        <a:effectLst/>
      </c:spPr>
    </c:plotArea>
    <c:legend>
      <c:legendPos val="b"/>
      <c:layout>
        <c:manualLayout>
          <c:xMode val="edge"/>
          <c:yMode val="edge"/>
          <c:x val="3.7704912466000155E-2"/>
          <c:y val="0.8418846445855972"/>
          <c:w val="0.92593086349012377"/>
          <c:h val="0.1581153554144028"/>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520764015396735E-2"/>
          <c:y val="0.17775684317079388"/>
          <c:w val="0.90427766318885094"/>
          <c:h val="0.68155400997916127"/>
        </c:manualLayout>
      </c:layout>
      <c:barChart>
        <c:barDir val="col"/>
        <c:grouping val="stacked"/>
        <c:varyColors val="0"/>
        <c:ser>
          <c:idx val="2"/>
          <c:order val="1"/>
          <c:tx>
            <c:strRef>
              <c:f>Dat_01!$B$199</c:f>
              <c:strCache>
                <c:ptCount val="1"/>
                <c:pt idx="0">
                  <c:v>Carbón</c:v>
                </c:pt>
              </c:strCache>
            </c:strRef>
          </c:tx>
          <c:spPr>
            <a:solidFill>
              <a:srgbClr val="993300"/>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Dat_01!$C$199:$O$199</c:f>
              <c:numCache>
                <c:formatCode>#,##0.0</c:formatCode>
                <c:ptCount val="13"/>
                <c:pt idx="0">
                  <c:v>485.25</c:v>
                </c:pt>
                <c:pt idx="1">
                  <c:v>155.25</c:v>
                </c:pt>
                <c:pt idx="2">
                  <c:v>34.450000000000003</c:v>
                </c:pt>
                <c:pt idx="3">
                  <c:v>30.05</c:v>
                </c:pt>
                <c:pt idx="4">
                  <c:v>0</c:v>
                </c:pt>
                <c:pt idx="5">
                  <c:v>83.15</c:v>
                </c:pt>
                <c:pt idx="6">
                  <c:v>422.25</c:v>
                </c:pt>
                <c:pt idx="7">
                  <c:v>0</c:v>
                </c:pt>
                <c:pt idx="8">
                  <c:v>90</c:v>
                </c:pt>
                <c:pt idx="9">
                  <c:v>457.41699999999997</c:v>
                </c:pt>
                <c:pt idx="10">
                  <c:v>20</c:v>
                </c:pt>
                <c:pt idx="11">
                  <c:v>252.51499999999999</c:v>
                </c:pt>
                <c:pt idx="12">
                  <c:v>859</c:v>
                </c:pt>
              </c:numCache>
            </c:numRef>
          </c:val>
          <c:extLst>
            <c:ext xmlns:c16="http://schemas.microsoft.com/office/drawing/2014/chart" uri="{C3380CC4-5D6E-409C-BE32-E72D297353CC}">
              <c16:uniqueId val="{00000000-2655-43B4-8799-F66FBECD481A}"/>
            </c:ext>
          </c:extLst>
        </c:ser>
        <c:ser>
          <c:idx val="3"/>
          <c:order val="2"/>
          <c:tx>
            <c:strRef>
              <c:f>Dat_01!$B$200</c:f>
              <c:strCache>
                <c:ptCount val="1"/>
                <c:pt idx="0">
                  <c:v>Ciclo Combinado</c:v>
                </c:pt>
              </c:strCache>
            </c:strRef>
          </c:tx>
          <c:spPr>
            <a:solidFill>
              <a:srgbClr val="FFCC66"/>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Dat_01!$C$200:$O$200</c:f>
              <c:numCache>
                <c:formatCode>#,##0.0</c:formatCode>
                <c:ptCount val="13"/>
                <c:pt idx="0">
                  <c:v>75138.25</c:v>
                </c:pt>
                <c:pt idx="1">
                  <c:v>41086.735000000001</c:v>
                </c:pt>
                <c:pt idx="2">
                  <c:v>42628.800000000003</c:v>
                </c:pt>
                <c:pt idx="3">
                  <c:v>21334.2</c:v>
                </c:pt>
                <c:pt idx="4">
                  <c:v>43474.65</c:v>
                </c:pt>
                <c:pt idx="5">
                  <c:v>226890.22500000001</c:v>
                </c:pt>
                <c:pt idx="6">
                  <c:v>209561.22500000001</c:v>
                </c:pt>
                <c:pt idx="7">
                  <c:v>179282</c:v>
                </c:pt>
                <c:pt idx="8">
                  <c:v>112488.129</c:v>
                </c:pt>
                <c:pt idx="9">
                  <c:v>207007.23800000001</c:v>
                </c:pt>
                <c:pt idx="10">
                  <c:v>207366.633</c:v>
                </c:pt>
                <c:pt idx="11">
                  <c:v>266092.64399999997</c:v>
                </c:pt>
                <c:pt idx="12">
                  <c:v>302103.14199999999</c:v>
                </c:pt>
              </c:numCache>
            </c:numRef>
          </c:val>
          <c:extLst>
            <c:ext xmlns:c16="http://schemas.microsoft.com/office/drawing/2014/chart" uri="{C3380CC4-5D6E-409C-BE32-E72D297353CC}">
              <c16:uniqueId val="{00000001-2655-43B4-8799-F66FBECD481A}"/>
            </c:ext>
          </c:extLst>
        </c:ser>
        <c:ser>
          <c:idx val="4"/>
          <c:order val="3"/>
          <c:tx>
            <c:strRef>
              <c:f>Dat_01!$B$201</c:f>
              <c:strCache>
                <c:ptCount val="1"/>
                <c:pt idx="0">
                  <c:v>Cogeneración</c:v>
                </c:pt>
              </c:strCache>
            </c:strRef>
          </c:tx>
          <c:spPr>
            <a:solidFill>
              <a:srgbClr val="CFA2CA"/>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Dat_01!$C$201:$O$201</c:f>
              <c:numCache>
                <c:formatCode>#,##0.0</c:formatCode>
                <c:ptCount val="13"/>
                <c:pt idx="0">
                  <c:v>3</c:v>
                </c:pt>
                <c:pt idx="1">
                  <c:v>0</c:v>
                </c:pt>
                <c:pt idx="2">
                  <c:v>140</c:v>
                </c:pt>
                <c:pt idx="3">
                  <c:v>52.5</c:v>
                </c:pt>
                <c:pt idx="4">
                  <c:v>92.75</c:v>
                </c:pt>
                <c:pt idx="5">
                  <c:v>209.25</c:v>
                </c:pt>
                <c:pt idx="6">
                  <c:v>318.75</c:v>
                </c:pt>
                <c:pt idx="7">
                  <c:v>173.25</c:v>
                </c:pt>
                <c:pt idx="8">
                  <c:v>239.75</c:v>
                </c:pt>
                <c:pt idx="9">
                  <c:v>542.86699999999996</c:v>
                </c:pt>
                <c:pt idx="10">
                  <c:v>165.75</c:v>
                </c:pt>
                <c:pt idx="11">
                  <c:v>189.25</c:v>
                </c:pt>
                <c:pt idx="12">
                  <c:v>228</c:v>
                </c:pt>
              </c:numCache>
            </c:numRef>
          </c:val>
          <c:extLst>
            <c:ext xmlns:c16="http://schemas.microsoft.com/office/drawing/2014/chart" uri="{C3380CC4-5D6E-409C-BE32-E72D297353CC}">
              <c16:uniqueId val="{00000002-2655-43B4-8799-F66FBECD481A}"/>
            </c:ext>
          </c:extLst>
        </c:ser>
        <c:ser>
          <c:idx val="5"/>
          <c:order val="4"/>
          <c:tx>
            <c:strRef>
              <c:f>Dat_01!$B$202</c:f>
              <c:strCache>
                <c:ptCount val="1"/>
                <c:pt idx="0">
                  <c:v>Consumo Bombeo</c:v>
                </c:pt>
              </c:strCache>
            </c:strRef>
          </c:tx>
          <c:spPr>
            <a:solidFill>
              <a:srgbClr val="2C4D75"/>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Dat_01!$C$202:$O$202</c:f>
              <c:numCache>
                <c:formatCode>#,##0.0</c:formatCode>
                <c:ptCount val="13"/>
                <c:pt idx="0">
                  <c:v>30294.2</c:v>
                </c:pt>
                <c:pt idx="1">
                  <c:v>10732.416999999999</c:v>
                </c:pt>
                <c:pt idx="2">
                  <c:v>30167.8</c:v>
                </c:pt>
                <c:pt idx="3">
                  <c:v>25127.55</c:v>
                </c:pt>
                <c:pt idx="4">
                  <c:v>28512.400000000001</c:v>
                </c:pt>
                <c:pt idx="5">
                  <c:v>19186.8</c:v>
                </c:pt>
                <c:pt idx="6">
                  <c:v>17123.95</c:v>
                </c:pt>
                <c:pt idx="7">
                  <c:v>17965.3</c:v>
                </c:pt>
                <c:pt idx="8">
                  <c:v>19717.983</c:v>
                </c:pt>
                <c:pt idx="9">
                  <c:v>19655.100999999999</c:v>
                </c:pt>
                <c:pt idx="10">
                  <c:v>31749.741000000002</c:v>
                </c:pt>
                <c:pt idx="11">
                  <c:v>19420.499</c:v>
                </c:pt>
                <c:pt idx="12">
                  <c:v>21825</c:v>
                </c:pt>
              </c:numCache>
            </c:numRef>
          </c:val>
          <c:extLst>
            <c:ext xmlns:c16="http://schemas.microsoft.com/office/drawing/2014/chart" uri="{C3380CC4-5D6E-409C-BE32-E72D297353CC}">
              <c16:uniqueId val="{00000003-2655-43B4-8799-F66FBECD481A}"/>
            </c:ext>
          </c:extLst>
        </c:ser>
        <c:ser>
          <c:idx val="7"/>
          <c:order val="6"/>
          <c:tx>
            <c:strRef>
              <c:f>Dat_01!$B$204</c:f>
              <c:strCache>
                <c:ptCount val="1"/>
                <c:pt idx="0">
                  <c:v>Eólica</c:v>
                </c:pt>
              </c:strCache>
            </c:strRef>
          </c:tx>
          <c:spPr>
            <a:solidFill>
              <a:srgbClr val="70AD47"/>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Dat_01!$C$204:$O$204</c:f>
              <c:numCache>
                <c:formatCode>#,##0.0</c:formatCode>
                <c:ptCount val="13"/>
                <c:pt idx="0">
                  <c:v>24907.05</c:v>
                </c:pt>
                <c:pt idx="1">
                  <c:v>9668.9809999999998</c:v>
                </c:pt>
                <c:pt idx="2">
                  <c:v>31429.5</c:v>
                </c:pt>
                <c:pt idx="3">
                  <c:v>27130.85</c:v>
                </c:pt>
                <c:pt idx="4">
                  <c:v>43167.925000000003</c:v>
                </c:pt>
                <c:pt idx="5">
                  <c:v>27497.7</c:v>
                </c:pt>
                <c:pt idx="6">
                  <c:v>13989.3</c:v>
                </c:pt>
                <c:pt idx="7">
                  <c:v>16005.75</c:v>
                </c:pt>
                <c:pt idx="8">
                  <c:v>16576.755000000001</c:v>
                </c:pt>
                <c:pt idx="9">
                  <c:v>26102.233</c:v>
                </c:pt>
                <c:pt idx="10">
                  <c:v>21238.094000000001</c:v>
                </c:pt>
                <c:pt idx="11">
                  <c:v>18071.8</c:v>
                </c:pt>
                <c:pt idx="12">
                  <c:v>31834.75</c:v>
                </c:pt>
              </c:numCache>
            </c:numRef>
          </c:val>
          <c:extLst>
            <c:ext xmlns:c16="http://schemas.microsoft.com/office/drawing/2014/chart" uri="{C3380CC4-5D6E-409C-BE32-E72D297353CC}">
              <c16:uniqueId val="{00000004-2655-43B4-8799-F66FBECD481A}"/>
            </c:ext>
          </c:extLst>
        </c:ser>
        <c:ser>
          <c:idx val="8"/>
          <c:order val="7"/>
          <c:tx>
            <c:strRef>
              <c:f>Dat_01!$B$209</c:f>
              <c:strCache>
                <c:ptCount val="1"/>
                <c:pt idx="0">
                  <c:v>Internacionales</c:v>
                </c:pt>
              </c:strCache>
              <c:extLst xmlns:c15="http://schemas.microsoft.com/office/drawing/2012/chart"/>
            </c:strRef>
          </c:tx>
          <c:spPr>
            <a:solidFill>
              <a:srgbClr val="BA0F16"/>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extLst xmlns:c15="http://schemas.microsoft.com/office/drawing/2012/chart"/>
            </c:strRef>
          </c:cat>
          <c:val>
            <c:numRef>
              <c:f>Dat_01!$C$209:$O$209</c:f>
              <c:numCache>
                <c:formatCode>#,##0.0</c:formatCode>
                <c:ptCount val="13"/>
                <c:pt idx="0">
                  <c:v>34556.9</c:v>
                </c:pt>
                <c:pt idx="1">
                  <c:v>28098.799999999999</c:v>
                </c:pt>
                <c:pt idx="2">
                  <c:v>34080.6</c:v>
                </c:pt>
                <c:pt idx="3">
                  <c:v>26275.474999999999</c:v>
                </c:pt>
                <c:pt idx="4">
                  <c:v>35039.25</c:v>
                </c:pt>
                <c:pt idx="5">
                  <c:v>33961.75</c:v>
                </c:pt>
                <c:pt idx="6">
                  <c:v>27631.25</c:v>
                </c:pt>
                <c:pt idx="7">
                  <c:v>39299.75</c:v>
                </c:pt>
                <c:pt idx="8">
                  <c:v>29569.5</c:v>
                </c:pt>
                <c:pt idx="9">
                  <c:v>15003</c:v>
                </c:pt>
                <c:pt idx="10">
                  <c:v>4295.125</c:v>
                </c:pt>
                <c:pt idx="11">
                  <c:v>46489.75</c:v>
                </c:pt>
                <c:pt idx="12">
                  <c:v>46037.25</c:v>
                </c:pt>
              </c:numCache>
              <c:extLst xmlns:c15="http://schemas.microsoft.com/office/drawing/2012/chart"/>
            </c:numRef>
          </c:val>
          <c:extLst xmlns:c15="http://schemas.microsoft.com/office/drawing/2012/chart">
            <c:ext xmlns:c16="http://schemas.microsoft.com/office/drawing/2014/chart" uri="{C3380CC4-5D6E-409C-BE32-E72D297353CC}">
              <c16:uniqueId val="{0000000C-2655-43B4-8799-F66FBECD481A}"/>
            </c:ext>
          </c:extLst>
        </c:ser>
        <c:ser>
          <c:idx val="9"/>
          <c:order val="8"/>
          <c:tx>
            <c:strRef>
              <c:f>Dat_01!$B$207</c:f>
              <c:strCache>
                <c:ptCount val="1"/>
                <c:pt idx="0">
                  <c:v>Hidráulica</c:v>
                </c:pt>
              </c:strCache>
            </c:strRef>
          </c:tx>
          <c:spPr>
            <a:solidFill>
              <a:srgbClr val="0090D1"/>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Dat_01!$C$207:$O$207</c:f>
              <c:numCache>
                <c:formatCode>#,##0.0</c:formatCode>
                <c:ptCount val="13"/>
                <c:pt idx="0">
                  <c:v>30091.7</c:v>
                </c:pt>
                <c:pt idx="1">
                  <c:v>17178.798999999999</c:v>
                </c:pt>
                <c:pt idx="2">
                  <c:v>34297.5</c:v>
                </c:pt>
                <c:pt idx="3">
                  <c:v>36079.15</c:v>
                </c:pt>
                <c:pt idx="4">
                  <c:v>30711.75</c:v>
                </c:pt>
                <c:pt idx="5">
                  <c:v>31774.95</c:v>
                </c:pt>
                <c:pt idx="6">
                  <c:v>85316.175000000003</c:v>
                </c:pt>
                <c:pt idx="7">
                  <c:v>54636.866999999998</c:v>
                </c:pt>
                <c:pt idx="8">
                  <c:v>20999.040000000001</c:v>
                </c:pt>
                <c:pt idx="9">
                  <c:v>52921.534</c:v>
                </c:pt>
                <c:pt idx="10">
                  <c:v>43671.635000000002</c:v>
                </c:pt>
                <c:pt idx="11">
                  <c:v>78431.933999999994</c:v>
                </c:pt>
                <c:pt idx="12">
                  <c:v>67707.217999999993</c:v>
                </c:pt>
              </c:numCache>
            </c:numRef>
          </c:val>
          <c:extLst>
            <c:ext xmlns:c16="http://schemas.microsoft.com/office/drawing/2014/chart" uri="{C3380CC4-5D6E-409C-BE32-E72D297353CC}">
              <c16:uniqueId val="{00000005-2655-43B4-8799-F66FBECD481A}"/>
            </c:ext>
          </c:extLst>
        </c:ser>
        <c:ser>
          <c:idx val="11"/>
          <c:order val="9"/>
          <c:tx>
            <c:strRef>
              <c:f>Dat_01!$B$210</c:f>
              <c:strCache>
                <c:ptCount val="1"/>
                <c:pt idx="0">
                  <c:v>Nuclear</c:v>
                </c:pt>
              </c:strCache>
            </c:strRef>
          </c:tx>
          <c:spPr>
            <a:solidFill>
              <a:srgbClr val="464394"/>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Dat_01!$C$210:$O$210</c:f>
              <c:numCache>
                <c:formatCode>#,##0.0</c:formatCode>
                <c:ptCount val="13"/>
                <c:pt idx="0">
                  <c:v>139.15</c:v>
                </c:pt>
                <c:pt idx="1">
                  <c:v>0</c:v>
                </c:pt>
                <c:pt idx="2">
                  <c:v>359.05</c:v>
                </c:pt>
                <c:pt idx="3">
                  <c:v>364</c:v>
                </c:pt>
                <c:pt idx="4">
                  <c:v>1965.25</c:v>
                </c:pt>
                <c:pt idx="5">
                  <c:v>659</c:v>
                </c:pt>
                <c:pt idx="6">
                  <c:v>742</c:v>
                </c:pt>
                <c:pt idx="7">
                  <c:v>632.15</c:v>
                </c:pt>
                <c:pt idx="8">
                  <c:v>153.69999999999999</c:v>
                </c:pt>
                <c:pt idx="9">
                  <c:v>197.75</c:v>
                </c:pt>
                <c:pt idx="10">
                  <c:v>817.75</c:v>
                </c:pt>
                <c:pt idx="11">
                  <c:v>393.5</c:v>
                </c:pt>
                <c:pt idx="12">
                  <c:v>266.25</c:v>
                </c:pt>
              </c:numCache>
            </c:numRef>
          </c:val>
          <c:extLst>
            <c:ext xmlns:c16="http://schemas.microsoft.com/office/drawing/2014/chart" uri="{C3380CC4-5D6E-409C-BE32-E72D297353CC}">
              <c16:uniqueId val="{00000006-2655-43B4-8799-F66FBECD481A}"/>
            </c:ext>
          </c:extLst>
        </c:ser>
        <c:ser>
          <c:idx val="12"/>
          <c:order val="10"/>
          <c:tx>
            <c:strRef>
              <c:f>Dat_01!$B$211</c:f>
              <c:strCache>
                <c:ptCount val="1"/>
                <c:pt idx="0">
                  <c:v>Otras Renovables</c:v>
                </c:pt>
              </c:strCache>
            </c:strRef>
          </c:tx>
          <c:spPr>
            <a:solidFill>
              <a:srgbClr val="9999FF"/>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Dat_01!$C$211:$O$211</c:f>
              <c:numCache>
                <c:formatCode>#,##0.0</c:formatCode>
                <c:ptCount val="13"/>
                <c:pt idx="0">
                  <c:v>85</c:v>
                </c:pt>
                <c:pt idx="1">
                  <c:v>17.25</c:v>
                </c:pt>
                <c:pt idx="2">
                  <c:v>304.89999999999998</c:v>
                </c:pt>
                <c:pt idx="3">
                  <c:v>299.3</c:v>
                </c:pt>
                <c:pt idx="4">
                  <c:v>1099.6500000000001</c:v>
                </c:pt>
                <c:pt idx="5">
                  <c:v>445.65</c:v>
                </c:pt>
                <c:pt idx="6">
                  <c:v>454.7</c:v>
                </c:pt>
                <c:pt idx="7">
                  <c:v>547.04999999999995</c:v>
                </c:pt>
                <c:pt idx="8">
                  <c:v>388.13299999999998</c:v>
                </c:pt>
                <c:pt idx="9">
                  <c:v>801.88199999999995</c:v>
                </c:pt>
                <c:pt idx="10">
                  <c:v>592.50099999999998</c:v>
                </c:pt>
                <c:pt idx="11">
                  <c:v>703.6</c:v>
                </c:pt>
                <c:pt idx="12">
                  <c:v>1370.1489999999999</c:v>
                </c:pt>
              </c:numCache>
            </c:numRef>
          </c:val>
          <c:extLst>
            <c:ext xmlns:c16="http://schemas.microsoft.com/office/drawing/2014/chart" uri="{C3380CC4-5D6E-409C-BE32-E72D297353CC}">
              <c16:uniqueId val="{00000007-2655-43B4-8799-F66FBECD481A}"/>
            </c:ext>
          </c:extLst>
        </c:ser>
        <c:ser>
          <c:idx val="13"/>
          <c:order val="11"/>
          <c:tx>
            <c:strRef>
              <c:f>Dat_01!$B$212</c:f>
              <c:strCache>
                <c:ptCount val="1"/>
                <c:pt idx="0">
                  <c:v>Residuos no Renovables</c:v>
                </c:pt>
              </c:strCache>
              <c:extLst xmlns:c15="http://schemas.microsoft.com/office/drawing/2012/chart"/>
            </c:strRef>
          </c:tx>
          <c:spPr>
            <a:solidFill>
              <a:schemeClr val="tx1">
                <a:lumMod val="65000"/>
                <a:lumOff val="35000"/>
              </a:schemeClr>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extLst xmlns:c15="http://schemas.microsoft.com/office/drawing/2012/chart"/>
            </c:strRef>
          </c:cat>
          <c:val>
            <c:numRef>
              <c:f>Dat_01!$C$212:$O$212</c:f>
              <c:numCache>
                <c:formatCode>#,##0.0</c:formatCode>
                <c:ptCount val="13"/>
                <c:pt idx="0">
                  <c:v>0</c:v>
                </c:pt>
                <c:pt idx="1">
                  <c:v>0</c:v>
                </c:pt>
                <c:pt idx="2">
                  <c:v>0</c:v>
                </c:pt>
                <c:pt idx="3">
                  <c:v>0</c:v>
                </c:pt>
                <c:pt idx="4">
                  <c:v>0</c:v>
                </c:pt>
                <c:pt idx="5">
                  <c:v>0</c:v>
                </c:pt>
                <c:pt idx="6">
                  <c:v>0</c:v>
                </c:pt>
                <c:pt idx="7">
                  <c:v>0</c:v>
                </c:pt>
                <c:pt idx="8">
                  <c:v>0</c:v>
                </c:pt>
                <c:pt idx="9">
                  <c:v>133.5</c:v>
                </c:pt>
                <c:pt idx="10">
                  <c:v>901.5</c:v>
                </c:pt>
                <c:pt idx="11">
                  <c:v>405.25</c:v>
                </c:pt>
                <c:pt idx="12">
                  <c:v>414</c:v>
                </c:pt>
              </c:numCache>
              <c:extLst xmlns:c15="http://schemas.microsoft.com/office/drawing/2012/chart"/>
            </c:numRef>
          </c:val>
          <c:extLst xmlns:c15="http://schemas.microsoft.com/office/drawing/2012/chart">
            <c:ext xmlns:c16="http://schemas.microsoft.com/office/drawing/2014/chart" uri="{C3380CC4-5D6E-409C-BE32-E72D297353CC}">
              <c16:uniqueId val="{0000000D-2655-43B4-8799-F66FBECD481A}"/>
            </c:ext>
          </c:extLst>
        </c:ser>
        <c:ser>
          <c:idx val="14"/>
          <c:order val="12"/>
          <c:tx>
            <c:strRef>
              <c:f>Dat_01!$B$213</c:f>
              <c:strCache>
                <c:ptCount val="1"/>
                <c:pt idx="0">
                  <c:v>Solar fotovoltaica</c:v>
                </c:pt>
              </c:strCache>
            </c:strRef>
          </c:tx>
          <c:spPr>
            <a:solidFill>
              <a:srgbClr val="EE6112"/>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Dat_01!$C$213:$O$213</c:f>
              <c:numCache>
                <c:formatCode>#,##0.0</c:formatCode>
                <c:ptCount val="13"/>
                <c:pt idx="0">
                  <c:v>3800</c:v>
                </c:pt>
                <c:pt idx="1">
                  <c:v>2360.9009999999998</c:v>
                </c:pt>
                <c:pt idx="2">
                  <c:v>6670.45</c:v>
                </c:pt>
                <c:pt idx="3">
                  <c:v>9781.15</c:v>
                </c:pt>
                <c:pt idx="4">
                  <c:v>14137.575000000001</c:v>
                </c:pt>
                <c:pt idx="5">
                  <c:v>20985.474999999999</c:v>
                </c:pt>
                <c:pt idx="6">
                  <c:v>14673.875</c:v>
                </c:pt>
                <c:pt idx="7">
                  <c:v>22896.5</c:v>
                </c:pt>
                <c:pt idx="8">
                  <c:v>14205.386</c:v>
                </c:pt>
                <c:pt idx="9">
                  <c:v>9379.7669999999998</c:v>
                </c:pt>
                <c:pt idx="10">
                  <c:v>4838.0010000000002</c:v>
                </c:pt>
                <c:pt idx="11">
                  <c:v>4763.4480000000003</c:v>
                </c:pt>
                <c:pt idx="12">
                  <c:v>6277.7669999999998</c:v>
                </c:pt>
              </c:numCache>
            </c:numRef>
          </c:val>
          <c:extLst xmlns:c15="http://schemas.microsoft.com/office/drawing/2012/chart">
            <c:ext xmlns:c16="http://schemas.microsoft.com/office/drawing/2014/chart" uri="{C3380CC4-5D6E-409C-BE32-E72D297353CC}">
              <c16:uniqueId val="{0000000E-2655-43B4-8799-F66FBECD481A}"/>
            </c:ext>
          </c:extLst>
        </c:ser>
        <c:ser>
          <c:idx val="15"/>
          <c:order val="13"/>
          <c:tx>
            <c:strRef>
              <c:f>Dat_01!$B$214</c:f>
              <c:strCache>
                <c:ptCount val="1"/>
                <c:pt idx="0">
                  <c:v>Solar térmica</c:v>
                </c:pt>
              </c:strCache>
            </c:strRef>
          </c:tx>
          <c:spPr>
            <a:solidFill>
              <a:srgbClr val="FF0000"/>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Dat_01!$C$214:$O$214</c:f>
              <c:numCache>
                <c:formatCode>#,##0.0</c:formatCode>
                <c:ptCount val="13"/>
                <c:pt idx="0">
                  <c:v>15.25</c:v>
                </c:pt>
                <c:pt idx="1">
                  <c:v>4.75</c:v>
                </c:pt>
                <c:pt idx="2">
                  <c:v>62.75</c:v>
                </c:pt>
                <c:pt idx="3">
                  <c:v>157.75</c:v>
                </c:pt>
                <c:pt idx="4">
                  <c:v>300.5</c:v>
                </c:pt>
                <c:pt idx="5">
                  <c:v>170.25</c:v>
                </c:pt>
                <c:pt idx="6">
                  <c:v>455.92500000000001</c:v>
                </c:pt>
                <c:pt idx="7">
                  <c:v>301.75</c:v>
                </c:pt>
                <c:pt idx="8">
                  <c:v>325.25</c:v>
                </c:pt>
                <c:pt idx="9">
                  <c:v>563.25</c:v>
                </c:pt>
                <c:pt idx="10">
                  <c:v>122.25</c:v>
                </c:pt>
                <c:pt idx="11">
                  <c:v>165.25</c:v>
                </c:pt>
                <c:pt idx="12">
                  <c:v>126.25</c:v>
                </c:pt>
              </c:numCache>
            </c:numRef>
          </c:val>
          <c:extLst xmlns:c15="http://schemas.microsoft.com/office/drawing/2012/chart">
            <c:ext xmlns:c16="http://schemas.microsoft.com/office/drawing/2014/chart" uri="{C3380CC4-5D6E-409C-BE32-E72D297353CC}">
              <c16:uniqueId val="{0000000F-2655-43B4-8799-F66FBECD481A}"/>
            </c:ext>
          </c:extLst>
        </c:ser>
        <c:ser>
          <c:idx val="16"/>
          <c:order val="14"/>
          <c:tx>
            <c:strRef>
              <c:f>Dat_01!$B$215</c:f>
              <c:strCache>
                <c:ptCount val="1"/>
                <c:pt idx="0">
                  <c:v>Turbinación bombeo</c:v>
                </c:pt>
              </c:strCache>
            </c:strRef>
          </c:tx>
          <c:spPr>
            <a:solidFill>
              <a:srgbClr val="95B3D7"/>
            </a:solidFill>
            <a:ln>
              <a:noFill/>
            </a:ln>
            <a:effectLst/>
          </c:spPr>
          <c:invertIfNegative val="0"/>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Dat_01!$C$215:$O$215</c:f>
              <c:numCache>
                <c:formatCode>#,##0.0</c:formatCode>
                <c:ptCount val="13"/>
                <c:pt idx="0">
                  <c:v>19331.099999999999</c:v>
                </c:pt>
                <c:pt idx="1">
                  <c:v>5627</c:v>
                </c:pt>
                <c:pt idx="2">
                  <c:v>14804.75</c:v>
                </c:pt>
                <c:pt idx="3">
                  <c:v>16764.75</c:v>
                </c:pt>
                <c:pt idx="4">
                  <c:v>23021.55</c:v>
                </c:pt>
                <c:pt idx="5">
                  <c:v>17574.599999999999</c:v>
                </c:pt>
                <c:pt idx="6">
                  <c:v>21808.125</c:v>
                </c:pt>
                <c:pt idx="7">
                  <c:v>20287.816999999999</c:v>
                </c:pt>
                <c:pt idx="8">
                  <c:v>18414.18</c:v>
                </c:pt>
                <c:pt idx="9">
                  <c:v>16770.466</c:v>
                </c:pt>
                <c:pt idx="10">
                  <c:v>17768.901999999998</c:v>
                </c:pt>
                <c:pt idx="11">
                  <c:v>29822.548999999999</c:v>
                </c:pt>
                <c:pt idx="12">
                  <c:v>42487.55</c:v>
                </c:pt>
              </c:numCache>
            </c:numRef>
          </c:val>
          <c:extLst>
            <c:ext xmlns:c16="http://schemas.microsoft.com/office/drawing/2014/chart" uri="{C3380CC4-5D6E-409C-BE32-E72D297353CC}">
              <c16:uniqueId val="{00000008-2655-43B4-8799-F66FBECD481A}"/>
            </c:ext>
          </c:extLst>
        </c:ser>
        <c:ser>
          <c:idx val="10"/>
          <c:order val="15"/>
          <c:tx>
            <c:strRef>
              <c:f>Dat_01!$B$206</c:f>
              <c:strCache>
                <c:ptCount val="1"/>
                <c:pt idx="0">
                  <c:v>Hibridación</c:v>
                </c:pt>
              </c:strCache>
            </c:strRef>
          </c:tx>
          <c:spPr>
            <a:solidFill>
              <a:srgbClr val="28A064"/>
            </a:solidFill>
            <a:ln>
              <a:noFill/>
            </a:ln>
            <a:effectLst/>
          </c:spPr>
          <c:invertIfNegative val="0"/>
          <c:val>
            <c:numRef>
              <c:f>Dat_01!$C$206:$O$206</c:f>
              <c:numCache>
                <c:formatCode>#,##0.0</c:formatCode>
                <c:ptCount val="13"/>
                <c:pt idx="0">
                  <c:v>0</c:v>
                </c:pt>
                <c:pt idx="1">
                  <c:v>0</c:v>
                </c:pt>
                <c:pt idx="2">
                  <c:v>0</c:v>
                </c:pt>
                <c:pt idx="3">
                  <c:v>0</c:v>
                </c:pt>
                <c:pt idx="4">
                  <c:v>0</c:v>
                </c:pt>
                <c:pt idx="5">
                  <c:v>0</c:v>
                </c:pt>
                <c:pt idx="6">
                  <c:v>0</c:v>
                </c:pt>
                <c:pt idx="7">
                  <c:v>0</c:v>
                </c:pt>
                <c:pt idx="8">
                  <c:v>29.75</c:v>
                </c:pt>
                <c:pt idx="9">
                  <c:v>0</c:v>
                </c:pt>
                <c:pt idx="10">
                  <c:v>0</c:v>
                </c:pt>
                <c:pt idx="11">
                  <c:v>0</c:v>
                </c:pt>
                <c:pt idx="12">
                  <c:v>0</c:v>
                </c:pt>
              </c:numCache>
            </c:numRef>
          </c:val>
          <c:extLst>
            <c:ext xmlns:c16="http://schemas.microsoft.com/office/drawing/2014/chart" uri="{C3380CC4-5D6E-409C-BE32-E72D297353CC}">
              <c16:uniqueId val="{00000000-F7DB-44F0-B5DD-BF0F149D1642}"/>
            </c:ext>
          </c:extLst>
        </c:ser>
        <c:dLbls>
          <c:showLegendKey val="0"/>
          <c:showVal val="0"/>
          <c:showCatName val="0"/>
          <c:showSerName val="0"/>
          <c:showPercent val="0"/>
          <c:showBubbleSize val="0"/>
        </c:dLbls>
        <c:gapWidth val="150"/>
        <c:overlap val="100"/>
        <c:axId val="531371496"/>
        <c:axId val="531371888"/>
        <c:extLst>
          <c:ext xmlns:c15="http://schemas.microsoft.com/office/drawing/2012/chart" uri="{02D57815-91ED-43cb-92C2-25804820EDAC}">
            <c15:filteredBarSeries>
              <c15:ser>
                <c:idx val="1"/>
                <c:order val="0"/>
                <c:tx>
                  <c:strRef>
                    <c:extLst>
                      <c:ext uri="{02D57815-91ED-43cb-92C2-25804820EDAC}">
                        <c15:formulaRef>
                          <c15:sqref>Dat_01!$B$198</c15:sqref>
                        </c15:formulaRef>
                      </c:ext>
                    </c:extLst>
                    <c:strCache>
                      <c:ptCount val="1"/>
                      <c:pt idx="0">
                        <c:v>Adquisición de Energía</c:v>
                      </c:pt>
                    </c:strCache>
                  </c:strRef>
                </c:tx>
                <c:spPr>
                  <a:solidFill>
                    <a:srgbClr val="0070C0"/>
                  </a:solidFill>
                  <a:ln>
                    <a:noFill/>
                  </a:ln>
                  <a:effectLst/>
                </c:spPr>
                <c:invertIfNegative val="0"/>
                <c:cat>
                  <c:strRef>
                    <c:extLst>
                      <c:ext uri="{02D57815-91ED-43cb-92C2-25804820EDAC}">
                        <c15:formulaRef>
                          <c15:sqref>Dat_01!$C$194:$O$194</c15:sqref>
                        </c15:formulaRef>
                      </c:ext>
                    </c:extLst>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extLst>
                      <c:ext uri="{02D57815-91ED-43cb-92C2-25804820EDAC}">
                        <c15:formulaRef>
                          <c15:sqref>Dat_01!$C$198:$O$198</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A-2655-43B4-8799-F66FBECD481A}"/>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Dat_01!$B$205</c15:sqref>
                        </c15:formulaRef>
                      </c:ext>
                    </c:extLst>
                    <c:strCache>
                      <c:ptCount val="1"/>
                      <c:pt idx="0">
                        <c:v>Turbina Vapor, Gas y Fuel</c:v>
                      </c:pt>
                    </c:strCache>
                  </c:strRef>
                </c:tx>
                <c:spPr>
                  <a:solidFill>
                    <a:srgbClr val="FF99CC"/>
                  </a:solidFill>
                  <a:ln>
                    <a:noFill/>
                  </a:ln>
                  <a:effectLst/>
                </c:spPr>
                <c:invertIfNegative val="0"/>
                <c:cat>
                  <c:strRef>
                    <c:extLst xmlns:c15="http://schemas.microsoft.com/office/drawing/2012/chart">
                      <c:ext xmlns:c15="http://schemas.microsoft.com/office/drawing/2012/chart" uri="{02D57815-91ED-43cb-92C2-25804820EDAC}">
                        <c15:formulaRef>
                          <c15:sqref>Dat_01!$C$194:$O$194</c15:sqref>
                        </c15:formulaRef>
                      </c:ext>
                    </c:extLst>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extLst xmlns:c15="http://schemas.microsoft.com/office/drawing/2012/chart">
                      <c:ext xmlns:c15="http://schemas.microsoft.com/office/drawing/2012/chart" uri="{02D57815-91ED-43cb-92C2-25804820EDAC}">
                        <c15:formulaRef>
                          <c15:sqref>Dat_01!$C$205:$O$205</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xmlns:c15="http://schemas.microsoft.com/office/drawing/2012/chart">
                  <c:ext xmlns:c16="http://schemas.microsoft.com/office/drawing/2014/chart" uri="{C3380CC4-5D6E-409C-BE32-E72D297353CC}">
                    <c16:uniqueId val="{0000000B-2655-43B4-8799-F66FBECD481A}"/>
                  </c:ext>
                </c:extLst>
              </c15:ser>
            </c15:filteredBarSeries>
          </c:ext>
        </c:extLst>
      </c:barChart>
      <c:lineChart>
        <c:grouping val="standard"/>
        <c:varyColors val="0"/>
        <c:ser>
          <c:idx val="0"/>
          <c:order val="16"/>
          <c:tx>
            <c:v>Precio medio subir</c:v>
          </c:tx>
          <c:spPr>
            <a:ln w="28575" cap="rnd">
              <a:solidFill>
                <a:srgbClr val="004563"/>
              </a:solidFill>
              <a:round/>
            </a:ln>
            <a:effectLst/>
          </c:spPr>
          <c:marker>
            <c:symbol val="none"/>
          </c:marker>
          <c:cat>
            <c:strRef>
              <c:f>Dat_01!$C$194:$O$194</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Dat_01!$C$415:$O$415</c:f>
              <c:numCache>
                <c:formatCode>#,##0.00</c:formatCode>
                <c:ptCount val="13"/>
                <c:pt idx="0">
                  <c:v>128.90381284489999</c:v>
                </c:pt>
                <c:pt idx="1">
                  <c:v>120.5025753649</c:v>
                </c:pt>
                <c:pt idx="2">
                  <c:v>90.112878959900002</c:v>
                </c:pt>
                <c:pt idx="3">
                  <c:v>58.371273219899997</c:v>
                </c:pt>
                <c:pt idx="4">
                  <c:v>55.693702808300003</c:v>
                </c:pt>
                <c:pt idx="5">
                  <c:v>104.9215167187</c:v>
                </c:pt>
                <c:pt idx="6">
                  <c:v>121.5609694004</c:v>
                </c:pt>
                <c:pt idx="7">
                  <c:v>109.9492029741</c:v>
                </c:pt>
                <c:pt idx="8">
                  <c:v>94.673383029199996</c:v>
                </c:pt>
                <c:pt idx="9">
                  <c:v>107.2113005402</c:v>
                </c:pt>
                <c:pt idx="10">
                  <c:v>96.675296389500005</c:v>
                </c:pt>
                <c:pt idx="11">
                  <c:v>100.82860255590001</c:v>
                </c:pt>
                <c:pt idx="12">
                  <c:v>116.26221271990001</c:v>
                </c:pt>
              </c:numCache>
            </c:numRef>
          </c:val>
          <c:smooth val="0"/>
          <c:extLst>
            <c:ext xmlns:c16="http://schemas.microsoft.com/office/drawing/2014/chart" uri="{C3380CC4-5D6E-409C-BE32-E72D297353CC}">
              <c16:uniqueId val="{00000009-2655-43B4-8799-F66FBECD481A}"/>
            </c:ext>
          </c:extLst>
        </c:ser>
        <c:dLbls>
          <c:showLegendKey val="0"/>
          <c:showVal val="0"/>
          <c:showCatName val="0"/>
          <c:showSerName val="0"/>
          <c:showPercent val="0"/>
          <c:showBubbleSize val="0"/>
        </c:dLbls>
        <c:marker val="1"/>
        <c:smooth val="0"/>
        <c:axId val="531372672"/>
        <c:axId val="531372280"/>
      </c:lineChart>
      <c:catAx>
        <c:axId val="531371496"/>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888"/>
        <c:crosses val="autoZero"/>
        <c:auto val="1"/>
        <c:lblAlgn val="ctr"/>
        <c:lblOffset val="100"/>
        <c:noMultiLvlLbl val="0"/>
      </c:catAx>
      <c:valAx>
        <c:axId val="531371888"/>
        <c:scaling>
          <c:orientation val="minMax"/>
          <c:max val="55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r>
                  <a:rPr lang="es-ES"/>
                  <a:t>GWh</a:t>
                </a:r>
              </a:p>
            </c:rich>
          </c:tx>
          <c:layout>
            <c:manualLayout>
              <c:xMode val="edge"/>
              <c:yMode val="edge"/>
              <c:x val="1.1883128948346337E-2"/>
              <c:y val="1.0461323039660915E-2"/>
            </c:manualLayout>
          </c:layout>
          <c:overlay val="0"/>
          <c:spPr>
            <a:noFill/>
            <a:ln>
              <a:noFill/>
            </a:ln>
            <a:effectLst/>
          </c:spPr>
          <c:txPr>
            <a:bodyPr rot="0" spcFirstLastPara="1" vertOverflow="ellipsis" wrap="square" anchor="ctr" anchorCtr="1"/>
            <a:lstStyle/>
            <a:p>
              <a:pPr>
                <a:defRPr lang="en-US"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1496"/>
        <c:crosses val="autoZero"/>
        <c:crossBetween val="between"/>
        <c:majorUnit val="50000"/>
        <c:dispUnits>
          <c:builtInUnit val="thousands"/>
        </c:dispUnits>
      </c:valAx>
      <c:valAx>
        <c:axId val="531372280"/>
        <c:scaling>
          <c:orientation val="minMax"/>
          <c:max val="160"/>
          <c:min val="-6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lang="en-US" sz="800" b="0" i="0" u="none" strike="noStrike" kern="1200" baseline="0">
                <a:solidFill>
                  <a:srgbClr val="004563"/>
                </a:solidFill>
                <a:latin typeface="+mn-lt"/>
                <a:ea typeface="+mn-ea"/>
                <a:cs typeface="+mn-cs"/>
              </a:defRPr>
            </a:pPr>
            <a:endParaRPr lang="es-ES"/>
          </a:p>
        </c:txPr>
        <c:crossAx val="531372672"/>
        <c:crosses val="max"/>
        <c:crossBetween val="between"/>
        <c:majorUnit val="20"/>
      </c:valAx>
      <c:catAx>
        <c:axId val="531372672"/>
        <c:scaling>
          <c:orientation val="minMax"/>
        </c:scaling>
        <c:delete val="1"/>
        <c:axPos val="b"/>
        <c:numFmt formatCode="General" sourceLinked="1"/>
        <c:majorTickMark val="out"/>
        <c:minorTickMark val="none"/>
        <c:tickLblPos val="nextTo"/>
        <c:crossAx val="531372280"/>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lgn="ctr" rtl="0">
        <a:defRPr lang="en-US" sz="800" b="0" i="0" u="none" strike="noStrike" kern="1200" baseline="0">
          <a:solidFill>
            <a:srgbClr val="004563"/>
          </a:solidFill>
          <a:latin typeface="+mn-lt"/>
          <a:ea typeface="+mn-ea"/>
          <a:cs typeface="+mn-cs"/>
        </a:defRPr>
      </a:pPr>
      <a:endParaRPr lang="es-E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144617806888443E-2"/>
          <c:y val="8.2817024782504162E-2"/>
          <c:w val="0.89961354726056719"/>
          <c:h val="0.61911360013231209"/>
        </c:manualLayout>
      </c:layout>
      <c:barChart>
        <c:barDir val="col"/>
        <c:grouping val="stacked"/>
        <c:varyColors val="0"/>
        <c:ser>
          <c:idx val="0"/>
          <c:order val="1"/>
          <c:tx>
            <c:strRef>
              <c:f>Dat_01!$B$280</c:f>
              <c:strCache>
                <c:ptCount val="1"/>
                <c:pt idx="0">
                  <c:v>Carbón</c:v>
                </c:pt>
              </c:strCache>
            </c:strRef>
          </c:tx>
          <c:spPr>
            <a:solidFill>
              <a:srgbClr val="993300"/>
            </a:solidFill>
            <a:ln>
              <a:noFill/>
            </a:ln>
            <a:effectLst/>
          </c:spPr>
          <c:invertIfNegative val="0"/>
          <c:val>
            <c:numRef>
              <c:f>Dat_01!$C$280:$O$280</c:f>
              <c:numCache>
                <c:formatCode>#,##0.0</c:formatCode>
                <c:ptCount val="13"/>
                <c:pt idx="0">
                  <c:v>810</c:v>
                </c:pt>
                <c:pt idx="1">
                  <c:v>132</c:v>
                </c:pt>
                <c:pt idx="2">
                  <c:v>28.75</c:v>
                </c:pt>
                <c:pt idx="3">
                  <c:v>155.75</c:v>
                </c:pt>
                <c:pt idx="4">
                  <c:v>0</c:v>
                </c:pt>
                <c:pt idx="5">
                  <c:v>11.5</c:v>
                </c:pt>
                <c:pt idx="6">
                  <c:v>0</c:v>
                </c:pt>
                <c:pt idx="7">
                  <c:v>0</c:v>
                </c:pt>
                <c:pt idx="8">
                  <c:v>0</c:v>
                </c:pt>
                <c:pt idx="9">
                  <c:v>0</c:v>
                </c:pt>
                <c:pt idx="10">
                  <c:v>0</c:v>
                </c:pt>
                <c:pt idx="11">
                  <c:v>8</c:v>
                </c:pt>
              </c:numCache>
            </c:numRef>
          </c:val>
          <c:extLst>
            <c:ext xmlns:c16="http://schemas.microsoft.com/office/drawing/2014/chart" uri="{C3380CC4-5D6E-409C-BE32-E72D297353CC}">
              <c16:uniqueId val="{00000000-1D9B-4F90-B2B2-4825475971A1}"/>
            </c:ext>
          </c:extLst>
        </c:ser>
        <c:ser>
          <c:idx val="1"/>
          <c:order val="2"/>
          <c:tx>
            <c:strRef>
              <c:f>Dat_01!$B$281</c:f>
              <c:strCache>
                <c:ptCount val="1"/>
                <c:pt idx="0">
                  <c:v>Ciclo Combinado</c:v>
                </c:pt>
              </c:strCache>
            </c:strRef>
          </c:tx>
          <c:spPr>
            <a:solidFill>
              <a:srgbClr val="FFCC66"/>
            </a:solidFill>
            <a:ln>
              <a:noFill/>
            </a:ln>
            <a:effectLst/>
          </c:spPr>
          <c:invertIfNegative val="0"/>
          <c:val>
            <c:numRef>
              <c:f>Dat_01!$C$281:$O$281</c:f>
              <c:numCache>
                <c:formatCode>#,##0.0</c:formatCode>
                <c:ptCount val="13"/>
                <c:pt idx="0">
                  <c:v>40918.074999999997</c:v>
                </c:pt>
                <c:pt idx="1">
                  <c:v>55261.525000000001</c:v>
                </c:pt>
                <c:pt idx="2">
                  <c:v>35693.599999999999</c:v>
                </c:pt>
                <c:pt idx="3">
                  <c:v>15588.025</c:v>
                </c:pt>
                <c:pt idx="4">
                  <c:v>9638.65</c:v>
                </c:pt>
                <c:pt idx="5">
                  <c:v>14278.375</c:v>
                </c:pt>
                <c:pt idx="6">
                  <c:v>13517.6</c:v>
                </c:pt>
                <c:pt idx="7">
                  <c:v>17210.974999999999</c:v>
                </c:pt>
                <c:pt idx="8">
                  <c:v>26083.525000000001</c:v>
                </c:pt>
                <c:pt idx="9">
                  <c:v>27133.95</c:v>
                </c:pt>
                <c:pt idx="10">
                  <c:v>4904.3500000000004</c:v>
                </c:pt>
                <c:pt idx="11">
                  <c:v>14093.6</c:v>
                </c:pt>
              </c:numCache>
            </c:numRef>
          </c:val>
          <c:extLst>
            <c:ext xmlns:c16="http://schemas.microsoft.com/office/drawing/2014/chart" uri="{C3380CC4-5D6E-409C-BE32-E72D297353CC}">
              <c16:uniqueId val="{00000001-1D9B-4F90-B2B2-4825475971A1}"/>
            </c:ext>
          </c:extLst>
        </c:ser>
        <c:ser>
          <c:idx val="2"/>
          <c:order val="3"/>
          <c:tx>
            <c:strRef>
              <c:f>Dat_01!$B$282</c:f>
              <c:strCache>
                <c:ptCount val="1"/>
                <c:pt idx="0">
                  <c:v>Cogeneración</c:v>
                </c:pt>
              </c:strCache>
            </c:strRef>
          </c:tx>
          <c:spPr>
            <a:solidFill>
              <a:srgbClr val="CFA2CA"/>
            </a:solidFill>
            <a:ln>
              <a:noFill/>
            </a:ln>
            <a:effectLst/>
          </c:spPr>
          <c:invertIfNegative val="0"/>
          <c:val>
            <c:numRef>
              <c:f>Dat_01!$C$282:$O$282</c:f>
              <c:numCache>
                <c:formatCode>#,##0.0</c:formatCode>
                <c:ptCount val="13"/>
                <c:pt idx="0">
                  <c:v>765.1</c:v>
                </c:pt>
                <c:pt idx="1">
                  <c:v>17</c:v>
                </c:pt>
                <c:pt idx="2">
                  <c:v>461.27499999999998</c:v>
                </c:pt>
                <c:pt idx="3">
                  <c:v>424</c:v>
                </c:pt>
                <c:pt idx="4">
                  <c:v>44.6</c:v>
                </c:pt>
                <c:pt idx="5">
                  <c:v>142.15</c:v>
                </c:pt>
                <c:pt idx="6">
                  <c:v>382.25</c:v>
                </c:pt>
                <c:pt idx="7">
                  <c:v>334.7</c:v>
                </c:pt>
                <c:pt idx="8">
                  <c:v>675.3</c:v>
                </c:pt>
                <c:pt idx="9">
                  <c:v>329.2</c:v>
                </c:pt>
                <c:pt idx="10">
                  <c:v>159.92500000000001</c:v>
                </c:pt>
                <c:pt idx="11">
                  <c:v>146.75</c:v>
                </c:pt>
              </c:numCache>
            </c:numRef>
          </c:val>
          <c:extLst>
            <c:ext xmlns:c16="http://schemas.microsoft.com/office/drawing/2014/chart" uri="{C3380CC4-5D6E-409C-BE32-E72D297353CC}">
              <c16:uniqueId val="{00000002-1D9B-4F90-B2B2-4825475971A1}"/>
            </c:ext>
          </c:extLst>
        </c:ser>
        <c:ser>
          <c:idx val="3"/>
          <c:order val="4"/>
          <c:tx>
            <c:strRef>
              <c:f>Dat_01!$B$283</c:f>
              <c:strCache>
                <c:ptCount val="1"/>
                <c:pt idx="0">
                  <c:v>Consumo Bombeo</c:v>
                </c:pt>
              </c:strCache>
            </c:strRef>
          </c:tx>
          <c:spPr>
            <a:solidFill>
              <a:srgbClr val="2C4D75"/>
            </a:solidFill>
            <a:ln>
              <a:noFill/>
            </a:ln>
            <a:effectLst/>
          </c:spPr>
          <c:invertIfNegative val="0"/>
          <c:val>
            <c:numRef>
              <c:f>Dat_01!$C$283:$O$283</c:f>
              <c:numCache>
                <c:formatCode>#,##0.0</c:formatCode>
                <c:ptCount val="13"/>
                <c:pt idx="0">
                  <c:v>50389.4</c:v>
                </c:pt>
                <c:pt idx="1">
                  <c:v>53214.7</c:v>
                </c:pt>
                <c:pt idx="2">
                  <c:v>66433.399999999994</c:v>
                </c:pt>
                <c:pt idx="3">
                  <c:v>60650.9</c:v>
                </c:pt>
                <c:pt idx="4">
                  <c:v>30223.3</c:v>
                </c:pt>
                <c:pt idx="5">
                  <c:v>10803.025</c:v>
                </c:pt>
                <c:pt idx="6">
                  <c:v>29063.4</c:v>
                </c:pt>
                <c:pt idx="7">
                  <c:v>33584.800000000003</c:v>
                </c:pt>
                <c:pt idx="8">
                  <c:v>50212.175000000003</c:v>
                </c:pt>
                <c:pt idx="9">
                  <c:v>31660.924999999999</c:v>
                </c:pt>
                <c:pt idx="10">
                  <c:v>18738</c:v>
                </c:pt>
                <c:pt idx="11">
                  <c:v>17762.55</c:v>
                </c:pt>
              </c:numCache>
            </c:numRef>
          </c:val>
          <c:extLst>
            <c:ext xmlns:c16="http://schemas.microsoft.com/office/drawing/2014/chart" uri="{C3380CC4-5D6E-409C-BE32-E72D297353CC}">
              <c16:uniqueId val="{00000003-1D9B-4F90-B2B2-4825475971A1}"/>
            </c:ext>
          </c:extLst>
        </c:ser>
        <c:ser>
          <c:idx val="4"/>
          <c:order val="5"/>
          <c:tx>
            <c:strRef>
              <c:f>Dat_01!$B$285</c:f>
              <c:strCache>
                <c:ptCount val="1"/>
                <c:pt idx="0">
                  <c:v>Eólica</c:v>
                </c:pt>
              </c:strCache>
            </c:strRef>
          </c:tx>
          <c:spPr>
            <a:solidFill>
              <a:srgbClr val="70AD47"/>
            </a:solidFill>
            <a:ln>
              <a:noFill/>
            </a:ln>
            <a:effectLst/>
          </c:spPr>
          <c:invertIfNegative val="0"/>
          <c:val>
            <c:numRef>
              <c:f>Dat_01!$C$285:$O$285</c:f>
              <c:numCache>
                <c:formatCode>#,##0.0</c:formatCode>
                <c:ptCount val="13"/>
                <c:pt idx="0">
                  <c:v>101824.35</c:v>
                </c:pt>
                <c:pt idx="1">
                  <c:v>121282.75</c:v>
                </c:pt>
                <c:pt idx="2">
                  <c:v>183823.9</c:v>
                </c:pt>
                <c:pt idx="3">
                  <c:v>142915.9</c:v>
                </c:pt>
                <c:pt idx="4">
                  <c:v>40362.474999999999</c:v>
                </c:pt>
                <c:pt idx="5">
                  <c:v>27645.625</c:v>
                </c:pt>
                <c:pt idx="6">
                  <c:v>78708.975000000006</c:v>
                </c:pt>
                <c:pt idx="7">
                  <c:v>84855.975000000006</c:v>
                </c:pt>
                <c:pt idx="8">
                  <c:v>132430.125</c:v>
                </c:pt>
                <c:pt idx="9">
                  <c:v>76987.074999999997</c:v>
                </c:pt>
                <c:pt idx="10">
                  <c:v>68351.8</c:v>
                </c:pt>
                <c:pt idx="11">
                  <c:v>26891.474999999999</c:v>
                </c:pt>
              </c:numCache>
            </c:numRef>
          </c:val>
          <c:extLst>
            <c:ext xmlns:c16="http://schemas.microsoft.com/office/drawing/2014/chart" uri="{C3380CC4-5D6E-409C-BE32-E72D297353CC}">
              <c16:uniqueId val="{00000004-1D9B-4F90-B2B2-4825475971A1}"/>
            </c:ext>
          </c:extLst>
        </c:ser>
        <c:ser>
          <c:idx val="5"/>
          <c:order val="6"/>
          <c:tx>
            <c:strRef>
              <c:f>Dat_01!$B$288</c:f>
              <c:strCache>
                <c:ptCount val="1"/>
                <c:pt idx="0">
                  <c:v>Hidráulica</c:v>
                </c:pt>
              </c:strCache>
            </c:strRef>
          </c:tx>
          <c:spPr>
            <a:solidFill>
              <a:srgbClr val="0090D1"/>
            </a:solidFill>
            <a:ln>
              <a:noFill/>
            </a:ln>
            <a:effectLst/>
          </c:spPr>
          <c:invertIfNegative val="0"/>
          <c:val>
            <c:numRef>
              <c:f>Dat_01!$C$288:$O$288</c:f>
              <c:numCache>
                <c:formatCode>#,##0.0</c:formatCode>
                <c:ptCount val="13"/>
                <c:pt idx="0">
                  <c:v>49899.25</c:v>
                </c:pt>
                <c:pt idx="1">
                  <c:v>69284.95</c:v>
                </c:pt>
                <c:pt idx="2">
                  <c:v>84328.975000000006</c:v>
                </c:pt>
                <c:pt idx="3">
                  <c:v>66921.95</c:v>
                </c:pt>
                <c:pt idx="4">
                  <c:v>28568.724999999999</c:v>
                </c:pt>
                <c:pt idx="5">
                  <c:v>34246.75</c:v>
                </c:pt>
                <c:pt idx="6">
                  <c:v>23127.05</c:v>
                </c:pt>
                <c:pt idx="7">
                  <c:v>12644.575000000001</c:v>
                </c:pt>
                <c:pt idx="8">
                  <c:v>32428.275000000001</c:v>
                </c:pt>
                <c:pt idx="9">
                  <c:v>15988.174999999999</c:v>
                </c:pt>
                <c:pt idx="10">
                  <c:v>15686.325000000001</c:v>
                </c:pt>
                <c:pt idx="11">
                  <c:v>17452.025000000001</c:v>
                </c:pt>
              </c:numCache>
            </c:numRef>
          </c:val>
          <c:extLst>
            <c:ext xmlns:c16="http://schemas.microsoft.com/office/drawing/2014/chart" uri="{C3380CC4-5D6E-409C-BE32-E72D297353CC}">
              <c16:uniqueId val="{00000005-1D9B-4F90-B2B2-4825475971A1}"/>
            </c:ext>
          </c:extLst>
        </c:ser>
        <c:ser>
          <c:idx val="6"/>
          <c:order val="7"/>
          <c:tx>
            <c:strRef>
              <c:f>Dat_01!$B$291</c:f>
              <c:strCache>
                <c:ptCount val="1"/>
                <c:pt idx="0">
                  <c:v>Nuclear</c:v>
                </c:pt>
              </c:strCache>
            </c:strRef>
          </c:tx>
          <c:spPr>
            <a:solidFill>
              <a:srgbClr val="464394"/>
            </a:solidFill>
            <a:ln>
              <a:noFill/>
            </a:ln>
            <a:effectLst/>
          </c:spPr>
          <c:invertIfNegative val="0"/>
          <c:val>
            <c:numRef>
              <c:f>Dat_01!$C$291:$O$291</c:f>
              <c:numCache>
                <c:formatCode>#,##0.0</c:formatCode>
                <c:ptCount val="13"/>
                <c:pt idx="0">
                  <c:v>855.6</c:v>
                </c:pt>
                <c:pt idx="1">
                  <c:v>2488.5</c:v>
                </c:pt>
                <c:pt idx="2">
                  <c:v>368.6</c:v>
                </c:pt>
                <c:pt idx="3">
                  <c:v>1670.625</c:v>
                </c:pt>
                <c:pt idx="4">
                  <c:v>4390.55</c:v>
                </c:pt>
                <c:pt idx="5">
                  <c:v>1115.9000000000001</c:v>
                </c:pt>
                <c:pt idx="6">
                  <c:v>0</c:v>
                </c:pt>
                <c:pt idx="7">
                  <c:v>33</c:v>
                </c:pt>
                <c:pt idx="8">
                  <c:v>321.97500000000002</c:v>
                </c:pt>
                <c:pt idx="9">
                  <c:v>2131.5</c:v>
                </c:pt>
                <c:pt idx="10">
                  <c:v>572.57500000000005</c:v>
                </c:pt>
                <c:pt idx="11">
                  <c:v>80.525000000000006</c:v>
                </c:pt>
              </c:numCache>
            </c:numRef>
          </c:val>
          <c:extLst>
            <c:ext xmlns:c16="http://schemas.microsoft.com/office/drawing/2014/chart" uri="{C3380CC4-5D6E-409C-BE32-E72D297353CC}">
              <c16:uniqueId val="{00000006-1D9B-4F90-B2B2-4825475971A1}"/>
            </c:ext>
          </c:extLst>
        </c:ser>
        <c:ser>
          <c:idx val="13"/>
          <c:order val="8"/>
          <c:tx>
            <c:strRef>
              <c:f>Dat_01!$B$292</c:f>
              <c:strCache>
                <c:ptCount val="1"/>
                <c:pt idx="0">
                  <c:v>Otras Renovables</c:v>
                </c:pt>
              </c:strCache>
            </c:strRef>
          </c:tx>
          <c:spPr>
            <a:solidFill>
              <a:srgbClr val="9A5CBC"/>
            </a:solidFill>
            <a:ln>
              <a:noFill/>
            </a:ln>
            <a:effectLst/>
          </c:spPr>
          <c:invertIfNegative val="0"/>
          <c:val>
            <c:numRef>
              <c:f>Dat_01!$C$292:$O$292</c:f>
              <c:numCache>
                <c:formatCode>#,##0.0</c:formatCode>
                <c:ptCount val="13"/>
                <c:pt idx="0">
                  <c:v>51</c:v>
                </c:pt>
                <c:pt idx="1">
                  <c:v>147</c:v>
                </c:pt>
                <c:pt idx="2">
                  <c:v>6</c:v>
                </c:pt>
                <c:pt idx="3">
                  <c:v>406.75</c:v>
                </c:pt>
                <c:pt idx="4">
                  <c:v>112</c:v>
                </c:pt>
                <c:pt idx="5">
                  <c:v>60</c:v>
                </c:pt>
                <c:pt idx="6">
                  <c:v>17.5</c:v>
                </c:pt>
                <c:pt idx="7">
                  <c:v>210</c:v>
                </c:pt>
                <c:pt idx="8">
                  <c:v>36</c:v>
                </c:pt>
                <c:pt idx="9">
                  <c:v>72</c:v>
                </c:pt>
                <c:pt idx="10">
                  <c:v>70</c:v>
                </c:pt>
                <c:pt idx="11">
                  <c:v>194.5</c:v>
                </c:pt>
              </c:numCache>
            </c:numRef>
          </c:val>
          <c:extLst>
            <c:ext xmlns:c16="http://schemas.microsoft.com/office/drawing/2014/chart" uri="{C3380CC4-5D6E-409C-BE32-E72D297353CC}">
              <c16:uniqueId val="{00000001-6E0F-4B47-A32A-FEB6962B9CB2}"/>
            </c:ext>
          </c:extLst>
        </c:ser>
        <c:ser>
          <c:idx val="9"/>
          <c:order val="9"/>
          <c:tx>
            <c:strRef>
              <c:f>Dat_01!$B$294</c:f>
              <c:strCache>
                <c:ptCount val="1"/>
                <c:pt idx="0">
                  <c:v>Solar fotovoltaica</c:v>
                </c:pt>
              </c:strCache>
            </c:strRef>
          </c:tx>
          <c:spPr>
            <a:solidFill>
              <a:srgbClr val="EE6112"/>
            </a:solidFill>
            <a:ln>
              <a:noFill/>
            </a:ln>
            <a:effectLst/>
          </c:spPr>
          <c:invertIfNegative val="0"/>
          <c:val>
            <c:numRef>
              <c:f>Dat_01!$C$294:$O$294</c:f>
              <c:numCache>
                <c:formatCode>#,##0.0</c:formatCode>
                <c:ptCount val="13"/>
                <c:pt idx="0">
                  <c:v>23535.525000000001</c:v>
                </c:pt>
                <c:pt idx="1">
                  <c:v>42195.45</c:v>
                </c:pt>
                <c:pt idx="2">
                  <c:v>96803.75</c:v>
                </c:pt>
                <c:pt idx="3">
                  <c:v>144982.54999999999</c:v>
                </c:pt>
                <c:pt idx="4">
                  <c:v>92281.725000000006</c:v>
                </c:pt>
                <c:pt idx="5">
                  <c:v>30492.3</c:v>
                </c:pt>
                <c:pt idx="6">
                  <c:v>78426.2</c:v>
                </c:pt>
                <c:pt idx="7">
                  <c:v>114413.125</c:v>
                </c:pt>
                <c:pt idx="8">
                  <c:v>117703.4</c:v>
                </c:pt>
                <c:pt idx="9">
                  <c:v>50232.224999999999</c:v>
                </c:pt>
                <c:pt idx="10">
                  <c:v>24104.95</c:v>
                </c:pt>
                <c:pt idx="11">
                  <c:v>8104.4250000000002</c:v>
                </c:pt>
              </c:numCache>
            </c:numRef>
          </c:val>
          <c:extLst>
            <c:ext xmlns:c16="http://schemas.microsoft.com/office/drawing/2014/chart" uri="{C3380CC4-5D6E-409C-BE32-E72D297353CC}">
              <c16:uniqueId val="{00000007-1D9B-4F90-B2B2-4825475971A1}"/>
            </c:ext>
          </c:extLst>
        </c:ser>
        <c:ser>
          <c:idx val="10"/>
          <c:order val="10"/>
          <c:tx>
            <c:strRef>
              <c:f>Dat_01!$B$295</c:f>
              <c:strCache>
                <c:ptCount val="1"/>
                <c:pt idx="0">
                  <c:v>Solar térmica</c:v>
                </c:pt>
              </c:strCache>
            </c:strRef>
          </c:tx>
          <c:spPr>
            <a:solidFill>
              <a:srgbClr val="FF0000"/>
            </a:solidFill>
            <a:ln>
              <a:noFill/>
            </a:ln>
            <a:effectLst/>
          </c:spPr>
          <c:invertIfNegative val="0"/>
          <c:val>
            <c:numRef>
              <c:f>Dat_01!$C$295:$O$295</c:f>
              <c:numCache>
                <c:formatCode>#,##0.0</c:formatCode>
                <c:ptCount val="13"/>
                <c:pt idx="0">
                  <c:v>17053.275000000001</c:v>
                </c:pt>
                <c:pt idx="1">
                  <c:v>17562.8</c:v>
                </c:pt>
                <c:pt idx="2">
                  <c:v>11071.275</c:v>
                </c:pt>
                <c:pt idx="3">
                  <c:v>9716.75</c:v>
                </c:pt>
                <c:pt idx="4">
                  <c:v>3151.25</c:v>
                </c:pt>
                <c:pt idx="5">
                  <c:v>3067.5</c:v>
                </c:pt>
                <c:pt idx="6">
                  <c:v>1371</c:v>
                </c:pt>
                <c:pt idx="7">
                  <c:v>1764.75</c:v>
                </c:pt>
                <c:pt idx="8">
                  <c:v>2619</c:v>
                </c:pt>
                <c:pt idx="9">
                  <c:v>1674.45</c:v>
                </c:pt>
                <c:pt idx="10">
                  <c:v>1156.5</c:v>
                </c:pt>
                <c:pt idx="11">
                  <c:v>591.35</c:v>
                </c:pt>
              </c:numCache>
            </c:numRef>
          </c:val>
          <c:extLst xmlns:c15="http://schemas.microsoft.com/office/drawing/2012/chart">
            <c:ext xmlns:c16="http://schemas.microsoft.com/office/drawing/2014/chart" uri="{C3380CC4-5D6E-409C-BE32-E72D297353CC}">
              <c16:uniqueId val="{00000008-1D9B-4F90-B2B2-4825475971A1}"/>
            </c:ext>
          </c:extLst>
        </c:ser>
        <c:ser>
          <c:idx val="12"/>
          <c:order val="11"/>
          <c:tx>
            <c:strRef>
              <c:f>Dat_01!$B$296</c:f>
              <c:strCache>
                <c:ptCount val="1"/>
                <c:pt idx="0">
                  <c:v>Turbinación bombeo</c:v>
                </c:pt>
              </c:strCache>
            </c:strRef>
          </c:tx>
          <c:spPr>
            <a:solidFill>
              <a:schemeClr val="accent1">
                <a:lumMod val="80000"/>
                <a:lumOff val="20000"/>
              </a:schemeClr>
            </a:solidFill>
            <a:ln>
              <a:noFill/>
            </a:ln>
            <a:effectLst/>
          </c:spPr>
          <c:invertIfNegative val="0"/>
          <c:val>
            <c:numRef>
              <c:f>Dat_01!$C$296:$O$296</c:f>
              <c:numCache>
                <c:formatCode>#,##0.0</c:formatCode>
                <c:ptCount val="13"/>
                <c:pt idx="0">
                  <c:v>46658.175000000003</c:v>
                </c:pt>
                <c:pt idx="1">
                  <c:v>51895.625</c:v>
                </c:pt>
                <c:pt idx="2">
                  <c:v>37795.15</c:v>
                </c:pt>
                <c:pt idx="3">
                  <c:v>27303.9</c:v>
                </c:pt>
                <c:pt idx="4">
                  <c:v>14841.9</c:v>
                </c:pt>
                <c:pt idx="5">
                  <c:v>10692.35</c:v>
                </c:pt>
                <c:pt idx="6">
                  <c:v>13728.975</c:v>
                </c:pt>
                <c:pt idx="7">
                  <c:v>13260.225</c:v>
                </c:pt>
                <c:pt idx="8">
                  <c:v>20307.424999999999</c:v>
                </c:pt>
                <c:pt idx="9">
                  <c:v>19480.775000000001</c:v>
                </c:pt>
                <c:pt idx="10">
                  <c:v>10449.799999999999</c:v>
                </c:pt>
                <c:pt idx="11">
                  <c:v>10315.25</c:v>
                </c:pt>
              </c:numCache>
            </c:numRef>
          </c:val>
          <c:extLst>
            <c:ext xmlns:c16="http://schemas.microsoft.com/office/drawing/2014/chart" uri="{C3380CC4-5D6E-409C-BE32-E72D297353CC}">
              <c16:uniqueId val="{00000001-5E88-4874-99F0-5BC45A3953B0}"/>
            </c:ext>
          </c:extLst>
        </c:ser>
        <c:ser>
          <c:idx val="14"/>
          <c:order val="12"/>
          <c:tx>
            <c:strRef>
              <c:f>Dat_01!$B$287</c:f>
              <c:strCache>
                <c:ptCount val="1"/>
                <c:pt idx="0">
                  <c:v>Hibridación</c:v>
                </c:pt>
              </c:strCache>
            </c:strRef>
          </c:tx>
          <c:spPr>
            <a:solidFill>
              <a:srgbClr val="28A064"/>
            </a:solidFill>
            <a:ln>
              <a:noFill/>
            </a:ln>
            <a:effectLst/>
          </c:spPr>
          <c:invertIfNegative val="0"/>
          <c:val>
            <c:numRef>
              <c:f>Dat_01!$C$287:$O$287</c:f>
              <c:numCache>
                <c:formatCode>#,##0.0</c:formatCode>
                <c:ptCount val="13"/>
                <c:pt idx="0">
                  <c:v>0</c:v>
                </c:pt>
                <c:pt idx="1">
                  <c:v>0</c:v>
                </c:pt>
                <c:pt idx="2">
                  <c:v>0</c:v>
                </c:pt>
                <c:pt idx="3">
                  <c:v>27</c:v>
                </c:pt>
                <c:pt idx="4">
                  <c:v>41.875</c:v>
                </c:pt>
                <c:pt idx="5">
                  <c:v>0</c:v>
                </c:pt>
                <c:pt idx="6">
                  <c:v>0</c:v>
                </c:pt>
                <c:pt idx="7">
                  <c:v>0</c:v>
                </c:pt>
                <c:pt idx="8">
                  <c:v>594.22500000000002</c:v>
                </c:pt>
                <c:pt idx="9">
                  <c:v>0</c:v>
                </c:pt>
                <c:pt idx="10">
                  <c:v>0</c:v>
                </c:pt>
                <c:pt idx="11">
                  <c:v>0</c:v>
                </c:pt>
              </c:numCache>
            </c:numRef>
          </c:val>
          <c:extLst>
            <c:ext xmlns:c16="http://schemas.microsoft.com/office/drawing/2014/chart" uri="{C3380CC4-5D6E-409C-BE32-E72D297353CC}">
              <c16:uniqueId val="{00000000-7E4A-44B8-A65C-3D2FDD8E42E5}"/>
            </c:ext>
          </c:extLst>
        </c:ser>
        <c:dLbls>
          <c:showLegendKey val="0"/>
          <c:showVal val="0"/>
          <c:showCatName val="0"/>
          <c:showSerName val="0"/>
          <c:showPercent val="0"/>
          <c:showBubbleSize val="0"/>
        </c:dLbls>
        <c:gapWidth val="150"/>
        <c:overlap val="100"/>
        <c:axId val="531378160"/>
        <c:axId val="531378552"/>
        <c:extLst>
          <c:ext xmlns:c15="http://schemas.microsoft.com/office/drawing/2012/chart" uri="{02D57815-91ED-43cb-92C2-25804820EDAC}">
            <c15:filteredBarSeries>
              <c15:ser>
                <c:idx val="11"/>
                <c:order val="0"/>
                <c:tx>
                  <c:strRef>
                    <c:extLst>
                      <c:ext uri="{02D57815-91ED-43cb-92C2-25804820EDAC}">
                        <c15:formulaRef>
                          <c15:sqref>Dat_01!$B$279</c15:sqref>
                        </c15:formulaRef>
                      </c:ext>
                    </c:extLst>
                    <c:strCache>
                      <c:ptCount val="1"/>
                      <c:pt idx="0">
                        <c:v>Adquisición de Energía</c:v>
                      </c:pt>
                    </c:strCache>
                  </c:strRef>
                </c:tx>
                <c:spPr>
                  <a:solidFill>
                    <a:srgbClr val="FFDD00"/>
                  </a:solidFill>
                  <a:ln>
                    <a:noFill/>
                  </a:ln>
                  <a:effectLst/>
                </c:spPr>
                <c:invertIfNegative val="0"/>
                <c:val>
                  <c:numRef>
                    <c:extLst>
                      <c:ext uri="{02D57815-91ED-43cb-92C2-25804820EDAC}">
                        <c15:formulaRef>
                          <c15:sqref>Dat_01!$C$279:$O$279</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EF7-41E3-86BF-29F562F37D45}"/>
                  </c:ext>
                </c:extLst>
              </c15:ser>
            </c15:filteredBarSeries>
          </c:ext>
        </c:extLst>
      </c:barChart>
      <c:lineChart>
        <c:grouping val="standard"/>
        <c:varyColors val="0"/>
        <c:ser>
          <c:idx val="8"/>
          <c:order val="13"/>
          <c:tx>
            <c:v>Precio medio necesidades a subir</c:v>
          </c:tx>
          <c:spPr>
            <a:ln w="28575" cap="rnd">
              <a:solidFill>
                <a:srgbClr val="004563"/>
              </a:solidFill>
              <a:round/>
            </a:ln>
            <a:effectLst/>
          </c:spPr>
          <c:marker>
            <c:symbol val="none"/>
          </c:marker>
          <c:val>
            <c:numRef>
              <c:f>Dat_01!$C$420:$O$420</c:f>
              <c:numCache>
                <c:formatCode>General</c:formatCode>
                <c:ptCount val="13"/>
              </c:numCache>
            </c:numRef>
          </c:val>
          <c:smooth val="0"/>
          <c:extLst>
            <c:ext xmlns:c16="http://schemas.microsoft.com/office/drawing/2014/chart" uri="{C3380CC4-5D6E-409C-BE32-E72D297353CC}">
              <c16:uniqueId val="{00000009-1D9B-4F90-B2B2-4825475971A1}"/>
            </c:ext>
          </c:extLst>
        </c:ser>
        <c:ser>
          <c:idx val="7"/>
          <c:order val="14"/>
          <c:tx>
            <c:v>Precio ponderado necesidades a bajar</c:v>
          </c:tx>
          <c:spPr>
            <a:ln w="28575" cap="rnd">
              <a:solidFill>
                <a:srgbClr val="404040"/>
              </a:solidFill>
              <a:round/>
            </a:ln>
            <a:effectLst/>
          </c:spPr>
          <c:marker>
            <c:symbol val="none"/>
          </c:marker>
          <c:val>
            <c:numRef>
              <c:f>Dat_01!$C$418:$O$418</c:f>
              <c:numCache>
                <c:formatCode>#,##0.00</c:formatCode>
                <c:ptCount val="13"/>
                <c:pt idx="0">
                  <c:v>54.339434263699999</c:v>
                </c:pt>
                <c:pt idx="1">
                  <c:v>56.6349303597</c:v>
                </c:pt>
                <c:pt idx="2">
                  <c:v>3.8096046056000001</c:v>
                </c:pt>
                <c:pt idx="3">
                  <c:v>-1.4266996133000001</c:v>
                </c:pt>
                <c:pt idx="4">
                  <c:v>-4.0810580168000001</c:v>
                </c:pt>
                <c:pt idx="5">
                  <c:v>64.248668094300001</c:v>
                </c:pt>
                <c:pt idx="6">
                  <c:v>22.334454021199999</c:v>
                </c:pt>
                <c:pt idx="7">
                  <c:v>8.1725149182999992</c:v>
                </c:pt>
                <c:pt idx="8">
                  <c:v>13.4386992617</c:v>
                </c:pt>
                <c:pt idx="9">
                  <c:v>30.503105186900001</c:v>
                </c:pt>
                <c:pt idx="10">
                  <c:v>8.6680619366999991</c:v>
                </c:pt>
                <c:pt idx="11">
                  <c:v>29.5562912143</c:v>
                </c:pt>
                <c:pt idx="12">
                  <c:v>0</c:v>
                </c:pt>
              </c:numCache>
            </c:numRef>
          </c:val>
          <c:smooth val="0"/>
          <c:extLst>
            <c:ext xmlns:c16="http://schemas.microsoft.com/office/drawing/2014/chart" uri="{C3380CC4-5D6E-409C-BE32-E72D297353CC}">
              <c16:uniqueId val="{00000000-7446-4108-839C-E59F82D86780}"/>
            </c:ext>
          </c:extLst>
        </c:ser>
        <c:dLbls>
          <c:showLegendKey val="0"/>
          <c:showVal val="0"/>
          <c:showCatName val="0"/>
          <c:showSerName val="0"/>
          <c:showPercent val="0"/>
          <c:showBubbleSize val="0"/>
        </c:dLbls>
        <c:marker val="1"/>
        <c:smooth val="0"/>
        <c:axId val="531379336"/>
        <c:axId val="531378944"/>
      </c:lineChart>
      <c:catAx>
        <c:axId val="531378160"/>
        <c:scaling>
          <c:orientation val="minMax"/>
        </c:scaling>
        <c:delete val="1"/>
        <c:axPos val="t"/>
        <c:numFmt formatCode="General" sourceLinked="1"/>
        <c:majorTickMark val="out"/>
        <c:minorTickMark val="none"/>
        <c:tickLblPos val="low"/>
        <c:crossAx val="531378552"/>
        <c:crosses val="autoZero"/>
        <c:auto val="1"/>
        <c:lblAlgn val="ctr"/>
        <c:lblOffset val="100"/>
        <c:noMultiLvlLbl val="0"/>
      </c:catAx>
      <c:valAx>
        <c:axId val="531378552"/>
        <c:scaling>
          <c:orientation val="maxMin"/>
          <c:max val="6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8160"/>
        <c:crosses val="autoZero"/>
        <c:crossBetween val="between"/>
        <c:majorUnit val="50000"/>
        <c:dispUnits>
          <c:builtInUnit val="thousands"/>
        </c:dispUnits>
      </c:valAx>
      <c:valAx>
        <c:axId val="531378944"/>
        <c:scaling>
          <c:orientation val="maxMin"/>
          <c:max val="180"/>
          <c:min val="-4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9336"/>
        <c:crosses val="max"/>
        <c:crossBetween val="between"/>
        <c:majorUnit val="20"/>
      </c:valAx>
      <c:catAx>
        <c:axId val="531379336"/>
        <c:scaling>
          <c:orientation val="minMax"/>
        </c:scaling>
        <c:delete val="1"/>
        <c:axPos val="t"/>
        <c:majorTickMark val="out"/>
        <c:minorTickMark val="none"/>
        <c:tickLblPos val="nextTo"/>
        <c:crossAx val="531378944"/>
        <c:crosses val="autoZero"/>
        <c:auto val="1"/>
        <c:lblAlgn val="ctr"/>
        <c:lblOffset val="100"/>
        <c:noMultiLvlLbl val="0"/>
      </c:catAx>
      <c:spPr>
        <a:noFill/>
        <a:ln>
          <a:noFill/>
        </a:ln>
        <a:effectLst/>
      </c:spPr>
    </c:plotArea>
    <c:legend>
      <c:legendPos val="b"/>
      <c:layout>
        <c:manualLayout>
          <c:xMode val="edge"/>
          <c:yMode val="edge"/>
          <c:x val="1.2558492965081875E-2"/>
          <c:y val="0.7338937374681167"/>
          <c:w val="0.96757061352840057"/>
          <c:h val="0.250178327033751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07465489407968E-2"/>
          <c:y val="9.4486306741537782E-2"/>
          <c:w val="0.89961354726056719"/>
          <c:h val="0.75649343154199533"/>
        </c:manualLayout>
      </c:layout>
      <c:barChart>
        <c:barDir val="col"/>
        <c:grouping val="stacked"/>
        <c:varyColors val="0"/>
        <c:ser>
          <c:idx val="17"/>
          <c:order val="1"/>
          <c:tx>
            <c:strRef>
              <c:f>Dat_01!$B$261</c:f>
              <c:strCache>
                <c:ptCount val="1"/>
                <c:pt idx="0">
                  <c:v>Carbón</c:v>
                </c:pt>
              </c:strCache>
            </c:strRef>
          </c:tx>
          <c:spPr>
            <a:solidFill>
              <a:srgbClr val="993300"/>
            </a:solidFill>
            <a:ln>
              <a:noFill/>
            </a:ln>
            <a:effectLst/>
          </c:spPr>
          <c:invertIfNegative val="0"/>
          <c:cat>
            <c:strRef>
              <c:f>Dat_01!$C$256:$O$256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Dat_01!$C$261:$O$261</c:f>
              <c:numCache>
                <c:formatCode>#,##0.0</c:formatCode>
                <c:ptCount val="13"/>
                <c:pt idx="0">
                  <c:v>693</c:v>
                </c:pt>
                <c:pt idx="1">
                  <c:v>260</c:v>
                </c:pt>
                <c:pt idx="2">
                  <c:v>897.77499999999998</c:v>
                </c:pt>
                <c:pt idx="3">
                  <c:v>298.75</c:v>
                </c:pt>
                <c:pt idx="4">
                  <c:v>0</c:v>
                </c:pt>
                <c:pt idx="5">
                  <c:v>45</c:v>
                </c:pt>
                <c:pt idx="6">
                  <c:v>75.974999999999994</c:v>
                </c:pt>
                <c:pt idx="7">
                  <c:v>0</c:v>
                </c:pt>
                <c:pt idx="8">
                  <c:v>140</c:v>
                </c:pt>
                <c:pt idx="9">
                  <c:v>133</c:v>
                </c:pt>
                <c:pt idx="10">
                  <c:v>0</c:v>
                </c:pt>
                <c:pt idx="11">
                  <c:v>0</c:v>
                </c:pt>
              </c:numCache>
            </c:numRef>
          </c:val>
          <c:extLst>
            <c:ext xmlns:c16="http://schemas.microsoft.com/office/drawing/2014/chart" uri="{C3380CC4-5D6E-409C-BE32-E72D297353CC}">
              <c16:uniqueId val="{00000000-FAA4-4CCE-8D4F-74A3A14856A0}"/>
            </c:ext>
          </c:extLst>
        </c:ser>
        <c:ser>
          <c:idx val="18"/>
          <c:order val="2"/>
          <c:tx>
            <c:strRef>
              <c:f>Dat_01!$B$262</c:f>
              <c:strCache>
                <c:ptCount val="1"/>
                <c:pt idx="0">
                  <c:v>Ciclo Combinado</c:v>
                </c:pt>
              </c:strCache>
            </c:strRef>
          </c:tx>
          <c:spPr>
            <a:solidFill>
              <a:srgbClr val="FFCC66"/>
            </a:solidFill>
            <a:ln>
              <a:noFill/>
            </a:ln>
            <a:effectLst/>
          </c:spPr>
          <c:invertIfNegative val="0"/>
          <c:cat>
            <c:strRef>
              <c:f>Dat_01!$C$256:$O$256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Dat_01!$C$262:$O$262</c:f>
              <c:numCache>
                <c:formatCode>#,##0.0</c:formatCode>
                <c:ptCount val="13"/>
                <c:pt idx="0">
                  <c:v>129121.52499999999</c:v>
                </c:pt>
                <c:pt idx="1">
                  <c:v>119835.95</c:v>
                </c:pt>
                <c:pt idx="2">
                  <c:v>65766.524999999994</c:v>
                </c:pt>
                <c:pt idx="3">
                  <c:v>18888.825000000001</c:v>
                </c:pt>
                <c:pt idx="4">
                  <c:v>20152.424999999999</c:v>
                </c:pt>
                <c:pt idx="5">
                  <c:v>150562.97500000001</c:v>
                </c:pt>
                <c:pt idx="6">
                  <c:v>111394.65</c:v>
                </c:pt>
                <c:pt idx="7">
                  <c:v>161963.32500000001</c:v>
                </c:pt>
                <c:pt idx="8">
                  <c:v>74319.425000000003</c:v>
                </c:pt>
                <c:pt idx="9">
                  <c:v>99176.3</c:v>
                </c:pt>
                <c:pt idx="10">
                  <c:v>179691.27499999999</c:v>
                </c:pt>
                <c:pt idx="11">
                  <c:v>264347.05</c:v>
                </c:pt>
              </c:numCache>
            </c:numRef>
          </c:val>
          <c:extLst>
            <c:ext xmlns:c16="http://schemas.microsoft.com/office/drawing/2014/chart" uri="{C3380CC4-5D6E-409C-BE32-E72D297353CC}">
              <c16:uniqueId val="{00000001-FAA4-4CCE-8D4F-74A3A14856A0}"/>
            </c:ext>
          </c:extLst>
        </c:ser>
        <c:ser>
          <c:idx val="19"/>
          <c:order val="3"/>
          <c:tx>
            <c:strRef>
              <c:f>Dat_01!$B$263</c:f>
              <c:strCache>
                <c:ptCount val="1"/>
                <c:pt idx="0">
                  <c:v>Cogeneración</c:v>
                </c:pt>
              </c:strCache>
            </c:strRef>
          </c:tx>
          <c:spPr>
            <a:solidFill>
              <a:srgbClr val="CFA2CA"/>
            </a:solidFill>
            <a:ln>
              <a:noFill/>
            </a:ln>
            <a:effectLst/>
          </c:spPr>
          <c:invertIfNegative val="0"/>
          <c:cat>
            <c:strRef>
              <c:f>Dat_01!$C$256:$O$256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Dat_01!$C$263:$O$263</c:f>
              <c:numCache>
                <c:formatCode>#,##0.0</c:formatCode>
                <c:ptCount val="13"/>
                <c:pt idx="0">
                  <c:v>0</c:v>
                </c:pt>
                <c:pt idx="1">
                  <c:v>0</c:v>
                </c:pt>
                <c:pt idx="2">
                  <c:v>99.275000000000006</c:v>
                </c:pt>
                <c:pt idx="3">
                  <c:v>7.25</c:v>
                </c:pt>
                <c:pt idx="4">
                  <c:v>35.174999999999997</c:v>
                </c:pt>
                <c:pt idx="5">
                  <c:v>74.724999999999994</c:v>
                </c:pt>
                <c:pt idx="6">
                  <c:v>111</c:v>
                </c:pt>
                <c:pt idx="7">
                  <c:v>60.625</c:v>
                </c:pt>
                <c:pt idx="8">
                  <c:v>75.25</c:v>
                </c:pt>
                <c:pt idx="9">
                  <c:v>415.25</c:v>
                </c:pt>
                <c:pt idx="10">
                  <c:v>69</c:v>
                </c:pt>
                <c:pt idx="11">
                  <c:v>129</c:v>
                </c:pt>
              </c:numCache>
            </c:numRef>
          </c:val>
          <c:extLst>
            <c:ext xmlns:c16="http://schemas.microsoft.com/office/drawing/2014/chart" uri="{C3380CC4-5D6E-409C-BE32-E72D297353CC}">
              <c16:uniqueId val="{00000002-FAA4-4CCE-8D4F-74A3A14856A0}"/>
            </c:ext>
          </c:extLst>
        </c:ser>
        <c:ser>
          <c:idx val="20"/>
          <c:order val="4"/>
          <c:tx>
            <c:strRef>
              <c:f>Dat_01!$B$264</c:f>
              <c:strCache>
                <c:ptCount val="1"/>
                <c:pt idx="0">
                  <c:v>Consumo Bombeo</c:v>
                </c:pt>
              </c:strCache>
            </c:strRef>
          </c:tx>
          <c:spPr>
            <a:solidFill>
              <a:srgbClr val="2C4D75"/>
            </a:solidFill>
            <a:ln>
              <a:noFill/>
            </a:ln>
            <a:effectLst/>
          </c:spPr>
          <c:invertIfNegative val="0"/>
          <c:cat>
            <c:strRef>
              <c:f>Dat_01!$C$256:$O$256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Dat_01!$C$264:$O$264</c:f>
              <c:numCache>
                <c:formatCode>#,##0.0</c:formatCode>
                <c:ptCount val="13"/>
                <c:pt idx="0">
                  <c:v>12204.95</c:v>
                </c:pt>
                <c:pt idx="1">
                  <c:v>6649.75</c:v>
                </c:pt>
                <c:pt idx="2">
                  <c:v>13922</c:v>
                </c:pt>
                <c:pt idx="3">
                  <c:v>7157.5749999999998</c:v>
                </c:pt>
                <c:pt idx="4">
                  <c:v>13771.375</c:v>
                </c:pt>
                <c:pt idx="5">
                  <c:v>10233.450000000001</c:v>
                </c:pt>
                <c:pt idx="6">
                  <c:v>3364.5</c:v>
                </c:pt>
                <c:pt idx="7">
                  <c:v>4842.1000000000004</c:v>
                </c:pt>
                <c:pt idx="8">
                  <c:v>4681.25</c:v>
                </c:pt>
                <c:pt idx="9">
                  <c:v>6193.5</c:v>
                </c:pt>
                <c:pt idx="10">
                  <c:v>15193.5</c:v>
                </c:pt>
                <c:pt idx="11">
                  <c:v>10242.799999999999</c:v>
                </c:pt>
              </c:numCache>
            </c:numRef>
          </c:val>
          <c:extLst>
            <c:ext xmlns:c16="http://schemas.microsoft.com/office/drawing/2014/chart" uri="{C3380CC4-5D6E-409C-BE32-E72D297353CC}">
              <c16:uniqueId val="{00000003-FAA4-4CCE-8D4F-74A3A14856A0}"/>
            </c:ext>
          </c:extLst>
        </c:ser>
        <c:ser>
          <c:idx val="21"/>
          <c:order val="5"/>
          <c:tx>
            <c:strRef>
              <c:f>Dat_01!$B$266</c:f>
              <c:strCache>
                <c:ptCount val="1"/>
                <c:pt idx="0">
                  <c:v>Eólica</c:v>
                </c:pt>
              </c:strCache>
            </c:strRef>
          </c:tx>
          <c:spPr>
            <a:solidFill>
              <a:srgbClr val="70AD47"/>
            </a:solidFill>
            <a:ln>
              <a:noFill/>
            </a:ln>
            <a:effectLst/>
          </c:spPr>
          <c:invertIfNegative val="0"/>
          <c:cat>
            <c:strRef>
              <c:f>Dat_01!$C$256:$O$256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Dat_01!$C$266:$O$266</c:f>
              <c:numCache>
                <c:formatCode>#,##0.0</c:formatCode>
                <c:ptCount val="13"/>
                <c:pt idx="0">
                  <c:v>19423.2</c:v>
                </c:pt>
                <c:pt idx="1">
                  <c:v>12835.85</c:v>
                </c:pt>
                <c:pt idx="2">
                  <c:v>17127.724999999999</c:v>
                </c:pt>
                <c:pt idx="3">
                  <c:v>14921.8</c:v>
                </c:pt>
                <c:pt idx="4">
                  <c:v>16516.95</c:v>
                </c:pt>
                <c:pt idx="5">
                  <c:v>18618.8</c:v>
                </c:pt>
                <c:pt idx="6">
                  <c:v>14987.65</c:v>
                </c:pt>
                <c:pt idx="7">
                  <c:v>13106.95</c:v>
                </c:pt>
                <c:pt idx="8">
                  <c:v>8238.0249999999996</c:v>
                </c:pt>
                <c:pt idx="9">
                  <c:v>13448.6</c:v>
                </c:pt>
                <c:pt idx="10">
                  <c:v>27925.05</c:v>
                </c:pt>
                <c:pt idx="11">
                  <c:v>15554.725</c:v>
                </c:pt>
              </c:numCache>
            </c:numRef>
          </c:val>
          <c:extLst>
            <c:ext xmlns:c16="http://schemas.microsoft.com/office/drawing/2014/chart" uri="{C3380CC4-5D6E-409C-BE32-E72D297353CC}">
              <c16:uniqueId val="{00000004-FAA4-4CCE-8D4F-74A3A14856A0}"/>
            </c:ext>
          </c:extLst>
        </c:ser>
        <c:ser>
          <c:idx val="22"/>
          <c:order val="6"/>
          <c:tx>
            <c:strRef>
              <c:f>Dat_01!$B$269</c:f>
              <c:strCache>
                <c:ptCount val="1"/>
                <c:pt idx="0">
                  <c:v>Hidráulica</c:v>
                </c:pt>
              </c:strCache>
            </c:strRef>
          </c:tx>
          <c:spPr>
            <a:solidFill>
              <a:srgbClr val="0090D1"/>
            </a:solidFill>
            <a:ln>
              <a:noFill/>
            </a:ln>
            <a:effectLst/>
          </c:spPr>
          <c:invertIfNegative val="0"/>
          <c:cat>
            <c:strRef>
              <c:f>Dat_01!$C$256:$O$256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Dat_01!$C$269:$O$269</c:f>
              <c:numCache>
                <c:formatCode>#,##0.0</c:formatCode>
                <c:ptCount val="13"/>
                <c:pt idx="0">
                  <c:v>30557.85</c:v>
                </c:pt>
                <c:pt idx="1">
                  <c:v>23615.575000000001</c:v>
                </c:pt>
                <c:pt idx="2">
                  <c:v>26903.4</c:v>
                </c:pt>
                <c:pt idx="3">
                  <c:v>24686.325000000001</c:v>
                </c:pt>
                <c:pt idx="4">
                  <c:v>20361.7</c:v>
                </c:pt>
                <c:pt idx="5">
                  <c:v>15819.9</c:v>
                </c:pt>
                <c:pt idx="6">
                  <c:v>27721.9</c:v>
                </c:pt>
                <c:pt idx="7">
                  <c:v>27274.55</c:v>
                </c:pt>
                <c:pt idx="8">
                  <c:v>9782.4750000000004</c:v>
                </c:pt>
                <c:pt idx="9">
                  <c:v>15907.825000000001</c:v>
                </c:pt>
                <c:pt idx="10">
                  <c:v>30043.625</c:v>
                </c:pt>
                <c:pt idx="11">
                  <c:v>50532.5</c:v>
                </c:pt>
              </c:numCache>
            </c:numRef>
          </c:val>
          <c:extLst>
            <c:ext xmlns:c16="http://schemas.microsoft.com/office/drawing/2014/chart" uri="{C3380CC4-5D6E-409C-BE32-E72D297353CC}">
              <c16:uniqueId val="{00000005-FAA4-4CCE-8D4F-74A3A14856A0}"/>
            </c:ext>
          </c:extLst>
        </c:ser>
        <c:ser>
          <c:idx val="23"/>
          <c:order val="7"/>
          <c:tx>
            <c:strRef>
              <c:f>Dat_01!$B$272</c:f>
              <c:strCache>
                <c:ptCount val="1"/>
                <c:pt idx="0">
                  <c:v>Nuclear</c:v>
                </c:pt>
              </c:strCache>
            </c:strRef>
          </c:tx>
          <c:spPr>
            <a:solidFill>
              <a:srgbClr val="464394"/>
            </a:solidFill>
            <a:ln>
              <a:noFill/>
            </a:ln>
            <a:effectLst/>
          </c:spPr>
          <c:invertIfNegative val="0"/>
          <c:cat>
            <c:strRef>
              <c:f>Dat_01!$C$256:$O$256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Dat_01!$C$272:$O$272</c:f>
              <c:numCache>
                <c:formatCode>#,##0.0</c:formatCode>
                <c:ptCount val="13"/>
                <c:pt idx="0">
                  <c:v>369.95</c:v>
                </c:pt>
                <c:pt idx="1">
                  <c:v>0</c:v>
                </c:pt>
                <c:pt idx="2">
                  <c:v>384.25</c:v>
                </c:pt>
                <c:pt idx="3">
                  <c:v>324.5</c:v>
                </c:pt>
                <c:pt idx="4">
                  <c:v>1562.875</c:v>
                </c:pt>
                <c:pt idx="5">
                  <c:v>1112.175</c:v>
                </c:pt>
                <c:pt idx="6">
                  <c:v>171.25</c:v>
                </c:pt>
                <c:pt idx="7">
                  <c:v>85</c:v>
                </c:pt>
                <c:pt idx="8">
                  <c:v>0.25</c:v>
                </c:pt>
                <c:pt idx="9">
                  <c:v>18.75</c:v>
                </c:pt>
                <c:pt idx="10">
                  <c:v>649.5</c:v>
                </c:pt>
                <c:pt idx="11">
                  <c:v>24.25</c:v>
                </c:pt>
              </c:numCache>
            </c:numRef>
          </c:val>
          <c:extLst>
            <c:ext xmlns:c16="http://schemas.microsoft.com/office/drawing/2014/chart" uri="{C3380CC4-5D6E-409C-BE32-E72D297353CC}">
              <c16:uniqueId val="{00000006-FAA4-4CCE-8D4F-74A3A14856A0}"/>
            </c:ext>
          </c:extLst>
        </c:ser>
        <c:ser>
          <c:idx val="5"/>
          <c:order val="8"/>
          <c:tx>
            <c:strRef>
              <c:f>Dat_01!$B$273</c:f>
              <c:strCache>
                <c:ptCount val="1"/>
                <c:pt idx="0">
                  <c:v>Otras Renovables</c:v>
                </c:pt>
              </c:strCache>
            </c:strRef>
          </c:tx>
          <c:spPr>
            <a:solidFill>
              <a:srgbClr val="9A5CBC"/>
            </a:solidFill>
            <a:ln>
              <a:noFill/>
            </a:ln>
            <a:effectLst/>
          </c:spPr>
          <c:invertIfNegative val="0"/>
          <c:val>
            <c:numRef>
              <c:f>Dat_01!$C$273:$O$273</c:f>
              <c:numCache>
                <c:formatCode>#,##0.0</c:formatCode>
                <c:ptCount val="13"/>
                <c:pt idx="0">
                  <c:v>0</c:v>
                </c:pt>
                <c:pt idx="1">
                  <c:v>28</c:v>
                </c:pt>
                <c:pt idx="2">
                  <c:v>266.25</c:v>
                </c:pt>
                <c:pt idx="3">
                  <c:v>44.25</c:v>
                </c:pt>
                <c:pt idx="4">
                  <c:v>17.75</c:v>
                </c:pt>
                <c:pt idx="5">
                  <c:v>4</c:v>
                </c:pt>
                <c:pt idx="6">
                  <c:v>3</c:v>
                </c:pt>
                <c:pt idx="7">
                  <c:v>46.25</c:v>
                </c:pt>
                <c:pt idx="8">
                  <c:v>10.75</c:v>
                </c:pt>
                <c:pt idx="9">
                  <c:v>9.5</c:v>
                </c:pt>
                <c:pt idx="10">
                  <c:v>27.25</c:v>
                </c:pt>
                <c:pt idx="11">
                  <c:v>3</c:v>
                </c:pt>
              </c:numCache>
            </c:numRef>
          </c:val>
          <c:extLst>
            <c:ext xmlns:c16="http://schemas.microsoft.com/office/drawing/2014/chart" uri="{C3380CC4-5D6E-409C-BE32-E72D297353CC}">
              <c16:uniqueId val="{00000003-C0D1-41AE-B280-BCCD7EDA71F4}"/>
            </c:ext>
          </c:extLst>
        </c:ser>
        <c:ser>
          <c:idx val="4"/>
          <c:order val="9"/>
          <c:tx>
            <c:strRef>
              <c:f>Dat_01!$B$275</c:f>
              <c:strCache>
                <c:ptCount val="1"/>
                <c:pt idx="0">
                  <c:v>Solar fotovoltaica</c:v>
                </c:pt>
              </c:strCache>
            </c:strRef>
          </c:tx>
          <c:spPr>
            <a:solidFill>
              <a:srgbClr val="EE6112"/>
            </a:solidFill>
            <a:ln>
              <a:noFill/>
            </a:ln>
            <a:effectLst/>
          </c:spPr>
          <c:invertIfNegative val="0"/>
          <c:cat>
            <c:strRef>
              <c:f>Dat_01!$C$256:$O$256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Dat_01!$C$275:$O$275</c:f>
              <c:numCache>
                <c:formatCode>#,##0.0</c:formatCode>
                <c:ptCount val="13"/>
                <c:pt idx="0">
                  <c:v>4828.8</c:v>
                </c:pt>
                <c:pt idx="1">
                  <c:v>5984.15</c:v>
                </c:pt>
                <c:pt idx="2">
                  <c:v>6692.5249999999996</c:v>
                </c:pt>
                <c:pt idx="3">
                  <c:v>4274.6750000000002</c:v>
                </c:pt>
                <c:pt idx="4">
                  <c:v>6754.4</c:v>
                </c:pt>
                <c:pt idx="5">
                  <c:v>14755.35</c:v>
                </c:pt>
                <c:pt idx="6">
                  <c:v>7808.2749999999996</c:v>
                </c:pt>
                <c:pt idx="7">
                  <c:v>13868.125</c:v>
                </c:pt>
                <c:pt idx="8">
                  <c:v>5893.8</c:v>
                </c:pt>
                <c:pt idx="9">
                  <c:v>3504.1</c:v>
                </c:pt>
                <c:pt idx="10">
                  <c:v>5531.55</c:v>
                </c:pt>
                <c:pt idx="11">
                  <c:v>5355.3</c:v>
                </c:pt>
              </c:numCache>
            </c:numRef>
          </c:val>
          <c:extLst>
            <c:ext xmlns:c16="http://schemas.microsoft.com/office/drawing/2014/chart" uri="{C3380CC4-5D6E-409C-BE32-E72D297353CC}">
              <c16:uniqueId val="{00000005-523E-4381-B453-4598D42EBE55}"/>
            </c:ext>
          </c:extLst>
        </c:ser>
        <c:ser>
          <c:idx val="1"/>
          <c:order val="10"/>
          <c:tx>
            <c:strRef>
              <c:f>Dat_01!$B$276</c:f>
              <c:strCache>
                <c:ptCount val="1"/>
                <c:pt idx="0">
                  <c:v>Solar térmica</c:v>
                </c:pt>
              </c:strCache>
            </c:strRef>
          </c:tx>
          <c:spPr>
            <a:solidFill>
              <a:srgbClr val="FF0000"/>
            </a:solidFill>
            <a:ln>
              <a:noFill/>
            </a:ln>
            <a:effectLst/>
          </c:spPr>
          <c:invertIfNegative val="0"/>
          <c:cat>
            <c:strRef>
              <c:f>Dat_01!$C$256:$O$256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Dat_01!$C$276:$O$276</c:f>
              <c:numCache>
                <c:formatCode>#,##0.0</c:formatCode>
                <c:ptCount val="13"/>
                <c:pt idx="0">
                  <c:v>103.5</c:v>
                </c:pt>
                <c:pt idx="1">
                  <c:v>86</c:v>
                </c:pt>
                <c:pt idx="2">
                  <c:v>265.75</c:v>
                </c:pt>
                <c:pt idx="3">
                  <c:v>984</c:v>
                </c:pt>
                <c:pt idx="4">
                  <c:v>815.25</c:v>
                </c:pt>
                <c:pt idx="5">
                  <c:v>770.25</c:v>
                </c:pt>
                <c:pt idx="6">
                  <c:v>864.57500000000005</c:v>
                </c:pt>
                <c:pt idx="7">
                  <c:v>907.3</c:v>
                </c:pt>
                <c:pt idx="8">
                  <c:v>575.5</c:v>
                </c:pt>
                <c:pt idx="9">
                  <c:v>788.17499999999995</c:v>
                </c:pt>
                <c:pt idx="10">
                  <c:v>691.75</c:v>
                </c:pt>
                <c:pt idx="11">
                  <c:v>392.375</c:v>
                </c:pt>
              </c:numCache>
            </c:numRef>
          </c:val>
          <c:extLst>
            <c:ext xmlns:c16="http://schemas.microsoft.com/office/drawing/2014/chart" uri="{C3380CC4-5D6E-409C-BE32-E72D297353CC}">
              <c16:uniqueId val="{00000006-8804-4EE3-B2F3-6DEC3E90E4BD}"/>
            </c:ext>
          </c:extLst>
        </c:ser>
        <c:ser>
          <c:idx val="24"/>
          <c:order val="11"/>
          <c:tx>
            <c:strRef>
              <c:f>Dat_01!$B$277</c:f>
              <c:strCache>
                <c:ptCount val="1"/>
                <c:pt idx="0">
                  <c:v>Turbinación bombeo</c:v>
                </c:pt>
              </c:strCache>
            </c:strRef>
          </c:tx>
          <c:spPr>
            <a:solidFill>
              <a:srgbClr val="95B3D7"/>
            </a:solidFill>
            <a:ln>
              <a:noFill/>
            </a:ln>
            <a:effectLst/>
          </c:spPr>
          <c:invertIfNegative val="0"/>
          <c:cat>
            <c:strRef>
              <c:f>Dat_01!$C$256:$O$256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Dat_01!$C$277:$O$277</c:f>
              <c:numCache>
                <c:formatCode>#,##0.0</c:formatCode>
                <c:ptCount val="13"/>
                <c:pt idx="0">
                  <c:v>15439.674999999999</c:v>
                </c:pt>
                <c:pt idx="1">
                  <c:v>8457.2749999999996</c:v>
                </c:pt>
                <c:pt idx="2">
                  <c:v>13758.475</c:v>
                </c:pt>
                <c:pt idx="3">
                  <c:v>13137.825000000001</c:v>
                </c:pt>
                <c:pt idx="4">
                  <c:v>16514.55</c:v>
                </c:pt>
                <c:pt idx="5">
                  <c:v>15115.8</c:v>
                </c:pt>
                <c:pt idx="6">
                  <c:v>6738.7</c:v>
                </c:pt>
                <c:pt idx="7">
                  <c:v>19303.125</c:v>
                </c:pt>
                <c:pt idx="8">
                  <c:v>6517.85</c:v>
                </c:pt>
                <c:pt idx="9">
                  <c:v>6593.15</c:v>
                </c:pt>
                <c:pt idx="10">
                  <c:v>13094.475</c:v>
                </c:pt>
                <c:pt idx="11">
                  <c:v>11431.225</c:v>
                </c:pt>
              </c:numCache>
            </c:numRef>
          </c:val>
          <c:extLst>
            <c:ext xmlns:c16="http://schemas.microsoft.com/office/drawing/2014/chart" uri="{C3380CC4-5D6E-409C-BE32-E72D297353CC}">
              <c16:uniqueId val="{00000007-FAA4-4CCE-8D4F-74A3A14856A0}"/>
            </c:ext>
          </c:extLst>
        </c:ser>
        <c:ser>
          <c:idx val="6"/>
          <c:order val="12"/>
          <c:tx>
            <c:strRef>
              <c:f>Dat_01!$B$268</c:f>
              <c:strCache>
                <c:ptCount val="1"/>
                <c:pt idx="0">
                  <c:v>Hibridación</c:v>
                </c:pt>
              </c:strCache>
            </c:strRef>
          </c:tx>
          <c:spPr>
            <a:solidFill>
              <a:srgbClr val="28A064"/>
            </a:solidFill>
            <a:ln>
              <a:noFill/>
            </a:ln>
            <a:effectLst/>
          </c:spPr>
          <c:invertIfNegative val="0"/>
          <c:val>
            <c:numRef>
              <c:f>Dat_01!$C$268:$O$268</c:f>
              <c:numCache>
                <c:formatCode>#,##0.0</c:formatCode>
                <c:ptCount val="13"/>
                <c:pt idx="0">
                  <c:v>0</c:v>
                </c:pt>
                <c:pt idx="1">
                  <c:v>0</c:v>
                </c:pt>
                <c:pt idx="2">
                  <c:v>0</c:v>
                </c:pt>
                <c:pt idx="3">
                  <c:v>0</c:v>
                </c:pt>
                <c:pt idx="4">
                  <c:v>0</c:v>
                </c:pt>
                <c:pt idx="5">
                  <c:v>0</c:v>
                </c:pt>
                <c:pt idx="6">
                  <c:v>0</c:v>
                </c:pt>
                <c:pt idx="7">
                  <c:v>0</c:v>
                </c:pt>
                <c:pt idx="8">
                  <c:v>0.57499999999999996</c:v>
                </c:pt>
                <c:pt idx="9">
                  <c:v>0</c:v>
                </c:pt>
                <c:pt idx="10">
                  <c:v>0</c:v>
                </c:pt>
                <c:pt idx="11">
                  <c:v>0</c:v>
                </c:pt>
              </c:numCache>
            </c:numRef>
          </c:val>
          <c:extLst>
            <c:ext xmlns:c16="http://schemas.microsoft.com/office/drawing/2014/chart" uri="{C3380CC4-5D6E-409C-BE32-E72D297353CC}">
              <c16:uniqueId val="{00000002-C7A0-414B-B189-4CEEB41D219B}"/>
            </c:ext>
          </c:extLst>
        </c:ser>
        <c:dLbls>
          <c:showLegendKey val="0"/>
          <c:showVal val="0"/>
          <c:showCatName val="0"/>
          <c:showSerName val="0"/>
          <c:showPercent val="0"/>
          <c:showBubbleSize val="0"/>
        </c:dLbls>
        <c:gapWidth val="150"/>
        <c:overlap val="100"/>
        <c:axId val="531380120"/>
        <c:axId val="531380512"/>
        <c:extLst>
          <c:ext xmlns:c15="http://schemas.microsoft.com/office/drawing/2012/chart" uri="{02D57815-91ED-43cb-92C2-25804820EDAC}">
            <c15:filteredBarSeries>
              <c15:ser>
                <c:idx val="3"/>
                <c:order val="0"/>
                <c:tx>
                  <c:strRef>
                    <c:extLst>
                      <c:ext uri="{02D57815-91ED-43cb-92C2-25804820EDAC}">
                        <c15:formulaRef>
                          <c15:sqref>Dat_01!$B$260</c15:sqref>
                        </c15:formulaRef>
                      </c:ext>
                    </c:extLst>
                    <c:strCache>
                      <c:ptCount val="1"/>
                      <c:pt idx="0">
                        <c:v>Adquisición de Energía</c:v>
                      </c:pt>
                    </c:strCache>
                  </c:strRef>
                </c:tx>
                <c:spPr>
                  <a:solidFill>
                    <a:schemeClr val="accent4"/>
                  </a:solidFill>
                  <a:ln>
                    <a:noFill/>
                  </a:ln>
                  <a:effectLst/>
                </c:spPr>
                <c:invertIfNegative val="0"/>
                <c:cat>
                  <c:strRef>
                    <c:extLst>
                      <c:ext uri="{02D57815-91ED-43cb-92C2-25804820EDAC}">
                        <c15:formulaRef>
                          <c15:sqref>Dat_01!$C$256:$O$256</c15:sqref>
                        </c15:formulaRef>
                      </c:ext>
                    </c:extLst>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extLst>
                      <c:ext uri="{02D57815-91ED-43cb-92C2-25804820EDAC}">
                        <c15:formulaRef>
                          <c15:sqref>Dat_01!$C$260:$O$260</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23E-4381-B453-4598D42EBE55}"/>
                  </c:ext>
                </c:extLst>
              </c15:ser>
            </c15:filteredBarSeries>
          </c:ext>
        </c:extLst>
      </c:barChart>
      <c:lineChart>
        <c:grouping val="standard"/>
        <c:varyColors val="0"/>
        <c:ser>
          <c:idx val="0"/>
          <c:order val="13"/>
          <c:tx>
            <c:v>Precio ponderado necesidades a subir</c:v>
          </c:tx>
          <c:spPr>
            <a:ln w="28575" cap="rnd">
              <a:solidFill>
                <a:srgbClr val="004563"/>
              </a:solidFill>
              <a:round/>
            </a:ln>
            <a:effectLst/>
          </c:spPr>
          <c:marker>
            <c:symbol val="none"/>
          </c:marker>
          <c:cat>
            <c:numRef>
              <c:f>Dat_01!$C$234:$O$234</c:f>
              <c:numCache>
                <c:formatCode>#,##0.0</c:formatCode>
                <c:ptCount val="13"/>
                <c:pt idx="0">
                  <c:v>28796.799999999999</c:v>
                </c:pt>
                <c:pt idx="1">
                  <c:v>30971.184000000001</c:v>
                </c:pt>
                <c:pt idx="2">
                  <c:v>23083.05</c:v>
                </c:pt>
                <c:pt idx="3">
                  <c:v>24323</c:v>
                </c:pt>
                <c:pt idx="4">
                  <c:v>15956.517</c:v>
                </c:pt>
                <c:pt idx="5">
                  <c:v>10532.25</c:v>
                </c:pt>
                <c:pt idx="6">
                  <c:v>10383.450000000001</c:v>
                </c:pt>
                <c:pt idx="7">
                  <c:v>10664.65</c:v>
                </c:pt>
                <c:pt idx="8">
                  <c:v>13546.782999999999</c:v>
                </c:pt>
                <c:pt idx="9">
                  <c:v>17059.75</c:v>
                </c:pt>
                <c:pt idx="10">
                  <c:v>8942.5499999999993</c:v>
                </c:pt>
                <c:pt idx="11">
                  <c:v>10255.6</c:v>
                </c:pt>
                <c:pt idx="12">
                  <c:v>30050.967000000001</c:v>
                </c:pt>
              </c:numCache>
            </c:numRef>
          </c:cat>
          <c:val>
            <c:numRef>
              <c:f>Dat_01!$C$414:$O$414</c:f>
              <c:numCache>
                <c:formatCode>#,##0.00</c:formatCode>
                <c:ptCount val="13"/>
                <c:pt idx="0">
                  <c:v>132.73885826060001</c:v>
                </c:pt>
                <c:pt idx="1">
                  <c:v>118.5079301281</c:v>
                </c:pt>
                <c:pt idx="2">
                  <c:v>85.189289887900003</c:v>
                </c:pt>
                <c:pt idx="3">
                  <c:v>52.314215232599999</c:v>
                </c:pt>
                <c:pt idx="4">
                  <c:v>55.672629718300001</c:v>
                </c:pt>
                <c:pt idx="5">
                  <c:v>95.530108455900006</c:v>
                </c:pt>
                <c:pt idx="6">
                  <c:v>107.60287344539999</c:v>
                </c:pt>
                <c:pt idx="7">
                  <c:v>105.48086387319999</c:v>
                </c:pt>
                <c:pt idx="8">
                  <c:v>87.551958489200004</c:v>
                </c:pt>
                <c:pt idx="9">
                  <c:v>93.292720630199995</c:v>
                </c:pt>
                <c:pt idx="10">
                  <c:v>90.087431370600001</c:v>
                </c:pt>
                <c:pt idx="11">
                  <c:v>94.3620246941</c:v>
                </c:pt>
                <c:pt idx="12">
                  <c:v>0</c:v>
                </c:pt>
              </c:numCache>
            </c:numRef>
          </c:val>
          <c:smooth val="0"/>
          <c:extLst xmlns:c15="http://schemas.microsoft.com/office/drawing/2012/chart">
            <c:ext xmlns:c16="http://schemas.microsoft.com/office/drawing/2014/chart" uri="{C3380CC4-5D6E-409C-BE32-E72D297353CC}">
              <c16:uniqueId val="{00000000-0F8C-48FA-9FE2-300BE1CB04DB}"/>
            </c:ext>
          </c:extLst>
        </c:ser>
        <c:ser>
          <c:idx val="2"/>
          <c:order val="14"/>
          <c:tx>
            <c:v>Precio ponderado necesidades a bajar</c:v>
          </c:tx>
          <c:spPr>
            <a:ln w="28575" cap="rnd">
              <a:solidFill>
                <a:srgbClr val="004563"/>
              </a:solidFill>
              <a:round/>
            </a:ln>
            <a:effectLst/>
          </c:spPr>
          <c:marker>
            <c:symbol val="none"/>
          </c:marker>
          <c:dPt>
            <c:idx val="0"/>
            <c:marker>
              <c:symbol val="circle"/>
              <c:size val="5"/>
              <c:spPr>
                <a:noFill/>
                <a:ln w="9525">
                  <a:noFill/>
                </a:ln>
                <a:effectLst/>
              </c:spPr>
            </c:marker>
            <c:bubble3D val="0"/>
            <c:extLst>
              <c:ext xmlns:c16="http://schemas.microsoft.com/office/drawing/2014/chart" uri="{C3380CC4-5D6E-409C-BE32-E72D297353CC}">
                <c16:uniqueId val="{00000000-13BF-48A8-B69D-B8D5E68BDEFF}"/>
              </c:ext>
            </c:extLst>
          </c:dPt>
          <c:dPt>
            <c:idx val="1"/>
            <c:marker>
              <c:symbol val="none"/>
            </c:marker>
            <c:bubble3D val="0"/>
            <c:extLst>
              <c:ext xmlns:c16="http://schemas.microsoft.com/office/drawing/2014/chart" uri="{C3380CC4-5D6E-409C-BE32-E72D297353CC}">
                <c16:uniqueId val="{00000001-13BF-48A8-B69D-B8D5E68BDEFF}"/>
              </c:ext>
            </c:extLst>
          </c:dPt>
          <c:cat>
            <c:numRef>
              <c:f>Dat_01!$C$234:$O$234</c:f>
              <c:numCache>
                <c:formatCode>#,##0.0</c:formatCode>
                <c:ptCount val="13"/>
                <c:pt idx="0">
                  <c:v>28796.799999999999</c:v>
                </c:pt>
                <c:pt idx="1">
                  <c:v>30971.184000000001</c:v>
                </c:pt>
                <c:pt idx="2">
                  <c:v>23083.05</c:v>
                </c:pt>
                <c:pt idx="3">
                  <c:v>24323</c:v>
                </c:pt>
                <c:pt idx="4">
                  <c:v>15956.517</c:v>
                </c:pt>
                <c:pt idx="5">
                  <c:v>10532.25</c:v>
                </c:pt>
                <c:pt idx="6">
                  <c:v>10383.450000000001</c:v>
                </c:pt>
                <c:pt idx="7">
                  <c:v>10664.65</c:v>
                </c:pt>
                <c:pt idx="8">
                  <c:v>13546.782999999999</c:v>
                </c:pt>
                <c:pt idx="9">
                  <c:v>17059.75</c:v>
                </c:pt>
                <c:pt idx="10">
                  <c:v>8942.5499999999993</c:v>
                </c:pt>
                <c:pt idx="11">
                  <c:v>10255.6</c:v>
                </c:pt>
                <c:pt idx="12">
                  <c:v>30050.967000000001</c:v>
                </c:pt>
              </c:numCache>
            </c:numRef>
          </c:cat>
          <c:val>
            <c:numRef>
              <c:f>Dat_01!$C$420:$O$420</c:f>
              <c:numCache>
                <c:formatCode>General</c:formatCode>
                <c:ptCount val="13"/>
              </c:numCache>
            </c:numRef>
          </c:val>
          <c:smooth val="0"/>
          <c:extLst>
            <c:ext xmlns:c16="http://schemas.microsoft.com/office/drawing/2014/chart" uri="{C3380CC4-5D6E-409C-BE32-E72D297353CC}">
              <c16:uniqueId val="{00000017-0BB6-437A-8694-744A4374A8C7}"/>
            </c:ext>
          </c:extLst>
        </c:ser>
        <c:dLbls>
          <c:showLegendKey val="0"/>
          <c:showVal val="0"/>
          <c:showCatName val="0"/>
          <c:showSerName val="0"/>
          <c:showPercent val="0"/>
          <c:showBubbleSize val="0"/>
        </c:dLbls>
        <c:marker val="1"/>
        <c:smooth val="0"/>
        <c:axId val="1679778816"/>
        <c:axId val="1358625264"/>
      </c:lineChart>
      <c:catAx>
        <c:axId val="531380120"/>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512"/>
        <c:crosses val="autoZero"/>
        <c:auto val="1"/>
        <c:lblAlgn val="ctr"/>
        <c:lblOffset val="100"/>
        <c:noMultiLvlLbl val="0"/>
      </c:catAx>
      <c:valAx>
        <c:axId val="531380512"/>
        <c:scaling>
          <c:orientation val="minMax"/>
          <c:max val="6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7029649094866487E-2"/>
              <c:y val="1.5773539206781716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80120"/>
        <c:crosses val="autoZero"/>
        <c:crossBetween val="between"/>
        <c:majorUnit val="50000"/>
        <c:dispUnits>
          <c:builtInUnit val="thousands"/>
        </c:dispUnits>
      </c:valAx>
      <c:valAx>
        <c:axId val="1358625264"/>
        <c:scaling>
          <c:orientation val="minMax"/>
          <c:max val="180"/>
          <c:min val="-4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1679778816"/>
        <c:crosses val="max"/>
        <c:crossBetween val="between"/>
        <c:majorUnit val="20"/>
      </c:valAx>
      <c:catAx>
        <c:axId val="1679778816"/>
        <c:scaling>
          <c:orientation val="minMax"/>
        </c:scaling>
        <c:delete val="1"/>
        <c:axPos val="b"/>
        <c:numFmt formatCode="#,##0.0" sourceLinked="1"/>
        <c:majorTickMark val="out"/>
        <c:minorTickMark val="none"/>
        <c:tickLblPos val="nextTo"/>
        <c:crossAx val="1358625264"/>
        <c:crosses val="autoZero"/>
        <c:auto val="1"/>
        <c:lblAlgn val="ctr"/>
        <c:lblOffset val="100"/>
        <c:noMultiLvlLbl val="0"/>
      </c:cat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33550132249E-2"/>
          <c:y val="9.4486306741537782E-2"/>
          <c:w val="0.90045357141064819"/>
          <c:h val="0.7661059014131465"/>
        </c:manualLayout>
      </c:layout>
      <c:barChart>
        <c:barDir val="col"/>
        <c:grouping val="stacked"/>
        <c:varyColors val="0"/>
        <c:ser>
          <c:idx val="3"/>
          <c:order val="0"/>
          <c:tx>
            <c:v>Asignación SEPE</c:v>
          </c:tx>
          <c:spPr>
            <a:solidFill>
              <a:srgbClr val="0070C0"/>
            </a:solidFill>
            <a:ln>
              <a:noFill/>
            </a:ln>
            <a:effectLst/>
          </c:spPr>
          <c:invertIfNegative val="0"/>
          <c:cat>
            <c:strRef>
              <c:f>Dat_01!$C$256:$O$256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Dat_01!$C$278:$O$278</c:f>
              <c:numCache>
                <c:formatCode>#,##0.0</c:formatCode>
                <c:ptCount val="13"/>
                <c:pt idx="0">
                  <c:v>212742.45</c:v>
                </c:pt>
                <c:pt idx="1">
                  <c:v>177752.55</c:v>
                </c:pt>
                <c:pt idx="2">
                  <c:v>146083.95000000001</c:v>
                </c:pt>
                <c:pt idx="3">
                  <c:v>84725.774999999994</c:v>
                </c:pt>
                <c:pt idx="4">
                  <c:v>96502.45</c:v>
                </c:pt>
                <c:pt idx="5">
                  <c:v>227112.42499999999</c:v>
                </c:pt>
                <c:pt idx="6">
                  <c:v>173241.47500000001</c:v>
                </c:pt>
                <c:pt idx="7">
                  <c:v>241457.35</c:v>
                </c:pt>
                <c:pt idx="8">
                  <c:v>110235.15</c:v>
                </c:pt>
                <c:pt idx="9">
                  <c:v>146188.15</c:v>
                </c:pt>
                <c:pt idx="10">
                  <c:v>272916.97499999998</c:v>
                </c:pt>
                <c:pt idx="11">
                  <c:v>358012.22499999998</c:v>
                </c:pt>
              </c:numCache>
            </c:numRef>
          </c:val>
          <c:extLst>
            <c:ext xmlns:c16="http://schemas.microsoft.com/office/drawing/2014/chart" uri="{C3380CC4-5D6E-409C-BE32-E72D297353CC}">
              <c16:uniqueId val="{00000000-DE6D-4CF2-925F-F6AC094EE969}"/>
            </c:ext>
          </c:extLst>
        </c:ser>
        <c:ser>
          <c:idx val="4"/>
          <c:order val="1"/>
          <c:tx>
            <c:v>Asignación Francia</c:v>
          </c:tx>
          <c:spPr>
            <a:solidFill>
              <a:srgbClr val="EE6112"/>
            </a:solidFill>
            <a:ln>
              <a:noFill/>
            </a:ln>
            <a:effectLst/>
          </c:spPr>
          <c:invertIfNegative val="0"/>
          <c:cat>
            <c:strRef>
              <c:f>Dat_01!$C$256:$O$256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Dat_01!$D$322:$P$322</c:f>
              <c:numCache>
                <c:formatCode>#,##0.0</c:formatCode>
                <c:ptCount val="13"/>
                <c:pt idx="0">
                  <c:v>18787</c:v>
                </c:pt>
                <c:pt idx="1">
                  <c:v>12671</c:v>
                </c:pt>
                <c:pt idx="2">
                  <c:v>13320.25</c:v>
                </c:pt>
                <c:pt idx="3">
                  <c:v>681.75</c:v>
                </c:pt>
                <c:pt idx="4">
                  <c:v>287.25</c:v>
                </c:pt>
                <c:pt idx="5">
                  <c:v>5295.4750000000004</c:v>
                </c:pt>
                <c:pt idx="6">
                  <c:v>2319</c:v>
                </c:pt>
                <c:pt idx="7">
                  <c:v>3809</c:v>
                </c:pt>
                <c:pt idx="8">
                  <c:v>515.75</c:v>
                </c:pt>
                <c:pt idx="9">
                  <c:v>499.25</c:v>
                </c:pt>
                <c:pt idx="10">
                  <c:v>106.52500000000001</c:v>
                </c:pt>
                <c:pt idx="11">
                  <c:v>7.25</c:v>
                </c:pt>
                <c:pt idx="12">
                  <c:v>0</c:v>
                </c:pt>
              </c:numCache>
            </c:numRef>
          </c:val>
          <c:extLst>
            <c:ext xmlns:c16="http://schemas.microsoft.com/office/drawing/2014/chart" uri="{C3380CC4-5D6E-409C-BE32-E72D297353CC}">
              <c16:uniqueId val="{00000001-DE6D-4CF2-925F-F6AC094EE969}"/>
            </c:ext>
          </c:extLst>
        </c:ser>
        <c:ser>
          <c:idx val="5"/>
          <c:order val="2"/>
          <c:tx>
            <c:v>Asignación Portugal</c:v>
          </c:tx>
          <c:spPr>
            <a:solidFill>
              <a:srgbClr val="92D050"/>
            </a:solidFill>
            <a:ln>
              <a:noFill/>
            </a:ln>
            <a:effectLst/>
          </c:spPr>
          <c:invertIfNegative val="0"/>
          <c:cat>
            <c:strRef>
              <c:f>Dat_01!$C$256:$O$256</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Dat_01!$D$323:$P$323</c:f>
              <c:numCache>
                <c:formatCode>#,##0.0</c:formatCode>
                <c:ptCount val="13"/>
                <c:pt idx="0">
                  <c:v>67725.7</c:v>
                </c:pt>
                <c:pt idx="1">
                  <c:v>37653.699999999997</c:v>
                </c:pt>
                <c:pt idx="2">
                  <c:v>90855.824999999997</c:v>
                </c:pt>
                <c:pt idx="3">
                  <c:v>107349.6</c:v>
                </c:pt>
                <c:pt idx="4">
                  <c:v>45497.95</c:v>
                </c:pt>
                <c:pt idx="5">
                  <c:v>58107.324999999997</c:v>
                </c:pt>
                <c:pt idx="6">
                  <c:v>87431.875</c:v>
                </c:pt>
                <c:pt idx="7">
                  <c:v>151069.52499999999</c:v>
                </c:pt>
                <c:pt idx="8">
                  <c:v>169281.95</c:v>
                </c:pt>
                <c:pt idx="9">
                  <c:v>87906.774999999994</c:v>
                </c:pt>
                <c:pt idx="10">
                  <c:v>79773.399999999994</c:v>
                </c:pt>
                <c:pt idx="11">
                  <c:v>68561.274999999994</c:v>
                </c:pt>
                <c:pt idx="12">
                  <c:v>0</c:v>
                </c:pt>
              </c:numCache>
            </c:numRef>
          </c:val>
          <c:extLst>
            <c:ext xmlns:c16="http://schemas.microsoft.com/office/drawing/2014/chart" uri="{C3380CC4-5D6E-409C-BE32-E72D297353CC}">
              <c16:uniqueId val="{00000002-DE6D-4CF2-925F-F6AC094EE96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v>Necesidad cubierta</c:v>
          </c:tx>
          <c:spPr>
            <a:ln w="28575" cap="rnd">
              <a:solidFill>
                <a:schemeClr val="accent1">
                  <a:lumMod val="60000"/>
                </a:schemeClr>
              </a:solidFill>
              <a:round/>
            </a:ln>
            <a:effectLst/>
          </c:spPr>
          <c:marker>
            <c:symbol val="none"/>
          </c:marker>
          <c:cat>
            <c:multiLvlStrRef>
              <c:f>#REF!</c:f>
            </c:multiLvlStrRef>
          </c:cat>
          <c:val>
            <c:numRef>
              <c:f>Dat_01!$B$315:$N$315</c:f>
              <c:numCache>
                <c:formatCode>#,##0.0</c:formatCode>
                <c:ptCount val="13"/>
                <c:pt idx="0">
                  <c:v>90348.25</c:v>
                </c:pt>
                <c:pt idx="1">
                  <c:v>44962.25</c:v>
                </c:pt>
                <c:pt idx="2">
                  <c:v>68619</c:v>
                </c:pt>
                <c:pt idx="3">
                  <c:v>41863.5</c:v>
                </c:pt>
                <c:pt idx="4">
                  <c:v>74085.75</c:v>
                </c:pt>
                <c:pt idx="5">
                  <c:v>181182</c:v>
                </c:pt>
                <c:pt idx="6">
                  <c:v>130987</c:v>
                </c:pt>
                <c:pt idx="7">
                  <c:v>228947.75</c:v>
                </c:pt>
                <c:pt idx="8">
                  <c:v>79264.25</c:v>
                </c:pt>
                <c:pt idx="9">
                  <c:v>101717.5</c:v>
                </c:pt>
                <c:pt idx="10">
                  <c:v>243754</c:v>
                </c:pt>
                <c:pt idx="11">
                  <c:v>287199.25</c:v>
                </c:pt>
                <c:pt idx="12">
                  <c:v>0</c:v>
                </c:pt>
              </c:numCache>
            </c:numRef>
          </c:val>
          <c:smooth val="0"/>
          <c:extLst>
            <c:ext xmlns:c16="http://schemas.microsoft.com/office/drawing/2014/chart" uri="{C3380CC4-5D6E-409C-BE32-E72D297353CC}">
              <c16:uniqueId val="{00000003-DE6D-4CF2-925F-F6AC094EE96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592"/>
        <c:crosses val="autoZero"/>
        <c:auto val="1"/>
        <c:lblAlgn val="ctr"/>
        <c:lblOffset val="100"/>
        <c:noMultiLvlLbl val="0"/>
      </c:catAx>
      <c:valAx>
        <c:axId val="531376592"/>
        <c:scaling>
          <c:orientation val="minMax"/>
          <c:max val="70000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rgbClr val="004563"/>
                    </a:solidFill>
                    <a:latin typeface="+mn-lt"/>
                    <a:ea typeface="+mn-ea"/>
                    <a:cs typeface="+mn-cs"/>
                  </a:defRPr>
                </a:pPr>
                <a:r>
                  <a:rPr lang="es-ES"/>
                  <a:t>GWh</a:t>
                </a:r>
              </a:p>
            </c:rich>
          </c:tx>
          <c:layout>
            <c:manualLayout>
              <c:xMode val="edge"/>
              <c:yMode val="edge"/>
              <c:x val="1.9573578595317727E-2"/>
              <c:y val="1.3117620345140781E-2"/>
            </c:manualLayout>
          </c:layout>
          <c:overlay val="0"/>
          <c:spPr>
            <a:noFill/>
            <a:ln>
              <a:noFill/>
            </a:ln>
            <a:effectLst/>
          </c:spPr>
          <c:txPr>
            <a:bodyPr rot="0" spcFirstLastPara="1" vertOverflow="ellipsis" wrap="square" anchor="ctr" anchorCtr="1"/>
            <a:lstStyle/>
            <a:p>
              <a:pPr>
                <a:defRPr sz="800" b="0" i="0" u="none" strike="noStrike" kern="1200" baseline="0">
                  <a:solidFill>
                    <a:srgbClr val="004563"/>
                  </a:solidFill>
                  <a:latin typeface="+mn-lt"/>
                  <a:ea typeface="+mn-ea"/>
                  <a:cs typeface="+mn-cs"/>
                </a:defRPr>
              </a:pPr>
              <a:endParaRPr lang="es-E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100000"/>
        <c:dispUnits>
          <c:builtInUnit val="thousands"/>
        </c:dispUnits>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0690292767511E-2"/>
          <c:y val="3.4295879170573376E-2"/>
          <c:w val="0.90045357141064819"/>
          <c:h val="0.7661059014131465"/>
        </c:manualLayout>
      </c:layout>
      <c:barChart>
        <c:barDir val="col"/>
        <c:grouping val="stacked"/>
        <c:varyColors val="0"/>
        <c:ser>
          <c:idx val="3"/>
          <c:order val="0"/>
          <c:tx>
            <c:v>Asignación SEPE</c:v>
          </c:tx>
          <c:spPr>
            <a:solidFill>
              <a:srgbClr val="0070C0"/>
            </a:solidFill>
            <a:ln>
              <a:noFill/>
            </a:ln>
            <a:effectLst/>
          </c:spPr>
          <c:invertIfNegative val="0"/>
          <c:val>
            <c:numRef>
              <c:f>Dat_01!$C$297:$O$297</c:f>
              <c:numCache>
                <c:formatCode>#,##0.0</c:formatCode>
                <c:ptCount val="13"/>
                <c:pt idx="0">
                  <c:v>332759.75</c:v>
                </c:pt>
                <c:pt idx="1">
                  <c:v>413482.3</c:v>
                </c:pt>
                <c:pt idx="2">
                  <c:v>516814.67499999999</c:v>
                </c:pt>
                <c:pt idx="3">
                  <c:v>470764.1</c:v>
                </c:pt>
                <c:pt idx="4">
                  <c:v>223657.05</c:v>
                </c:pt>
                <c:pt idx="5">
                  <c:v>132555.47500000001</c:v>
                </c:pt>
                <c:pt idx="6">
                  <c:v>238342.95</c:v>
                </c:pt>
                <c:pt idx="7">
                  <c:v>278312.125</c:v>
                </c:pt>
                <c:pt idx="8">
                  <c:v>383411.42499999999</c:v>
                </c:pt>
                <c:pt idx="9">
                  <c:v>225690.27499999999</c:v>
                </c:pt>
                <c:pt idx="10">
                  <c:v>144194.22500000001</c:v>
                </c:pt>
                <c:pt idx="11">
                  <c:v>95640.45</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4F1F-4CF8-9D95-D539AC569E99}"/>
            </c:ext>
          </c:extLst>
        </c:ser>
        <c:ser>
          <c:idx val="4"/>
          <c:order val="1"/>
          <c:tx>
            <c:v>Asignación Francia</c:v>
          </c:tx>
          <c:spPr>
            <a:solidFill>
              <a:srgbClr val="EE6112"/>
            </a:solidFill>
            <a:ln>
              <a:noFill/>
            </a:ln>
            <a:effectLst/>
          </c:spPr>
          <c:invertIfNegative val="0"/>
          <c:val>
            <c:numRef>
              <c:f>Dat_01!$D$326:$P$326</c:f>
              <c:numCache>
                <c:formatCode>#,##0.0</c:formatCode>
                <c:ptCount val="13"/>
                <c:pt idx="0">
                  <c:v>25033</c:v>
                </c:pt>
                <c:pt idx="1">
                  <c:v>30692</c:v>
                </c:pt>
                <c:pt idx="2">
                  <c:v>11006.25</c:v>
                </c:pt>
                <c:pt idx="3">
                  <c:v>7049</c:v>
                </c:pt>
                <c:pt idx="4">
                  <c:v>2391.75</c:v>
                </c:pt>
                <c:pt idx="5">
                  <c:v>1830.55</c:v>
                </c:pt>
                <c:pt idx="6">
                  <c:v>6831.75</c:v>
                </c:pt>
                <c:pt idx="7">
                  <c:v>22222.5</c:v>
                </c:pt>
                <c:pt idx="8">
                  <c:v>11528</c:v>
                </c:pt>
                <c:pt idx="9">
                  <c:v>5142.5</c:v>
                </c:pt>
                <c:pt idx="10">
                  <c:v>1643.75</c:v>
                </c:pt>
                <c:pt idx="11">
                  <c:v>348</c:v>
                </c:pt>
                <c:pt idx="12">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4F1F-4CF8-9D95-D539AC569E99}"/>
            </c:ext>
          </c:extLst>
        </c:ser>
        <c:ser>
          <c:idx val="5"/>
          <c:order val="2"/>
          <c:tx>
            <c:v>Asignación Portugal</c:v>
          </c:tx>
          <c:spPr>
            <a:solidFill>
              <a:srgbClr val="92D050"/>
            </a:solidFill>
            <a:ln>
              <a:noFill/>
            </a:ln>
            <a:effectLst/>
          </c:spPr>
          <c:invertIfNegative val="0"/>
          <c:val>
            <c:numRef>
              <c:f>Dat_01!$D$327:$P$327</c:f>
              <c:numCache>
                <c:formatCode>#,##0.0</c:formatCode>
                <c:ptCount val="13"/>
                <c:pt idx="0">
                  <c:v>117100.4</c:v>
                </c:pt>
                <c:pt idx="1">
                  <c:v>135901.20000000001</c:v>
                </c:pt>
                <c:pt idx="2">
                  <c:v>69626.600000000006</c:v>
                </c:pt>
                <c:pt idx="3">
                  <c:v>72019.05</c:v>
                </c:pt>
                <c:pt idx="4">
                  <c:v>38927.1</c:v>
                </c:pt>
                <c:pt idx="5">
                  <c:v>57586.7</c:v>
                </c:pt>
                <c:pt idx="6">
                  <c:v>68132.399999999994</c:v>
                </c:pt>
                <c:pt idx="7">
                  <c:v>35923.474999999999</c:v>
                </c:pt>
                <c:pt idx="8">
                  <c:v>44227.425000000003</c:v>
                </c:pt>
                <c:pt idx="9">
                  <c:v>47369.9</c:v>
                </c:pt>
                <c:pt idx="10">
                  <c:v>48789.425000000003</c:v>
                </c:pt>
                <c:pt idx="11">
                  <c:v>75038.05</c:v>
                </c:pt>
                <c:pt idx="12">
                  <c:v>0</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4F1F-4CF8-9D95-D539AC569E99}"/>
            </c:ext>
          </c:extLst>
        </c:ser>
        <c:dLbls>
          <c:showLegendKey val="0"/>
          <c:showVal val="0"/>
          <c:showCatName val="0"/>
          <c:showSerName val="0"/>
          <c:showPercent val="0"/>
          <c:showBubbleSize val="0"/>
        </c:dLbls>
        <c:gapWidth val="150"/>
        <c:overlap val="100"/>
        <c:axId val="531376984"/>
        <c:axId val="531376592"/>
        <c:extLst/>
      </c:barChart>
      <c:lineChart>
        <c:grouping val="standard"/>
        <c:varyColors val="0"/>
        <c:ser>
          <c:idx val="6"/>
          <c:order val="3"/>
          <c:tx>
            <c:v>Necesidad cubierta</c:v>
          </c:tx>
          <c:spPr>
            <a:ln w="28575" cap="rnd">
              <a:solidFill>
                <a:schemeClr val="accent1">
                  <a:lumMod val="60000"/>
                </a:schemeClr>
              </a:solidFill>
              <a:round/>
            </a:ln>
            <a:effectLst/>
          </c:spPr>
          <c:marker>
            <c:symbol val="none"/>
          </c:marker>
          <c:val>
            <c:numRef>
              <c:f>Dat_01!$B$316:$N$316</c:f>
              <c:numCache>
                <c:formatCode>#,##0.0</c:formatCode>
                <c:ptCount val="13"/>
                <c:pt idx="0">
                  <c:v>265986.25</c:v>
                </c:pt>
                <c:pt idx="1">
                  <c:v>396960.5</c:v>
                </c:pt>
                <c:pt idx="2">
                  <c:v>417916.5</c:v>
                </c:pt>
                <c:pt idx="3">
                  <c:v>399899.75</c:v>
                </c:pt>
                <c:pt idx="4">
                  <c:v>196774</c:v>
                </c:pt>
                <c:pt idx="5">
                  <c:v>82639.5</c:v>
                </c:pt>
                <c:pt idx="6">
                  <c:v>181301.75</c:v>
                </c:pt>
                <c:pt idx="7">
                  <c:v>169070</c:v>
                </c:pt>
                <c:pt idx="8">
                  <c:v>238398.25</c:v>
                </c:pt>
                <c:pt idx="9">
                  <c:v>145326</c:v>
                </c:pt>
                <c:pt idx="10">
                  <c:v>85584.5</c:v>
                </c:pt>
                <c:pt idx="11">
                  <c:v>31645</c:v>
                </c:pt>
                <c:pt idx="12">
                  <c:v>0</c:v>
                </c:pt>
              </c:numCache>
            </c:numRef>
          </c:val>
          <c:smooth val="0"/>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4F1F-4CF8-9D95-D539AC569E99}"/>
            </c:ext>
          </c:extLst>
        </c:ser>
        <c:dLbls>
          <c:showLegendKey val="0"/>
          <c:showVal val="0"/>
          <c:showCatName val="0"/>
          <c:showSerName val="0"/>
          <c:showPercent val="0"/>
          <c:showBubbleSize val="0"/>
        </c:dLbls>
        <c:marker val="1"/>
        <c:smooth val="0"/>
        <c:axId val="531376984"/>
        <c:axId val="531376592"/>
      </c:lineChart>
      <c:catAx>
        <c:axId val="531376984"/>
        <c:scaling>
          <c:orientation val="minMax"/>
        </c:scaling>
        <c:delete val="1"/>
        <c:axPos val="t"/>
        <c:numFmt formatCode="General" sourceLinked="1"/>
        <c:majorTickMark val="out"/>
        <c:minorTickMark val="none"/>
        <c:tickLblPos val="low"/>
        <c:crossAx val="531376592"/>
        <c:crosses val="autoZero"/>
        <c:auto val="1"/>
        <c:lblAlgn val="ctr"/>
        <c:lblOffset val="100"/>
        <c:noMultiLvlLbl val="0"/>
      </c:catAx>
      <c:valAx>
        <c:axId val="531376592"/>
        <c:scaling>
          <c:orientation val="maxMin"/>
          <c:max val="70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6984"/>
        <c:crosses val="autoZero"/>
        <c:crossBetween val="between"/>
        <c:majorUnit val="100000"/>
        <c:dispUnits>
          <c:builtInUnit val="thousand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00510755159565E-2"/>
          <c:y val="9.4486551258994314E-2"/>
          <c:w val="0.90045357141064819"/>
          <c:h val="0.66833475448334823"/>
        </c:manualLayout>
      </c:layout>
      <c:barChart>
        <c:barDir val="col"/>
        <c:grouping val="stacked"/>
        <c:varyColors val="0"/>
        <c:ser>
          <c:idx val="13"/>
          <c:order val="0"/>
          <c:tx>
            <c:strRef>
              <c:f>Dat_01!$B$359</c:f>
              <c:strCache>
                <c:ptCount val="1"/>
                <c:pt idx="0">
                  <c:v>Carbón</c:v>
                </c:pt>
              </c:strCache>
            </c:strRef>
          </c:tx>
          <c:spPr>
            <a:solidFill>
              <a:srgbClr val="993300"/>
            </a:solidFill>
            <a:ln>
              <a:noFill/>
            </a:ln>
            <a:effectLst/>
          </c:spPr>
          <c:invertIfNegative val="0"/>
          <c:val>
            <c:numRef>
              <c:f>Dat_01!$C$359:$O$359</c:f>
              <c:numCache>
                <c:formatCode>#,##0.0</c:formatCode>
                <c:ptCount val="13"/>
                <c:pt idx="0">
                  <c:v>0</c:v>
                </c:pt>
                <c:pt idx="1">
                  <c:v>0</c:v>
                </c:pt>
                <c:pt idx="2">
                  <c:v>120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B-7CA2-4EAD-A708-444D1CD632C6}"/>
            </c:ext>
          </c:extLst>
        </c:ser>
        <c:ser>
          <c:idx val="11"/>
          <c:order val="1"/>
          <c:tx>
            <c:strRef>
              <c:f>Dat_01!$B$360</c:f>
              <c:strCache>
                <c:ptCount val="1"/>
                <c:pt idx="0">
                  <c:v>Ciclo Combinado</c:v>
                </c:pt>
              </c:strCache>
            </c:strRef>
          </c:tx>
          <c:spPr>
            <a:solidFill>
              <a:srgbClr val="FFCC66"/>
            </a:solidFill>
            <a:ln>
              <a:noFill/>
            </a:ln>
            <a:effectLst/>
          </c:spPr>
          <c:invertIfNegative val="0"/>
          <c:val>
            <c:numRef>
              <c:f>Dat_01!$C$360:$O$360</c:f>
              <c:numCache>
                <c:formatCode>#,##0.0</c:formatCode>
                <c:ptCount val="13"/>
                <c:pt idx="0">
                  <c:v>690.8</c:v>
                </c:pt>
                <c:pt idx="1">
                  <c:v>0</c:v>
                </c:pt>
                <c:pt idx="2">
                  <c:v>7.65</c:v>
                </c:pt>
                <c:pt idx="3">
                  <c:v>139.28299999999999</c:v>
                </c:pt>
                <c:pt idx="4">
                  <c:v>2.5000000000000001E-2</c:v>
                </c:pt>
                <c:pt idx="5">
                  <c:v>625.5</c:v>
                </c:pt>
                <c:pt idx="6">
                  <c:v>3000.125</c:v>
                </c:pt>
                <c:pt idx="7">
                  <c:v>1021.775</c:v>
                </c:pt>
                <c:pt idx="8">
                  <c:v>3133.625</c:v>
                </c:pt>
                <c:pt idx="9">
                  <c:v>12633.041999999999</c:v>
                </c:pt>
                <c:pt idx="10">
                  <c:v>572.625</c:v>
                </c:pt>
                <c:pt idx="11">
                  <c:v>1128.8</c:v>
                </c:pt>
                <c:pt idx="12">
                  <c:v>1669.25</c:v>
                </c:pt>
              </c:numCache>
            </c:numRef>
          </c:val>
          <c:extLst>
            <c:ext xmlns:c16="http://schemas.microsoft.com/office/drawing/2014/chart" uri="{C3380CC4-5D6E-409C-BE32-E72D297353CC}">
              <c16:uniqueId val="{00000000-7CA2-4EAD-A708-444D1CD632C6}"/>
            </c:ext>
          </c:extLst>
        </c:ser>
        <c:ser>
          <c:idx val="10"/>
          <c:order val="2"/>
          <c:tx>
            <c:strRef>
              <c:f>Dat_01!$B$361</c:f>
              <c:strCache>
                <c:ptCount val="1"/>
                <c:pt idx="0">
                  <c:v>Cogeneración</c:v>
                </c:pt>
              </c:strCache>
            </c:strRef>
          </c:tx>
          <c:spPr>
            <a:solidFill>
              <a:srgbClr val="CFA2CA"/>
            </a:solidFill>
            <a:ln>
              <a:noFill/>
            </a:ln>
            <a:effectLst/>
          </c:spPr>
          <c:invertIfNegative val="0"/>
          <c:val>
            <c:numRef>
              <c:f>Dat_01!$C$361:$O$361</c:f>
              <c:numCache>
                <c:formatCode>#,##0.0</c:formatCode>
                <c:ptCount val="13"/>
                <c:pt idx="0">
                  <c:v>17.097000000000001</c:v>
                </c:pt>
                <c:pt idx="1">
                  <c:v>18.25</c:v>
                </c:pt>
                <c:pt idx="2">
                  <c:v>352.702</c:v>
                </c:pt>
                <c:pt idx="3">
                  <c:v>1314.1389999999999</c:v>
                </c:pt>
                <c:pt idx="4">
                  <c:v>893.82399999999996</c:v>
                </c:pt>
                <c:pt idx="5">
                  <c:v>2378.8139999999999</c:v>
                </c:pt>
                <c:pt idx="6">
                  <c:v>6273.4949999999999</c:v>
                </c:pt>
                <c:pt idx="7">
                  <c:v>4302.4539999999997</c:v>
                </c:pt>
                <c:pt idx="8">
                  <c:v>2024.335</c:v>
                </c:pt>
                <c:pt idx="9">
                  <c:v>2029.9390000000001</c:v>
                </c:pt>
                <c:pt idx="10">
                  <c:v>273.53800000000001</c:v>
                </c:pt>
                <c:pt idx="11">
                  <c:v>377.13200000000001</c:v>
                </c:pt>
                <c:pt idx="12">
                  <c:v>786.62800000000004</c:v>
                </c:pt>
              </c:numCache>
            </c:numRef>
          </c:val>
          <c:extLst>
            <c:ext xmlns:c16="http://schemas.microsoft.com/office/drawing/2014/chart" uri="{C3380CC4-5D6E-409C-BE32-E72D297353CC}">
              <c16:uniqueId val="{00000001-7CA2-4EAD-A708-444D1CD632C6}"/>
            </c:ext>
          </c:extLst>
        </c:ser>
        <c:ser>
          <c:idx val="3"/>
          <c:order val="3"/>
          <c:tx>
            <c:strRef>
              <c:f>Dat_01!$B$362</c:f>
              <c:strCache>
                <c:ptCount val="1"/>
                <c:pt idx="0">
                  <c:v>Consumo Bombeo</c:v>
                </c:pt>
              </c:strCache>
            </c:strRef>
          </c:tx>
          <c:spPr>
            <a:solidFill>
              <a:srgbClr val="2C4D75"/>
            </a:solidFill>
            <a:ln>
              <a:noFill/>
            </a:ln>
            <a:effectLst/>
          </c:spPr>
          <c:invertIfNegative val="0"/>
          <c:val>
            <c:numRef>
              <c:f>Dat_01!$C$362:$O$362</c:f>
              <c:numCache>
                <c:formatCode>#,##0.0</c:formatCode>
                <c:ptCount val="13"/>
                <c:pt idx="0">
                  <c:v>14398.216</c:v>
                </c:pt>
                <c:pt idx="1">
                  <c:v>2875.8339999999998</c:v>
                </c:pt>
                <c:pt idx="2">
                  <c:v>1714.424</c:v>
                </c:pt>
                <c:pt idx="3">
                  <c:v>2159.3330000000001</c:v>
                </c:pt>
                <c:pt idx="4">
                  <c:v>5583.5</c:v>
                </c:pt>
                <c:pt idx="5">
                  <c:v>2946.4760000000001</c:v>
                </c:pt>
                <c:pt idx="6">
                  <c:v>3981.25</c:v>
                </c:pt>
                <c:pt idx="7">
                  <c:v>6001.4319999999998</c:v>
                </c:pt>
                <c:pt idx="8">
                  <c:v>3894.6080000000002</c:v>
                </c:pt>
                <c:pt idx="9">
                  <c:v>15149.841</c:v>
                </c:pt>
                <c:pt idx="10">
                  <c:v>10963.05</c:v>
                </c:pt>
                <c:pt idx="11">
                  <c:v>25532.89</c:v>
                </c:pt>
                <c:pt idx="12">
                  <c:v>14325.141</c:v>
                </c:pt>
              </c:numCache>
            </c:numRef>
          </c:val>
          <c:extLst>
            <c:ext xmlns:c16="http://schemas.microsoft.com/office/drawing/2014/chart" uri="{C3380CC4-5D6E-409C-BE32-E72D297353CC}">
              <c16:uniqueId val="{00000002-7CA2-4EAD-A708-444D1CD632C6}"/>
            </c:ext>
          </c:extLst>
        </c:ser>
        <c:ser>
          <c:idx val="4"/>
          <c:order val="4"/>
          <c:tx>
            <c:strRef>
              <c:f>Dat_01!$B$363</c:f>
              <c:strCache>
                <c:ptCount val="1"/>
                <c:pt idx="0">
                  <c:v>Enlace Península Baleares</c:v>
                </c:pt>
              </c:strCache>
            </c:strRef>
          </c:tx>
          <c:spPr>
            <a:solidFill>
              <a:srgbClr val="A99BBD"/>
            </a:solidFill>
            <a:ln>
              <a:noFill/>
            </a:ln>
            <a:effectLst/>
          </c:spPr>
          <c:invertIfNegative val="0"/>
          <c:val>
            <c:numRef>
              <c:f>Dat_01!$C$363:$O$363</c:f>
              <c:numCache>
                <c:formatCode>#,##0.0</c:formatCode>
                <c:ptCount val="13"/>
                <c:pt idx="0">
                  <c:v>0</c:v>
                </c:pt>
                <c:pt idx="1">
                  <c:v>0</c:v>
                </c:pt>
                <c:pt idx="2">
                  <c:v>30.225000000000001</c:v>
                </c:pt>
                <c:pt idx="3">
                  <c:v>42.7</c:v>
                </c:pt>
                <c:pt idx="4">
                  <c:v>0</c:v>
                </c:pt>
                <c:pt idx="5">
                  <c:v>0</c:v>
                </c:pt>
                <c:pt idx="6">
                  <c:v>17.925000000000001</c:v>
                </c:pt>
                <c:pt idx="7">
                  <c:v>13.3</c:v>
                </c:pt>
                <c:pt idx="8">
                  <c:v>0</c:v>
                </c:pt>
                <c:pt idx="9">
                  <c:v>0.1</c:v>
                </c:pt>
                <c:pt idx="10">
                  <c:v>40</c:v>
                </c:pt>
                <c:pt idx="11">
                  <c:v>0</c:v>
                </c:pt>
                <c:pt idx="12">
                  <c:v>0</c:v>
                </c:pt>
              </c:numCache>
            </c:numRef>
          </c:val>
          <c:extLst>
            <c:ext xmlns:c16="http://schemas.microsoft.com/office/drawing/2014/chart" uri="{C3380CC4-5D6E-409C-BE32-E72D297353CC}">
              <c16:uniqueId val="{00000000-0A83-4B5E-AA36-7AB943911250}"/>
            </c:ext>
          </c:extLst>
        </c:ser>
        <c:ser>
          <c:idx val="14"/>
          <c:order val="5"/>
          <c:tx>
            <c:strRef>
              <c:f>Dat_01!$B$364</c:f>
              <c:strCache>
                <c:ptCount val="1"/>
                <c:pt idx="0">
                  <c:v>Eólica</c:v>
                </c:pt>
              </c:strCache>
            </c:strRef>
          </c:tx>
          <c:spPr>
            <a:solidFill>
              <a:srgbClr val="70AD47"/>
            </a:solidFill>
            <a:ln>
              <a:noFill/>
            </a:ln>
            <a:effectLst/>
          </c:spPr>
          <c:invertIfNegative val="0"/>
          <c:val>
            <c:numRef>
              <c:f>Dat_01!$C$364:$O$364</c:f>
              <c:numCache>
                <c:formatCode>#,##0.0</c:formatCode>
                <c:ptCount val="13"/>
                <c:pt idx="0">
                  <c:v>16272.343999999999</c:v>
                </c:pt>
                <c:pt idx="1">
                  <c:v>5190.7349999999997</c:v>
                </c:pt>
                <c:pt idx="2">
                  <c:v>21109.850999999999</c:v>
                </c:pt>
                <c:pt idx="3">
                  <c:v>10600.206</c:v>
                </c:pt>
                <c:pt idx="4">
                  <c:v>15107.638999999999</c:v>
                </c:pt>
                <c:pt idx="5">
                  <c:v>13384.953</c:v>
                </c:pt>
                <c:pt idx="6">
                  <c:v>131985.40100000001</c:v>
                </c:pt>
                <c:pt idx="7">
                  <c:v>53466.71</c:v>
                </c:pt>
                <c:pt idx="8">
                  <c:v>31702.144</c:v>
                </c:pt>
                <c:pt idx="9">
                  <c:v>78564.706000000006</c:v>
                </c:pt>
                <c:pt idx="10">
                  <c:v>31349.627</c:v>
                </c:pt>
                <c:pt idx="11">
                  <c:v>41919.404000000002</c:v>
                </c:pt>
                <c:pt idx="12">
                  <c:v>19118.609</c:v>
                </c:pt>
              </c:numCache>
            </c:numRef>
          </c:val>
          <c:extLst>
            <c:ext xmlns:c16="http://schemas.microsoft.com/office/drawing/2014/chart" uri="{C3380CC4-5D6E-409C-BE32-E72D297353CC}">
              <c16:uniqueId val="{00000000-1C5B-4735-838D-9CBE7A91C711}"/>
            </c:ext>
          </c:extLst>
        </c:ser>
        <c:ser>
          <c:idx val="17"/>
          <c:order val="6"/>
          <c:tx>
            <c:strRef>
              <c:f>Dat_01!$B$365</c:f>
              <c:strCache>
                <c:ptCount val="1"/>
                <c:pt idx="0">
                  <c:v>Hibridación</c:v>
                </c:pt>
              </c:strCache>
            </c:strRef>
          </c:tx>
          <c:spPr>
            <a:solidFill>
              <a:srgbClr val="28A064"/>
            </a:solidFill>
            <a:ln>
              <a:noFill/>
            </a:ln>
            <a:effectLst/>
          </c:spPr>
          <c:invertIfNegative val="0"/>
          <c:val>
            <c:numRef>
              <c:f>Dat_01!$C$365:$O$365</c:f>
              <c:numCache>
                <c:formatCode>#,##0.0</c:formatCode>
                <c:ptCount val="13"/>
                <c:pt idx="0">
                  <c:v>4.125</c:v>
                </c:pt>
                <c:pt idx="1">
                  <c:v>14.95</c:v>
                </c:pt>
                <c:pt idx="2">
                  <c:v>639.66700000000003</c:v>
                </c:pt>
                <c:pt idx="3">
                  <c:v>1319.4960000000001</c:v>
                </c:pt>
                <c:pt idx="4">
                  <c:v>943.077</c:v>
                </c:pt>
                <c:pt idx="5">
                  <c:v>2505.9189999999999</c:v>
                </c:pt>
                <c:pt idx="6">
                  <c:v>4386.8270000000002</c:v>
                </c:pt>
                <c:pt idx="7">
                  <c:v>1433.252</c:v>
                </c:pt>
                <c:pt idx="8">
                  <c:v>1680.0920000000001</c:v>
                </c:pt>
                <c:pt idx="9">
                  <c:v>3212.7779999999998</c:v>
                </c:pt>
                <c:pt idx="10">
                  <c:v>1972.2629999999999</c:v>
                </c:pt>
                <c:pt idx="11">
                  <c:v>1066.75</c:v>
                </c:pt>
                <c:pt idx="12">
                  <c:v>3403.2849999999999</c:v>
                </c:pt>
              </c:numCache>
            </c:numRef>
          </c:val>
          <c:extLst>
            <c:ext xmlns:c16="http://schemas.microsoft.com/office/drawing/2014/chart" uri="{C3380CC4-5D6E-409C-BE32-E72D297353CC}">
              <c16:uniqueId val="{00000000-3855-4192-9351-8648EF4D0195}"/>
            </c:ext>
          </c:extLst>
        </c:ser>
        <c:ser>
          <c:idx val="5"/>
          <c:order val="7"/>
          <c:tx>
            <c:strRef>
              <c:f>Dat_01!$B$366</c:f>
              <c:strCache>
                <c:ptCount val="1"/>
                <c:pt idx="0">
                  <c:v>Hidráulica</c:v>
                </c:pt>
              </c:strCache>
            </c:strRef>
          </c:tx>
          <c:spPr>
            <a:solidFill>
              <a:srgbClr val="00B0F0"/>
            </a:solidFill>
            <a:ln>
              <a:noFill/>
            </a:ln>
            <a:effectLst/>
          </c:spPr>
          <c:invertIfNegative val="0"/>
          <c:val>
            <c:numRef>
              <c:f>Dat_01!$C$366:$O$366</c:f>
              <c:numCache>
                <c:formatCode>#,##0.0</c:formatCode>
                <c:ptCount val="13"/>
                <c:pt idx="0">
                  <c:v>735.99199999999996</c:v>
                </c:pt>
                <c:pt idx="1">
                  <c:v>42.469000000000001</c:v>
                </c:pt>
                <c:pt idx="2">
                  <c:v>65.772999999999996</c:v>
                </c:pt>
                <c:pt idx="3">
                  <c:v>2249.5949999999998</c:v>
                </c:pt>
                <c:pt idx="4">
                  <c:v>2043.925</c:v>
                </c:pt>
                <c:pt idx="5">
                  <c:v>3560.598</c:v>
                </c:pt>
                <c:pt idx="6">
                  <c:v>5141.38</c:v>
                </c:pt>
                <c:pt idx="7">
                  <c:v>5499.3530000000001</c:v>
                </c:pt>
                <c:pt idx="8">
                  <c:v>188.095</c:v>
                </c:pt>
                <c:pt idx="9">
                  <c:v>505.98399999999998</c:v>
                </c:pt>
                <c:pt idx="10">
                  <c:v>150.90899999999999</c:v>
                </c:pt>
                <c:pt idx="11">
                  <c:v>733.23500000000001</c:v>
                </c:pt>
                <c:pt idx="12">
                  <c:v>800.19</c:v>
                </c:pt>
              </c:numCache>
            </c:numRef>
          </c:val>
          <c:extLst>
            <c:ext xmlns:c16="http://schemas.microsoft.com/office/drawing/2014/chart" uri="{C3380CC4-5D6E-409C-BE32-E72D297353CC}">
              <c16:uniqueId val="{00000004-7CA2-4EAD-A708-444D1CD632C6}"/>
            </c:ext>
          </c:extLst>
        </c:ser>
        <c:ser>
          <c:idx val="15"/>
          <c:order val="8"/>
          <c:tx>
            <c:strRef>
              <c:f>Dat_01!$B$368</c:f>
              <c:strCache>
                <c:ptCount val="1"/>
                <c:pt idx="0">
                  <c:v>Internacionales</c:v>
                </c:pt>
              </c:strCache>
            </c:strRef>
          </c:tx>
          <c:spPr>
            <a:solidFill>
              <a:srgbClr val="E5DDB7"/>
            </a:solidFill>
            <a:ln>
              <a:noFill/>
            </a:ln>
            <a:effectLst/>
          </c:spPr>
          <c:invertIfNegative val="0"/>
          <c:val>
            <c:numRef>
              <c:f>Dat_01!$C$368:$O$368</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4068-41C2-BE70-A197ABE4FA63}"/>
            </c:ext>
          </c:extLst>
        </c:ser>
        <c:ser>
          <c:idx val="7"/>
          <c:order val="9"/>
          <c:tx>
            <c:strRef>
              <c:f>Dat_01!$B$369</c:f>
              <c:strCache>
                <c:ptCount val="1"/>
                <c:pt idx="0">
                  <c:v>Nuclear</c:v>
                </c:pt>
              </c:strCache>
            </c:strRef>
          </c:tx>
          <c:spPr>
            <a:solidFill>
              <a:srgbClr val="464394"/>
            </a:solidFill>
            <a:ln>
              <a:noFill/>
            </a:ln>
            <a:effectLst/>
          </c:spPr>
          <c:invertIfNegative val="0"/>
          <c:val>
            <c:numRef>
              <c:f>Dat_01!$C$369:$O$369</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570D-46DA-917D-F6348224334E}"/>
            </c:ext>
          </c:extLst>
        </c:ser>
        <c:ser>
          <c:idx val="6"/>
          <c:order val="10"/>
          <c:tx>
            <c:strRef>
              <c:f>Dat_01!$B$370</c:f>
              <c:strCache>
                <c:ptCount val="1"/>
                <c:pt idx="0">
                  <c:v>Otras Renovables</c:v>
                </c:pt>
              </c:strCache>
            </c:strRef>
          </c:tx>
          <c:spPr>
            <a:solidFill>
              <a:srgbClr val="9A5CBC"/>
            </a:solidFill>
            <a:ln>
              <a:noFill/>
            </a:ln>
            <a:effectLst/>
          </c:spPr>
          <c:invertIfNegative val="0"/>
          <c:val>
            <c:numRef>
              <c:f>Dat_01!$C$370:$O$370</c:f>
              <c:numCache>
                <c:formatCode>#,##0.0</c:formatCode>
                <c:ptCount val="13"/>
                <c:pt idx="0">
                  <c:v>10.464</c:v>
                </c:pt>
                <c:pt idx="1">
                  <c:v>0</c:v>
                </c:pt>
                <c:pt idx="2">
                  <c:v>274.47500000000002</c:v>
                </c:pt>
                <c:pt idx="3">
                  <c:v>1254.827</c:v>
                </c:pt>
                <c:pt idx="4">
                  <c:v>1793.0419999999999</c:v>
                </c:pt>
                <c:pt idx="5">
                  <c:v>2355.221</c:v>
                </c:pt>
                <c:pt idx="6">
                  <c:v>2419.3009999999999</c:v>
                </c:pt>
                <c:pt idx="7">
                  <c:v>1658.9880000000001</c:v>
                </c:pt>
                <c:pt idx="8">
                  <c:v>1278.7840000000001</c:v>
                </c:pt>
                <c:pt idx="9">
                  <c:v>1742.4670000000001</c:v>
                </c:pt>
                <c:pt idx="10">
                  <c:v>18.949000000000002</c:v>
                </c:pt>
                <c:pt idx="11">
                  <c:v>39.518999999999998</c:v>
                </c:pt>
                <c:pt idx="12">
                  <c:v>262.69600000000003</c:v>
                </c:pt>
              </c:numCache>
            </c:numRef>
          </c:val>
          <c:extLst>
            <c:ext xmlns:c16="http://schemas.microsoft.com/office/drawing/2014/chart" uri="{C3380CC4-5D6E-409C-BE32-E72D297353CC}">
              <c16:uniqueId val="{00000005-7CA2-4EAD-A708-444D1CD632C6}"/>
            </c:ext>
          </c:extLst>
        </c:ser>
        <c:ser>
          <c:idx val="0"/>
          <c:order val="11"/>
          <c:tx>
            <c:strRef>
              <c:f>Dat_01!$B$371</c:f>
              <c:strCache>
                <c:ptCount val="1"/>
                <c:pt idx="0">
                  <c:v>Residuos no Renovables</c:v>
                </c:pt>
              </c:strCache>
            </c:strRef>
          </c:tx>
          <c:spPr>
            <a:solidFill>
              <a:srgbClr val="7F7F7F"/>
            </a:solidFill>
            <a:ln>
              <a:noFill/>
            </a:ln>
            <a:effectLst/>
          </c:spPr>
          <c:invertIfNegative val="0"/>
          <c:val>
            <c:numRef>
              <c:f>Dat_01!$C$371:$O$371</c:f>
              <c:numCache>
                <c:formatCode>#,##0.0</c:formatCode>
                <c:ptCount val="13"/>
                <c:pt idx="0">
                  <c:v>0</c:v>
                </c:pt>
                <c:pt idx="1">
                  <c:v>0</c:v>
                </c:pt>
                <c:pt idx="2">
                  <c:v>0</c:v>
                </c:pt>
                <c:pt idx="3">
                  <c:v>0</c:v>
                </c:pt>
                <c:pt idx="4">
                  <c:v>0</c:v>
                </c:pt>
                <c:pt idx="5">
                  <c:v>122.68300000000001</c:v>
                </c:pt>
                <c:pt idx="6">
                  <c:v>1111.912</c:v>
                </c:pt>
                <c:pt idx="7">
                  <c:v>779.20500000000004</c:v>
                </c:pt>
                <c:pt idx="8">
                  <c:v>0</c:v>
                </c:pt>
                <c:pt idx="9">
                  <c:v>0.16800000000000001</c:v>
                </c:pt>
                <c:pt idx="10">
                  <c:v>25.091000000000001</c:v>
                </c:pt>
                <c:pt idx="11">
                  <c:v>0</c:v>
                </c:pt>
                <c:pt idx="12">
                  <c:v>0</c:v>
                </c:pt>
              </c:numCache>
            </c:numRef>
          </c:val>
          <c:extLst>
            <c:ext xmlns:c16="http://schemas.microsoft.com/office/drawing/2014/chart" uri="{C3380CC4-5D6E-409C-BE32-E72D297353CC}">
              <c16:uniqueId val="{00000006-7CA2-4EAD-A708-444D1CD632C6}"/>
            </c:ext>
          </c:extLst>
        </c:ser>
        <c:ser>
          <c:idx val="8"/>
          <c:order val="12"/>
          <c:tx>
            <c:strRef>
              <c:f>Dat_01!$B$372</c:f>
              <c:strCache>
                <c:ptCount val="1"/>
                <c:pt idx="0">
                  <c:v>Solar fotovoltaica</c:v>
                </c:pt>
              </c:strCache>
            </c:strRef>
          </c:tx>
          <c:spPr>
            <a:solidFill>
              <a:srgbClr val="ED7D31"/>
            </a:solidFill>
            <a:ln>
              <a:noFill/>
            </a:ln>
            <a:effectLst/>
          </c:spPr>
          <c:invertIfNegative val="0"/>
          <c:val>
            <c:numRef>
              <c:f>Dat_01!$C$372:$O$372</c:f>
              <c:numCache>
                <c:formatCode>#,##0.0</c:formatCode>
                <c:ptCount val="13"/>
                <c:pt idx="0">
                  <c:v>297.23099999999999</c:v>
                </c:pt>
                <c:pt idx="1">
                  <c:v>1129.2550000000001</c:v>
                </c:pt>
                <c:pt idx="2">
                  <c:v>38619.468999999997</c:v>
                </c:pt>
                <c:pt idx="3">
                  <c:v>36877.692000000003</c:v>
                </c:pt>
                <c:pt idx="4">
                  <c:v>51954.457000000002</c:v>
                </c:pt>
                <c:pt idx="5">
                  <c:v>132370.96599999999</c:v>
                </c:pt>
                <c:pt idx="6">
                  <c:v>223344.245</c:v>
                </c:pt>
                <c:pt idx="7">
                  <c:v>63965.084000000003</c:v>
                </c:pt>
                <c:pt idx="8">
                  <c:v>19560.11</c:v>
                </c:pt>
                <c:pt idx="9">
                  <c:v>61583.904999999999</c:v>
                </c:pt>
                <c:pt idx="10">
                  <c:v>6305.0339999999997</c:v>
                </c:pt>
                <c:pt idx="11">
                  <c:v>1891.778</c:v>
                </c:pt>
                <c:pt idx="12">
                  <c:v>2707.0210000000002</c:v>
                </c:pt>
              </c:numCache>
            </c:numRef>
          </c:val>
          <c:extLst>
            <c:ext xmlns:c16="http://schemas.microsoft.com/office/drawing/2014/chart" uri="{C3380CC4-5D6E-409C-BE32-E72D297353CC}">
              <c16:uniqueId val="{00000008-7CA2-4EAD-A708-444D1CD632C6}"/>
            </c:ext>
          </c:extLst>
        </c:ser>
        <c:ser>
          <c:idx val="9"/>
          <c:order val="13"/>
          <c:tx>
            <c:strRef>
              <c:f>Dat_01!$B$373</c:f>
              <c:strCache>
                <c:ptCount val="1"/>
                <c:pt idx="0">
                  <c:v>Solar térmica</c:v>
                </c:pt>
              </c:strCache>
            </c:strRef>
          </c:tx>
          <c:spPr>
            <a:solidFill>
              <a:srgbClr val="FF0000"/>
            </a:solidFill>
            <a:ln>
              <a:noFill/>
            </a:ln>
            <a:effectLst/>
          </c:spPr>
          <c:invertIfNegative val="0"/>
          <c:val>
            <c:numRef>
              <c:f>Dat_01!$C$373:$O$373</c:f>
              <c:numCache>
                <c:formatCode>#,##0.0</c:formatCode>
                <c:ptCount val="13"/>
                <c:pt idx="0">
                  <c:v>102.47499999999999</c:v>
                </c:pt>
                <c:pt idx="1">
                  <c:v>151.67500000000001</c:v>
                </c:pt>
                <c:pt idx="2">
                  <c:v>2600.2660000000001</c:v>
                </c:pt>
                <c:pt idx="3">
                  <c:v>15191.608</c:v>
                </c:pt>
                <c:pt idx="4">
                  <c:v>25605.382000000001</c:v>
                </c:pt>
                <c:pt idx="5">
                  <c:v>37295.190999999999</c:v>
                </c:pt>
                <c:pt idx="6">
                  <c:v>32322.863000000001</c:v>
                </c:pt>
                <c:pt idx="7">
                  <c:v>16218.591</c:v>
                </c:pt>
                <c:pt idx="8">
                  <c:v>5669.5519999999997</c:v>
                </c:pt>
                <c:pt idx="9">
                  <c:v>8192.3739999999998</c:v>
                </c:pt>
                <c:pt idx="10">
                  <c:v>221.136</c:v>
                </c:pt>
                <c:pt idx="11">
                  <c:v>6.3490000000000002</c:v>
                </c:pt>
                <c:pt idx="12">
                  <c:v>44.374000000000002</c:v>
                </c:pt>
              </c:numCache>
            </c:numRef>
          </c:val>
          <c:extLst>
            <c:ext xmlns:c16="http://schemas.microsoft.com/office/drawing/2014/chart" uri="{C3380CC4-5D6E-409C-BE32-E72D297353CC}">
              <c16:uniqueId val="{00000009-7CA2-4EAD-A708-444D1CD632C6}"/>
            </c:ext>
          </c:extLst>
        </c:ser>
        <c:ser>
          <c:idx val="12"/>
          <c:order val="14"/>
          <c:tx>
            <c:strRef>
              <c:f>Dat_01!$B$375</c:f>
              <c:strCache>
                <c:ptCount val="1"/>
                <c:pt idx="0">
                  <c:v>Turbinación bombeo</c:v>
                </c:pt>
              </c:strCache>
            </c:strRef>
          </c:tx>
          <c:spPr>
            <a:solidFill>
              <a:srgbClr val="95B3D7"/>
            </a:solidFill>
            <a:ln>
              <a:noFill/>
            </a:ln>
            <a:effectLst/>
          </c:spPr>
          <c:invertIfNegative val="0"/>
          <c:val>
            <c:numRef>
              <c:f>Dat_01!$C$375:$O$375</c:f>
              <c:numCache>
                <c:formatCode>#,##0.0</c:formatCode>
                <c:ptCount val="13"/>
                <c:pt idx="0">
                  <c:v>649.82500000000005</c:v>
                </c:pt>
                <c:pt idx="1">
                  <c:v>0</c:v>
                </c:pt>
                <c:pt idx="2">
                  <c:v>1116.925</c:v>
                </c:pt>
                <c:pt idx="3">
                  <c:v>147.36600000000001</c:v>
                </c:pt>
                <c:pt idx="4">
                  <c:v>3262.7249999999999</c:v>
                </c:pt>
                <c:pt idx="5">
                  <c:v>2493.3420000000001</c:v>
                </c:pt>
                <c:pt idx="6">
                  <c:v>31460.519</c:v>
                </c:pt>
                <c:pt idx="7">
                  <c:v>14627.808000000001</c:v>
                </c:pt>
                <c:pt idx="8">
                  <c:v>439.1</c:v>
                </c:pt>
                <c:pt idx="9">
                  <c:v>116.1</c:v>
                </c:pt>
                <c:pt idx="10">
                  <c:v>65.5</c:v>
                </c:pt>
                <c:pt idx="11">
                  <c:v>6874.9160000000002</c:v>
                </c:pt>
                <c:pt idx="12">
                  <c:v>7145.2420000000002</c:v>
                </c:pt>
              </c:numCache>
            </c:numRef>
          </c:val>
          <c:extLst>
            <c:ext xmlns:c16="http://schemas.microsoft.com/office/drawing/2014/chart" uri="{C3380CC4-5D6E-409C-BE32-E72D297353CC}">
              <c16:uniqueId val="{0000000A-7CA2-4EAD-A708-444D1CD632C6}"/>
            </c:ext>
          </c:extLst>
        </c:ser>
        <c:ser>
          <c:idx val="18"/>
          <c:order val="16"/>
          <c:tx>
            <c:strRef>
              <c:f>Dat_01!$B$374</c:f>
              <c:strCache>
                <c:ptCount val="1"/>
                <c:pt idx="0">
                  <c:v>Turbina Vapor, Gas y Fuel</c:v>
                </c:pt>
              </c:strCache>
            </c:strRef>
          </c:tx>
          <c:spPr>
            <a:solidFill>
              <a:srgbClr val="C00000"/>
            </a:solidFill>
            <a:ln>
              <a:noFill/>
            </a:ln>
            <a:effectLst/>
          </c:spPr>
          <c:invertIfNegative val="0"/>
          <c:val>
            <c:numRef>
              <c:f>Dat_01!$C$374:$O$374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F3B6-4706-AEEA-707E451E4293}"/>
            </c:ext>
          </c:extLst>
        </c:ser>
        <c:dLbls>
          <c:showLegendKey val="0"/>
          <c:showVal val="0"/>
          <c:showCatName val="0"/>
          <c:showSerName val="0"/>
          <c:showPercent val="0"/>
          <c:showBubbleSize val="0"/>
        </c:dLbls>
        <c:gapWidth val="150"/>
        <c:overlap val="100"/>
        <c:axId val="531374240"/>
        <c:axId val="531373848"/>
        <c:extLst>
          <c:ext xmlns:c15="http://schemas.microsoft.com/office/drawing/2012/chart" uri="{02D57815-91ED-43cb-92C2-25804820EDAC}">
            <c15:filteredBarSeries>
              <c15:ser>
                <c:idx val="16"/>
                <c:order val="15"/>
                <c:tx>
                  <c:strRef>
                    <c:extLst>
                      <c:ext uri="{02D57815-91ED-43cb-92C2-25804820EDAC}">
                        <c15:formulaRef>
                          <c15:sqref>Dat_01!$B$358</c15:sqref>
                        </c15:formulaRef>
                      </c:ext>
                    </c:extLst>
                    <c:strCache>
                      <c:ptCount val="1"/>
                      <c:pt idx="0">
                        <c:v>Almacenamiento</c:v>
                      </c:pt>
                    </c:strCache>
                  </c:strRef>
                </c:tx>
                <c:spPr>
                  <a:solidFill>
                    <a:schemeClr val="tx1"/>
                  </a:solidFill>
                  <a:ln>
                    <a:noFill/>
                  </a:ln>
                  <a:effectLst/>
                </c:spPr>
                <c:invertIfNegative val="0"/>
                <c:val>
                  <c:numRef>
                    <c:extLst>
                      <c:ext uri="{02D57815-91ED-43cb-92C2-25804820EDAC}">
                        <c15:formulaRef>
                          <c15:sqref>Dat_01!$C$358:$O$358</c15:sqref>
                        </c15:formulaRef>
                      </c:ext>
                    </c:extLst>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23CF-437E-92F0-46CFB2AE8070}"/>
                  </c:ext>
                </c:extLst>
              </c15:ser>
            </c15:filteredBarSeries>
          </c:ext>
        </c:extLst>
      </c:barChart>
      <c:lineChart>
        <c:grouping val="standard"/>
        <c:varyColors val="0"/>
        <c:ser>
          <c:idx val="1"/>
          <c:order val="17"/>
          <c:tx>
            <c:v>Precio medio subir</c:v>
          </c:tx>
          <c:spPr>
            <a:ln w="28575" cap="rnd">
              <a:solidFill>
                <a:srgbClr val="004563"/>
              </a:solidFill>
              <a:round/>
            </a:ln>
            <a:effectLst/>
          </c:spPr>
          <c:marker>
            <c:symbol val="none"/>
          </c:marker>
          <c:val>
            <c:numRef>
              <c:f>Dat_01!$C$408:$O$408</c:f>
              <c:numCache>
                <c:formatCode>General</c:formatCode>
                <c:ptCount val="13"/>
              </c:numCache>
            </c:numRef>
          </c:val>
          <c:smooth val="0"/>
          <c:extLst>
            <c:ext xmlns:c16="http://schemas.microsoft.com/office/drawing/2014/chart" uri="{C3380CC4-5D6E-409C-BE32-E72D297353CC}">
              <c16:uniqueId val="{00000001-474B-48A2-BC99-84CC8D26AF2E}"/>
            </c:ext>
          </c:extLst>
        </c:ser>
        <c:ser>
          <c:idx val="2"/>
          <c:order val="18"/>
          <c:tx>
            <c:v>Precio medio bajar</c:v>
          </c:tx>
          <c:spPr>
            <a:ln w="28575" cap="rnd">
              <a:solidFill>
                <a:srgbClr val="404040"/>
              </a:solidFill>
              <a:round/>
            </a:ln>
            <a:effectLst/>
          </c:spPr>
          <c:marker>
            <c:symbol val="none"/>
          </c:marker>
          <c:val>
            <c:numRef>
              <c:f>Dat_01!$C$405:$O$405</c:f>
              <c:numCache>
                <c:formatCode>#,##0.00</c:formatCode>
                <c:ptCount val="13"/>
                <c:pt idx="0">
                  <c:v>34.347338602035499</c:v>
                </c:pt>
                <c:pt idx="1">
                  <c:v>32.386280461199497</c:v>
                </c:pt>
                <c:pt idx="2">
                  <c:v>-105.857374548515</c:v>
                </c:pt>
                <c:pt idx="3">
                  <c:v>-151.95851905293199</c:v>
                </c:pt>
                <c:pt idx="4">
                  <c:v>-136.52684326860901</c:v>
                </c:pt>
                <c:pt idx="5">
                  <c:v>-87.937670231433103</c:v>
                </c:pt>
                <c:pt idx="6">
                  <c:v>-49.776885172126498</c:v>
                </c:pt>
                <c:pt idx="7">
                  <c:v>-36.745907028188597</c:v>
                </c:pt>
                <c:pt idx="8">
                  <c:v>-45.205144467913101</c:v>
                </c:pt>
                <c:pt idx="9">
                  <c:v>-56.700768444130503</c:v>
                </c:pt>
                <c:pt idx="10">
                  <c:v>-23.385671125824199</c:v>
                </c:pt>
                <c:pt idx="11">
                  <c:v>14.4702230778882</c:v>
                </c:pt>
                <c:pt idx="12">
                  <c:v>16.703954068740298</c:v>
                </c:pt>
              </c:numCache>
            </c:numRef>
          </c:val>
          <c:smooth val="0"/>
          <c:extLst>
            <c:ext xmlns:c16="http://schemas.microsoft.com/office/drawing/2014/chart" uri="{C3380CC4-5D6E-409C-BE32-E72D297353CC}">
              <c16:uniqueId val="{0000000E-7CA2-4EAD-A708-444D1CD632C6}"/>
            </c:ext>
          </c:extLst>
        </c:ser>
        <c:dLbls>
          <c:showLegendKey val="0"/>
          <c:showVal val="0"/>
          <c:showCatName val="0"/>
          <c:showSerName val="0"/>
          <c:showPercent val="0"/>
          <c:showBubbleSize val="0"/>
        </c:dLbls>
        <c:marker val="1"/>
        <c:smooth val="0"/>
        <c:axId val="531373064"/>
        <c:axId val="531373456"/>
      </c:lineChart>
      <c:catAx>
        <c:axId val="531374240"/>
        <c:scaling>
          <c:orientation val="minMax"/>
        </c:scaling>
        <c:delete val="1"/>
        <c:axPos val="t"/>
        <c:numFmt formatCode="General" sourceLinked="1"/>
        <c:majorTickMark val="none"/>
        <c:minorTickMark val="none"/>
        <c:tickLblPos val="nextTo"/>
        <c:crossAx val="531373848"/>
        <c:crosses val="autoZero"/>
        <c:auto val="1"/>
        <c:lblAlgn val="ctr"/>
        <c:lblOffset val="100"/>
        <c:noMultiLvlLbl val="0"/>
      </c:catAx>
      <c:valAx>
        <c:axId val="531373848"/>
        <c:scaling>
          <c:orientation val="maxMin"/>
          <c:max val="900000"/>
        </c:scaling>
        <c:delete val="0"/>
        <c:axPos val="l"/>
        <c:majorGridlines>
          <c:spPr>
            <a:ln w="3175" cap="flat" cmpd="sng" algn="ctr">
              <a:solidFill>
                <a:srgbClr val="004563"/>
              </a:solidFill>
              <a:prstDash val="sys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4240"/>
        <c:crosses val="autoZero"/>
        <c:crossBetween val="between"/>
        <c:dispUnits>
          <c:builtInUnit val="thousands"/>
        </c:dispUnits>
      </c:valAx>
      <c:valAx>
        <c:axId val="531373456"/>
        <c:scaling>
          <c:orientation val="maxMin"/>
          <c:max val="360"/>
          <c:min val="-18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3064"/>
        <c:crosses val="max"/>
        <c:crossBetween val="between"/>
        <c:majorUnit val="60"/>
      </c:valAx>
      <c:catAx>
        <c:axId val="531373064"/>
        <c:scaling>
          <c:orientation val="minMax"/>
        </c:scaling>
        <c:delete val="1"/>
        <c:axPos val="t"/>
        <c:numFmt formatCode="General" sourceLinked="1"/>
        <c:majorTickMark val="out"/>
        <c:minorTickMark val="none"/>
        <c:tickLblPos val="nextTo"/>
        <c:crossAx val="531373456"/>
        <c:crosses val="autoZero"/>
        <c:auto val="1"/>
        <c:lblAlgn val="ctr"/>
        <c:lblOffset val="100"/>
        <c:noMultiLvlLbl val="0"/>
      </c:catAx>
      <c:spPr>
        <a:noFill/>
        <a:ln>
          <a:noFill/>
        </a:ln>
        <a:effectLst/>
      </c:spPr>
    </c:plotArea>
    <c:legend>
      <c:legendPos val="b"/>
      <c:layout>
        <c:manualLayout>
          <c:xMode val="edge"/>
          <c:yMode val="edge"/>
          <c:x val="5.1875110025633289E-2"/>
          <c:y val="0.79793862450626063"/>
          <c:w val="0.88816895712871868"/>
          <c:h val="0.2020614048870111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13070936983E-2"/>
          <c:y val="0.20901159094243654"/>
          <c:w val="0.87712252783722078"/>
          <c:h val="0.66738592458551371"/>
        </c:manualLayout>
      </c:layout>
      <c:barChart>
        <c:barDir val="col"/>
        <c:grouping val="stacked"/>
        <c:varyColors val="0"/>
        <c:ser>
          <c:idx val="0"/>
          <c:order val="0"/>
          <c:tx>
            <c:strRef>
              <c:f>Dat_01!$C$424</c:f>
              <c:strCache>
                <c:ptCount val="1"/>
                <c:pt idx="0">
                  <c:v>%h con p=&lt;0</c:v>
                </c:pt>
              </c:strCache>
            </c:strRef>
          </c:tx>
          <c:spPr>
            <a:solidFill>
              <a:srgbClr val="0090D1"/>
            </a:solidFill>
            <a:ln>
              <a:noFill/>
            </a:ln>
          </c:spPr>
          <c:invertIfNegative val="0"/>
          <c:cat>
            <c:strRef>
              <c:f>Dat_01!$A$425:$A$437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Dat_01!$C$425:$C$437</c:f>
              <c:numCache>
                <c:formatCode>#,##0.00</c:formatCode>
                <c:ptCount val="13"/>
                <c:pt idx="0">
                  <c:v>0.13440860215053765</c:v>
                </c:pt>
                <c:pt idx="1">
                  <c:v>0</c:v>
                </c:pt>
                <c:pt idx="2">
                  <c:v>9.690444145356663</c:v>
                </c:pt>
                <c:pt idx="3">
                  <c:v>24.861111111111111</c:v>
                </c:pt>
                <c:pt idx="4">
                  <c:v>36.155913978494624</c:v>
                </c:pt>
                <c:pt idx="5">
                  <c:v>11.944444444444445</c:v>
                </c:pt>
                <c:pt idx="6">
                  <c:v>4.032258064516129</c:v>
                </c:pt>
                <c:pt idx="7">
                  <c:v>7.661290322580645</c:v>
                </c:pt>
                <c:pt idx="8">
                  <c:v>9.1666666666666661</c:v>
                </c:pt>
                <c:pt idx="9">
                  <c:v>3.2214765100671143</c:v>
                </c:pt>
                <c:pt idx="10">
                  <c:v>1.9444444444444444</c:v>
                </c:pt>
                <c:pt idx="12">
                  <c:v>0.48076923076923078</c:v>
                </c:pt>
              </c:numCache>
            </c:numRef>
          </c:val>
          <c:extLst>
            <c:ext xmlns:c16="http://schemas.microsoft.com/office/drawing/2014/chart" uri="{C3380CC4-5D6E-409C-BE32-E72D297353CC}">
              <c16:uniqueId val="{00000000-1098-4846-8912-87805C30CFB4}"/>
            </c:ext>
          </c:extLst>
        </c:ser>
        <c:ser>
          <c:idx val="1"/>
          <c:order val="1"/>
          <c:tx>
            <c:strRef>
              <c:f>Dat_01!$D$424</c:f>
              <c:strCache>
                <c:ptCount val="1"/>
                <c:pt idx="0">
                  <c:v>%h con 0&lt;p=&lt;50</c:v>
                </c:pt>
              </c:strCache>
            </c:strRef>
          </c:tx>
          <c:spPr>
            <a:solidFill>
              <a:srgbClr val="00B050"/>
            </a:solidFill>
            <a:ln>
              <a:noFill/>
            </a:ln>
          </c:spPr>
          <c:invertIfNegative val="0"/>
          <c:cat>
            <c:strRef>
              <c:f>Dat_01!$A$425:$A$437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Dat_01!$D$425:$D$437</c:f>
              <c:numCache>
                <c:formatCode>#,##0.00</c:formatCode>
                <c:ptCount val="13"/>
                <c:pt idx="0">
                  <c:v>22.58064516129032</c:v>
                </c:pt>
                <c:pt idx="1">
                  <c:v>9.2261904761904763</c:v>
                </c:pt>
                <c:pt idx="2">
                  <c:v>40.107671601615074</c:v>
                </c:pt>
                <c:pt idx="3">
                  <c:v>55.000000000000007</c:v>
                </c:pt>
                <c:pt idx="4">
                  <c:v>54.166666666666664</c:v>
                </c:pt>
                <c:pt idx="5">
                  <c:v>24.305555555555554</c:v>
                </c:pt>
                <c:pt idx="6">
                  <c:v>29.838709677419356</c:v>
                </c:pt>
                <c:pt idx="7">
                  <c:v>25.537634408602152</c:v>
                </c:pt>
                <c:pt idx="8">
                  <c:v>31.25</c:v>
                </c:pt>
                <c:pt idx="9">
                  <c:v>27.516778523489933</c:v>
                </c:pt>
                <c:pt idx="10">
                  <c:v>40.138888888888893</c:v>
                </c:pt>
                <c:pt idx="11">
                  <c:v>15.456989247311828</c:v>
                </c:pt>
                <c:pt idx="12">
                  <c:v>17.467948717948715</c:v>
                </c:pt>
              </c:numCache>
            </c:numRef>
          </c:val>
          <c:extLst>
            <c:ext xmlns:c16="http://schemas.microsoft.com/office/drawing/2014/chart" uri="{C3380CC4-5D6E-409C-BE32-E72D297353CC}">
              <c16:uniqueId val="{00000001-1098-4846-8912-87805C30CFB4}"/>
            </c:ext>
          </c:extLst>
        </c:ser>
        <c:ser>
          <c:idx val="2"/>
          <c:order val="2"/>
          <c:tx>
            <c:strRef>
              <c:f>Dat_01!$E$424</c:f>
              <c:strCache>
                <c:ptCount val="1"/>
                <c:pt idx="0">
                  <c:v>%h con 50&lt;p=&lt;100</c:v>
                </c:pt>
              </c:strCache>
            </c:strRef>
          </c:tx>
          <c:spPr>
            <a:solidFill>
              <a:srgbClr val="FF9900"/>
            </a:solidFill>
            <a:ln>
              <a:noFill/>
            </a:ln>
          </c:spPr>
          <c:invertIfNegative val="0"/>
          <c:cat>
            <c:strRef>
              <c:f>Dat_01!$A$425:$A$437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Dat_01!$E$425:$E$437</c:f>
              <c:numCache>
                <c:formatCode>#,##0.00</c:formatCode>
                <c:ptCount val="13"/>
                <c:pt idx="0">
                  <c:v>19.489247311827956</c:v>
                </c:pt>
                <c:pt idx="1">
                  <c:v>28.125</c:v>
                </c:pt>
                <c:pt idx="2">
                  <c:v>33.109017496635261</c:v>
                </c:pt>
                <c:pt idx="3">
                  <c:v>15.416666666666668</c:v>
                </c:pt>
                <c:pt idx="4">
                  <c:v>7.795698924731183</c:v>
                </c:pt>
                <c:pt idx="5">
                  <c:v>20.138888888888889</c:v>
                </c:pt>
                <c:pt idx="6">
                  <c:v>30.376344086021508</c:v>
                </c:pt>
                <c:pt idx="7">
                  <c:v>37.365591397849464</c:v>
                </c:pt>
                <c:pt idx="8">
                  <c:v>39.305555555555557</c:v>
                </c:pt>
                <c:pt idx="9">
                  <c:v>31.543624161073826</c:v>
                </c:pt>
                <c:pt idx="10">
                  <c:v>43.888888888888886</c:v>
                </c:pt>
                <c:pt idx="11">
                  <c:v>65.188172043010752</c:v>
                </c:pt>
                <c:pt idx="12">
                  <c:v>49.519230769230774</c:v>
                </c:pt>
              </c:numCache>
            </c:numRef>
          </c:val>
          <c:extLst>
            <c:ext xmlns:c16="http://schemas.microsoft.com/office/drawing/2014/chart" uri="{C3380CC4-5D6E-409C-BE32-E72D297353CC}">
              <c16:uniqueId val="{00000002-1098-4846-8912-87805C30CFB4}"/>
            </c:ext>
          </c:extLst>
        </c:ser>
        <c:ser>
          <c:idx val="4"/>
          <c:order val="3"/>
          <c:tx>
            <c:strRef>
              <c:f>Dat_01!$F$424</c:f>
              <c:strCache>
                <c:ptCount val="1"/>
                <c:pt idx="0">
                  <c:v>%h con 100&lt;p=&lt;150</c:v>
                </c:pt>
              </c:strCache>
            </c:strRef>
          </c:tx>
          <c:spPr>
            <a:solidFill>
              <a:srgbClr val="9999FF"/>
            </a:solidFill>
            <a:ln>
              <a:noFill/>
            </a:ln>
          </c:spPr>
          <c:invertIfNegative val="0"/>
          <c:cat>
            <c:strRef>
              <c:f>Dat_01!$A$425:$A$437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Dat_01!$F$425:$F$437</c:f>
              <c:numCache>
                <c:formatCode>#,##0.00</c:formatCode>
                <c:ptCount val="13"/>
                <c:pt idx="0">
                  <c:v>45.833333333333329</c:v>
                </c:pt>
                <c:pt idx="1">
                  <c:v>47.916666666666671</c:v>
                </c:pt>
                <c:pt idx="2">
                  <c:v>15.343203230148047</c:v>
                </c:pt>
                <c:pt idx="3">
                  <c:v>3.8888888888888888</c:v>
                </c:pt>
                <c:pt idx="4">
                  <c:v>1.881720430107527</c:v>
                </c:pt>
                <c:pt idx="5">
                  <c:v>40.972222222222221</c:v>
                </c:pt>
                <c:pt idx="6">
                  <c:v>34.543010752688176</c:v>
                </c:pt>
                <c:pt idx="7">
                  <c:v>28.62903225806452</c:v>
                </c:pt>
                <c:pt idx="8">
                  <c:v>18.888888888888889</c:v>
                </c:pt>
                <c:pt idx="9">
                  <c:v>34.36241610738255</c:v>
                </c:pt>
                <c:pt idx="10">
                  <c:v>13.750000000000002</c:v>
                </c:pt>
                <c:pt idx="11">
                  <c:v>19.22043010752688</c:v>
                </c:pt>
                <c:pt idx="12">
                  <c:v>30.288461538461537</c:v>
                </c:pt>
              </c:numCache>
            </c:numRef>
          </c:val>
          <c:extLst>
            <c:ext xmlns:c16="http://schemas.microsoft.com/office/drawing/2014/chart" uri="{C3380CC4-5D6E-409C-BE32-E72D297353CC}">
              <c16:uniqueId val="{00000003-1098-4846-8912-87805C30CFB4}"/>
            </c:ext>
          </c:extLst>
        </c:ser>
        <c:ser>
          <c:idx val="3"/>
          <c:order val="4"/>
          <c:tx>
            <c:strRef>
              <c:f>Dat_01!$G$424</c:f>
              <c:strCache>
                <c:ptCount val="1"/>
                <c:pt idx="0">
                  <c:v>%h con p&gt;150</c:v>
                </c:pt>
              </c:strCache>
            </c:strRef>
          </c:tx>
          <c:spPr>
            <a:solidFill>
              <a:srgbClr val="FF0000"/>
            </a:solidFill>
            <a:ln w="25400">
              <a:noFill/>
            </a:ln>
          </c:spPr>
          <c:invertIfNegative val="0"/>
          <c:cat>
            <c:strRef>
              <c:f>Dat_01!$A$425:$A$437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Dat_01!$G$425:$G$437</c:f>
              <c:numCache>
                <c:formatCode>#,##0.00</c:formatCode>
                <c:ptCount val="13"/>
                <c:pt idx="0">
                  <c:v>11.96236559139785</c:v>
                </c:pt>
                <c:pt idx="1">
                  <c:v>14.732142857142858</c:v>
                </c:pt>
                <c:pt idx="2">
                  <c:v>1.7496635262449527</c:v>
                </c:pt>
                <c:pt idx="3">
                  <c:v>0.83333333333333337</c:v>
                </c:pt>
                <c:pt idx="4">
                  <c:v>0</c:v>
                </c:pt>
                <c:pt idx="5">
                  <c:v>2.6388888888888888</c:v>
                </c:pt>
                <c:pt idx="6">
                  <c:v>1.2096774193548387</c:v>
                </c:pt>
                <c:pt idx="7">
                  <c:v>0.80645161290322576</c:v>
                </c:pt>
                <c:pt idx="8">
                  <c:v>1.3888888888888888</c:v>
                </c:pt>
                <c:pt idx="9">
                  <c:v>3.3557046979865772</c:v>
                </c:pt>
                <c:pt idx="10">
                  <c:v>0.27777777777777779</c:v>
                </c:pt>
                <c:pt idx="11">
                  <c:v>0.13440860215053765</c:v>
                </c:pt>
                <c:pt idx="12">
                  <c:v>2.2435897435897436</c:v>
                </c:pt>
              </c:numCache>
            </c:numRef>
          </c:val>
          <c:extLst>
            <c:ext xmlns:c16="http://schemas.microsoft.com/office/drawing/2014/chart" uri="{C3380CC4-5D6E-409C-BE32-E72D297353CC}">
              <c16:uniqueId val="{00000004-1098-4846-8912-87805C30CFB4}"/>
            </c:ext>
          </c:extLst>
        </c:ser>
        <c:dLbls>
          <c:showLegendKey val="0"/>
          <c:showVal val="0"/>
          <c:showCatName val="0"/>
          <c:showSerName val="0"/>
          <c:showPercent val="0"/>
          <c:showBubbleSize val="0"/>
        </c:dLbls>
        <c:gapWidth val="80"/>
        <c:overlap val="100"/>
        <c:axId val="404552248"/>
        <c:axId val="404552640"/>
      </c:barChart>
      <c:catAx>
        <c:axId val="404552248"/>
        <c:scaling>
          <c:orientation val="minMax"/>
        </c:scaling>
        <c:delete val="0"/>
        <c:axPos val="b"/>
        <c:numFmt formatCode="General" sourceLinked="1"/>
        <c:majorTickMark val="out"/>
        <c:minorTickMark val="none"/>
        <c:tickLblPos val="nextTo"/>
        <c:spPr>
          <a:ln w="3175">
            <a:solidFill>
              <a:schemeClr val="bg1">
                <a:lumMod val="65000"/>
              </a:schemeClr>
            </a:solidFill>
          </a:ln>
        </c:spPr>
        <c:txPr>
          <a:bodyPr rot="0" vert="horz"/>
          <a:lstStyle/>
          <a:p>
            <a:pPr>
              <a:defRPr/>
            </a:pPr>
            <a:endParaRPr lang="es-ES"/>
          </a:p>
        </c:txPr>
        <c:crossAx val="404552640"/>
        <c:crosses val="autoZero"/>
        <c:auto val="1"/>
        <c:lblAlgn val="ctr"/>
        <c:lblOffset val="100"/>
        <c:noMultiLvlLbl val="0"/>
      </c:catAx>
      <c:valAx>
        <c:axId val="404552640"/>
        <c:scaling>
          <c:orientation val="minMax"/>
          <c:max val="100"/>
        </c:scaling>
        <c:delete val="0"/>
        <c:axPos val="l"/>
        <c:majorGridlines>
          <c:spPr>
            <a:ln w="3175">
              <a:solidFill>
                <a:schemeClr val="bg1">
                  <a:lumMod val="75000"/>
                </a:schemeClr>
              </a:solidFill>
              <a:prstDash val="sysDot"/>
            </a:ln>
          </c:spPr>
        </c:majorGridlines>
        <c:numFmt formatCode="General" sourceLinked="0"/>
        <c:majorTickMark val="out"/>
        <c:minorTickMark val="none"/>
        <c:tickLblPos val="nextTo"/>
        <c:spPr>
          <a:ln>
            <a:noFill/>
          </a:ln>
        </c:spPr>
        <c:txPr>
          <a:bodyPr rot="0" vert="horz"/>
          <a:lstStyle/>
          <a:p>
            <a:pPr>
              <a:defRPr/>
            </a:pPr>
            <a:endParaRPr lang="es-ES"/>
          </a:p>
        </c:txPr>
        <c:crossAx val="404552248"/>
        <c:crosses val="autoZero"/>
        <c:crossBetween val="between"/>
        <c:majorUnit val="20"/>
      </c:valAx>
      <c:spPr>
        <a:noFill/>
        <a:ln w="25400">
          <a:noFill/>
        </a:ln>
      </c:spPr>
    </c:plotArea>
    <c:legend>
      <c:legendPos val="t"/>
      <c:layout>
        <c:manualLayout>
          <c:xMode val="edge"/>
          <c:yMode val="edge"/>
          <c:x val="3.8673141565806292E-2"/>
          <c:y val="2.5990903183885639E-2"/>
          <c:w val="0.93344979650823001"/>
          <c:h val="0.15543583367868491"/>
        </c:manualLayout>
      </c:layout>
      <c:overlay val="0"/>
    </c:legend>
    <c:plotVisOnly val="1"/>
    <c:dispBlanksAs val="gap"/>
    <c:showDLblsOverMax val="0"/>
  </c:chart>
  <c:spPr>
    <a:solidFill>
      <a:schemeClr val="bg1">
        <a:lumMod val="95000"/>
      </a:schemeClr>
    </a:solid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21494610413657E-2"/>
          <c:y val="0.18299605926359569"/>
          <c:w val="0.90045357141064819"/>
          <c:h val="0.66833475448334823"/>
        </c:manualLayout>
      </c:layout>
      <c:barChart>
        <c:barDir val="col"/>
        <c:grouping val="stacked"/>
        <c:varyColors val="0"/>
        <c:ser>
          <c:idx val="13"/>
          <c:order val="0"/>
          <c:tx>
            <c:strRef>
              <c:f>Dat_01!$B$340</c:f>
              <c:strCache>
                <c:ptCount val="1"/>
                <c:pt idx="0">
                  <c:v>Carbón</c:v>
                </c:pt>
              </c:strCache>
            </c:strRef>
          </c:tx>
          <c:spPr>
            <a:solidFill>
              <a:srgbClr val="993300"/>
            </a:solidFill>
            <a:ln>
              <a:noFill/>
            </a:ln>
            <a:effectLst/>
          </c:spPr>
          <c:invertIfNegative val="0"/>
          <c:cat>
            <c:strRef>
              <c:f>Dat_01!$C$335:$O$335</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Dat_01!$C$340:$O$340</c:f>
              <c:numCache>
                <c:formatCode>#,##0.0</c:formatCode>
                <c:ptCount val="13"/>
                <c:pt idx="0">
                  <c:v>14285</c:v>
                </c:pt>
                <c:pt idx="1">
                  <c:v>20485</c:v>
                </c:pt>
                <c:pt idx="2">
                  <c:v>7623.75</c:v>
                </c:pt>
                <c:pt idx="3">
                  <c:v>3547.56</c:v>
                </c:pt>
                <c:pt idx="4">
                  <c:v>0</c:v>
                </c:pt>
                <c:pt idx="5">
                  <c:v>9705</c:v>
                </c:pt>
                <c:pt idx="6">
                  <c:v>3130</c:v>
                </c:pt>
                <c:pt idx="7">
                  <c:v>0</c:v>
                </c:pt>
                <c:pt idx="8">
                  <c:v>3588.75</c:v>
                </c:pt>
                <c:pt idx="9">
                  <c:v>6311.25</c:v>
                </c:pt>
                <c:pt idx="10">
                  <c:v>165</c:v>
                </c:pt>
                <c:pt idx="11">
                  <c:v>421.8</c:v>
                </c:pt>
                <c:pt idx="12">
                  <c:v>1340.95</c:v>
                </c:pt>
              </c:numCache>
            </c:numRef>
          </c:val>
          <c:extLst>
            <c:ext xmlns:c16="http://schemas.microsoft.com/office/drawing/2014/chart" uri="{C3380CC4-5D6E-409C-BE32-E72D297353CC}">
              <c16:uniqueId val="{0000005E-05DA-4902-9FAE-7020D488BF82}"/>
            </c:ext>
          </c:extLst>
        </c:ser>
        <c:ser>
          <c:idx val="11"/>
          <c:order val="1"/>
          <c:tx>
            <c:strRef>
              <c:f>Dat_01!$B$341</c:f>
              <c:strCache>
                <c:ptCount val="1"/>
                <c:pt idx="0">
                  <c:v>Ciclo Combinado</c:v>
                </c:pt>
              </c:strCache>
            </c:strRef>
          </c:tx>
          <c:spPr>
            <a:solidFill>
              <a:srgbClr val="FFCC66"/>
            </a:solidFill>
            <a:ln>
              <a:noFill/>
            </a:ln>
            <a:effectLst/>
          </c:spPr>
          <c:invertIfNegative val="0"/>
          <c:cat>
            <c:strRef>
              <c:f>Dat_01!$C$335:$O$335</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Dat_01!$C$341:$O$341</c:f>
              <c:numCache>
                <c:formatCode>#,##0.0</c:formatCode>
                <c:ptCount val="13"/>
                <c:pt idx="0">
                  <c:v>451588.02500000002</c:v>
                </c:pt>
                <c:pt idx="1">
                  <c:v>797594.67099999997</c:v>
                </c:pt>
                <c:pt idx="2">
                  <c:v>640773.63699999999</c:v>
                </c:pt>
                <c:pt idx="3">
                  <c:v>339272.77500000002</c:v>
                </c:pt>
                <c:pt idx="4">
                  <c:v>190030.19</c:v>
                </c:pt>
                <c:pt idx="5">
                  <c:v>486259.94</c:v>
                </c:pt>
                <c:pt idx="6">
                  <c:v>438078.424</c:v>
                </c:pt>
                <c:pt idx="7">
                  <c:v>365321.88400000002</c:v>
                </c:pt>
                <c:pt idx="8">
                  <c:v>477468.94300000003</c:v>
                </c:pt>
                <c:pt idx="9">
                  <c:v>388843.01699999999</c:v>
                </c:pt>
                <c:pt idx="10">
                  <c:v>137334.99900000001</c:v>
                </c:pt>
                <c:pt idx="11">
                  <c:v>144683.02499999999</c:v>
                </c:pt>
                <c:pt idx="12">
                  <c:v>225562.05</c:v>
                </c:pt>
              </c:numCache>
            </c:numRef>
          </c:val>
          <c:extLst>
            <c:ext xmlns:c16="http://schemas.microsoft.com/office/drawing/2014/chart" uri="{C3380CC4-5D6E-409C-BE32-E72D297353CC}">
              <c16:uniqueId val="{00000060-05DA-4902-9FAE-7020D488BF82}"/>
            </c:ext>
          </c:extLst>
        </c:ser>
        <c:ser>
          <c:idx val="10"/>
          <c:order val="2"/>
          <c:tx>
            <c:strRef>
              <c:f>Dat_01!$B$342</c:f>
              <c:strCache>
                <c:ptCount val="1"/>
                <c:pt idx="0">
                  <c:v>Cogeneración</c:v>
                </c:pt>
              </c:strCache>
            </c:strRef>
          </c:tx>
          <c:spPr>
            <a:solidFill>
              <a:srgbClr val="CFA2CA"/>
            </a:solidFill>
            <a:ln>
              <a:noFill/>
            </a:ln>
            <a:effectLst/>
          </c:spPr>
          <c:invertIfNegative val="0"/>
          <c:cat>
            <c:strRef>
              <c:f>Dat_01!$C$335:$O$335</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Dat_01!$C$342:$O$342</c:f>
              <c:numCache>
                <c:formatCode>#,##0.0</c:formatCode>
                <c:ptCount val="13"/>
                <c:pt idx="0">
                  <c:v>0</c:v>
                </c:pt>
                <c:pt idx="1">
                  <c:v>0</c:v>
                </c:pt>
                <c:pt idx="2">
                  <c:v>0</c:v>
                </c:pt>
                <c:pt idx="3">
                  <c:v>0</c:v>
                </c:pt>
                <c:pt idx="4">
                  <c:v>48.424999999999997</c:v>
                </c:pt>
                <c:pt idx="5">
                  <c:v>0</c:v>
                </c:pt>
                <c:pt idx="6">
                  <c:v>0</c:v>
                </c:pt>
                <c:pt idx="7">
                  <c:v>0</c:v>
                </c:pt>
                <c:pt idx="8">
                  <c:v>0</c:v>
                </c:pt>
                <c:pt idx="9">
                  <c:v>0</c:v>
                </c:pt>
                <c:pt idx="10">
                  <c:v>0</c:v>
                </c:pt>
                <c:pt idx="11">
                  <c:v>16.5</c:v>
                </c:pt>
                <c:pt idx="12">
                  <c:v>0</c:v>
                </c:pt>
              </c:numCache>
            </c:numRef>
          </c:val>
          <c:extLst>
            <c:ext xmlns:c16="http://schemas.microsoft.com/office/drawing/2014/chart" uri="{C3380CC4-5D6E-409C-BE32-E72D297353CC}">
              <c16:uniqueId val="{00000062-05DA-4902-9FAE-7020D488BF82}"/>
            </c:ext>
          </c:extLst>
        </c:ser>
        <c:ser>
          <c:idx val="3"/>
          <c:order val="3"/>
          <c:tx>
            <c:strRef>
              <c:f>Dat_01!$B$343</c:f>
              <c:strCache>
                <c:ptCount val="1"/>
                <c:pt idx="0">
                  <c:v>Consumo Bombeo</c:v>
                </c:pt>
              </c:strCache>
            </c:strRef>
          </c:tx>
          <c:spPr>
            <a:solidFill>
              <a:srgbClr val="2C4D75"/>
            </a:solidFill>
            <a:ln>
              <a:noFill/>
            </a:ln>
            <a:effectLst/>
          </c:spPr>
          <c:invertIfNegative val="0"/>
          <c:cat>
            <c:strRef>
              <c:f>Dat_01!$C$335:$O$335</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Dat_01!$C$343:$O$343</c:f>
              <c:numCache>
                <c:formatCode>#,##0.0</c:formatCode>
                <c:ptCount val="13"/>
                <c:pt idx="0">
                  <c:v>1875</c:v>
                </c:pt>
                <c:pt idx="1">
                  <c:v>2238.683</c:v>
                </c:pt>
                <c:pt idx="2">
                  <c:v>5818.2749999999996</c:v>
                </c:pt>
                <c:pt idx="3">
                  <c:v>2631.1329999999998</c:v>
                </c:pt>
                <c:pt idx="4">
                  <c:v>948.5</c:v>
                </c:pt>
                <c:pt idx="5">
                  <c:v>12797.075000000001</c:v>
                </c:pt>
                <c:pt idx="6">
                  <c:v>12438.968000000001</c:v>
                </c:pt>
                <c:pt idx="7">
                  <c:v>7902.0079999999998</c:v>
                </c:pt>
                <c:pt idx="8">
                  <c:v>3616.067</c:v>
                </c:pt>
                <c:pt idx="9">
                  <c:v>10614.259</c:v>
                </c:pt>
                <c:pt idx="10">
                  <c:v>2955</c:v>
                </c:pt>
                <c:pt idx="11">
                  <c:v>596.20000000000005</c:v>
                </c:pt>
                <c:pt idx="12">
                  <c:v>6614.0829999999996</c:v>
                </c:pt>
              </c:numCache>
            </c:numRef>
          </c:val>
          <c:extLst>
            <c:ext xmlns:c16="http://schemas.microsoft.com/office/drawing/2014/chart" uri="{C3380CC4-5D6E-409C-BE32-E72D297353CC}">
              <c16:uniqueId val="{00000064-05DA-4902-9FAE-7020D488BF82}"/>
            </c:ext>
          </c:extLst>
        </c:ser>
        <c:ser>
          <c:idx val="4"/>
          <c:order val="4"/>
          <c:tx>
            <c:strRef>
              <c:f>Dat_01!$B$344</c:f>
              <c:strCache>
                <c:ptCount val="1"/>
                <c:pt idx="0">
                  <c:v>Enlace Península Baleares</c:v>
                </c:pt>
              </c:strCache>
            </c:strRef>
          </c:tx>
          <c:spPr>
            <a:solidFill>
              <a:srgbClr val="A99BBD"/>
            </a:solidFill>
            <a:ln>
              <a:noFill/>
            </a:ln>
            <a:effectLst/>
          </c:spPr>
          <c:invertIfNegative val="0"/>
          <c:cat>
            <c:strRef>
              <c:f>Dat_01!$C$335:$O$335</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Dat_01!$C$344:$O$344</c:f>
              <c:numCache>
                <c:formatCode>#,##0.0</c:formatCode>
                <c:ptCount val="13"/>
                <c:pt idx="0">
                  <c:v>40</c:v>
                </c:pt>
                <c:pt idx="1">
                  <c:v>1099.2</c:v>
                </c:pt>
                <c:pt idx="2">
                  <c:v>729.7</c:v>
                </c:pt>
                <c:pt idx="3">
                  <c:v>554.1</c:v>
                </c:pt>
                <c:pt idx="4">
                  <c:v>910.22500000000002</c:v>
                </c:pt>
                <c:pt idx="5">
                  <c:v>984</c:v>
                </c:pt>
                <c:pt idx="6">
                  <c:v>2865.4</c:v>
                </c:pt>
                <c:pt idx="7">
                  <c:v>1132.875</c:v>
                </c:pt>
                <c:pt idx="8">
                  <c:v>479.1</c:v>
                </c:pt>
                <c:pt idx="9">
                  <c:v>621.32500000000005</c:v>
                </c:pt>
                <c:pt idx="10">
                  <c:v>399</c:v>
                </c:pt>
                <c:pt idx="11">
                  <c:v>0</c:v>
                </c:pt>
                <c:pt idx="12">
                  <c:v>1193</c:v>
                </c:pt>
              </c:numCache>
            </c:numRef>
          </c:val>
          <c:extLst>
            <c:ext xmlns:c16="http://schemas.microsoft.com/office/drawing/2014/chart" uri="{C3380CC4-5D6E-409C-BE32-E72D297353CC}">
              <c16:uniqueId val="{00000066-05DA-4902-9FAE-7020D488BF82}"/>
            </c:ext>
          </c:extLst>
        </c:ser>
        <c:ser>
          <c:idx val="14"/>
          <c:order val="5"/>
          <c:tx>
            <c:strRef>
              <c:f>Dat_01!$B$345</c:f>
              <c:strCache>
                <c:ptCount val="1"/>
                <c:pt idx="0">
                  <c:v>Eólica</c:v>
                </c:pt>
              </c:strCache>
            </c:strRef>
          </c:tx>
          <c:spPr>
            <a:solidFill>
              <a:srgbClr val="70AD47"/>
            </a:solidFill>
            <a:ln>
              <a:noFill/>
            </a:ln>
            <a:effectLst/>
          </c:spPr>
          <c:invertIfNegative val="0"/>
          <c:cat>
            <c:strRef>
              <c:f>Dat_01!$C$335:$O$335</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Dat_01!$C$345:$O$345</c:f>
              <c:numCache>
                <c:formatCode>#,##0.0</c:formatCode>
                <c:ptCount val="13"/>
                <c:pt idx="0">
                  <c:v>0</c:v>
                </c:pt>
                <c:pt idx="1">
                  <c:v>0</c:v>
                </c:pt>
                <c:pt idx="2">
                  <c:v>0</c:v>
                </c:pt>
                <c:pt idx="3">
                  <c:v>0</c:v>
                </c:pt>
                <c:pt idx="4">
                  <c:v>5.8</c:v>
                </c:pt>
                <c:pt idx="5">
                  <c:v>0</c:v>
                </c:pt>
                <c:pt idx="6">
                  <c:v>54.15</c:v>
                </c:pt>
                <c:pt idx="7">
                  <c:v>137.5</c:v>
                </c:pt>
                <c:pt idx="8">
                  <c:v>0</c:v>
                </c:pt>
                <c:pt idx="9">
                  <c:v>0</c:v>
                </c:pt>
                <c:pt idx="10">
                  <c:v>0</c:v>
                </c:pt>
                <c:pt idx="11">
                  <c:v>0</c:v>
                </c:pt>
                <c:pt idx="12">
                  <c:v>0</c:v>
                </c:pt>
              </c:numCache>
            </c:numRef>
          </c:val>
          <c:extLst>
            <c:ext xmlns:c16="http://schemas.microsoft.com/office/drawing/2014/chart" uri="{C3380CC4-5D6E-409C-BE32-E72D297353CC}">
              <c16:uniqueId val="{00000068-05DA-4902-9FAE-7020D488BF82}"/>
            </c:ext>
          </c:extLst>
        </c:ser>
        <c:ser>
          <c:idx val="5"/>
          <c:order val="6"/>
          <c:tx>
            <c:strRef>
              <c:f>Dat_01!$B$347</c:f>
              <c:strCache>
                <c:ptCount val="1"/>
                <c:pt idx="0">
                  <c:v>Hidráulica</c:v>
                </c:pt>
              </c:strCache>
            </c:strRef>
          </c:tx>
          <c:spPr>
            <a:solidFill>
              <a:srgbClr val="00B0F0"/>
            </a:solidFill>
            <a:ln>
              <a:noFill/>
            </a:ln>
            <a:effectLst/>
          </c:spPr>
          <c:invertIfNegative val="0"/>
          <c:cat>
            <c:strRef>
              <c:f>Dat_01!$C$335:$O$335</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Dat_01!$C$347:$O$347</c:f>
              <c:numCache>
                <c:formatCode>#,##0.0</c:formatCode>
                <c:ptCount val="13"/>
                <c:pt idx="0">
                  <c:v>0</c:v>
                </c:pt>
                <c:pt idx="1">
                  <c:v>2</c:v>
                </c:pt>
                <c:pt idx="2">
                  <c:v>481.66699999999997</c:v>
                </c:pt>
                <c:pt idx="3">
                  <c:v>5753.75</c:v>
                </c:pt>
                <c:pt idx="4">
                  <c:v>7951.9669999999996</c:v>
                </c:pt>
                <c:pt idx="5">
                  <c:v>7231.6369999999997</c:v>
                </c:pt>
                <c:pt idx="6">
                  <c:v>502</c:v>
                </c:pt>
                <c:pt idx="7">
                  <c:v>455</c:v>
                </c:pt>
                <c:pt idx="8">
                  <c:v>0</c:v>
                </c:pt>
                <c:pt idx="9">
                  <c:v>5425.1909999999998</c:v>
                </c:pt>
                <c:pt idx="10">
                  <c:v>20969.683000000001</c:v>
                </c:pt>
                <c:pt idx="11">
                  <c:v>5425.7330000000002</c:v>
                </c:pt>
                <c:pt idx="12">
                  <c:v>4712.3</c:v>
                </c:pt>
              </c:numCache>
            </c:numRef>
          </c:val>
          <c:extLst>
            <c:ext xmlns:c16="http://schemas.microsoft.com/office/drawing/2014/chart" uri="{C3380CC4-5D6E-409C-BE32-E72D297353CC}">
              <c16:uniqueId val="{0000006A-05DA-4902-9FAE-7020D488BF82}"/>
            </c:ext>
          </c:extLst>
        </c:ser>
        <c:ser>
          <c:idx val="15"/>
          <c:order val="7"/>
          <c:tx>
            <c:strRef>
              <c:f>Dat_01!$B$349</c:f>
              <c:strCache>
                <c:ptCount val="1"/>
                <c:pt idx="0">
                  <c:v>Internacionales</c:v>
                </c:pt>
              </c:strCache>
            </c:strRef>
          </c:tx>
          <c:spPr>
            <a:solidFill>
              <a:schemeClr val="accent5">
                <a:lumMod val="60000"/>
                <a:lumOff val="40000"/>
              </a:schemeClr>
            </a:solidFill>
            <a:ln>
              <a:noFill/>
            </a:ln>
            <a:effectLst/>
          </c:spPr>
          <c:invertIfNegative val="0"/>
          <c:cat>
            <c:strRef>
              <c:f>Dat_01!$C$335:$O$335</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Dat_01!$C$349:$O$349</c:f>
              <c:numCache>
                <c:formatCode>#,##0.0</c:formatCode>
                <c:ptCount val="13"/>
                <c:pt idx="0">
                  <c:v>0</c:v>
                </c:pt>
                <c:pt idx="1">
                  <c:v>0</c:v>
                </c:pt>
                <c:pt idx="2">
                  <c:v>0</c:v>
                </c:pt>
                <c:pt idx="3">
                  <c:v>0</c:v>
                </c:pt>
                <c:pt idx="4">
                  <c:v>0</c:v>
                </c:pt>
                <c:pt idx="5">
                  <c:v>801.6</c:v>
                </c:pt>
                <c:pt idx="6">
                  <c:v>0</c:v>
                </c:pt>
                <c:pt idx="7">
                  <c:v>471.21699999999998</c:v>
                </c:pt>
                <c:pt idx="8">
                  <c:v>0</c:v>
                </c:pt>
                <c:pt idx="9">
                  <c:v>71.599999999999994</c:v>
                </c:pt>
                <c:pt idx="10">
                  <c:v>0</c:v>
                </c:pt>
                <c:pt idx="11">
                  <c:v>0</c:v>
                </c:pt>
                <c:pt idx="12">
                  <c:v>0</c:v>
                </c:pt>
              </c:numCache>
            </c:numRef>
          </c:val>
          <c:extLst>
            <c:ext xmlns:c16="http://schemas.microsoft.com/office/drawing/2014/chart" uri="{C3380CC4-5D6E-409C-BE32-E72D297353CC}">
              <c16:uniqueId val="{0000006C-05DA-4902-9FAE-7020D488BF82}"/>
            </c:ext>
          </c:extLst>
        </c:ser>
        <c:ser>
          <c:idx val="6"/>
          <c:order val="8"/>
          <c:tx>
            <c:strRef>
              <c:f>Dat_01!$B$350</c:f>
              <c:strCache>
                <c:ptCount val="1"/>
                <c:pt idx="0">
                  <c:v>Nuclear</c:v>
                </c:pt>
              </c:strCache>
            </c:strRef>
          </c:tx>
          <c:spPr>
            <a:solidFill>
              <a:srgbClr val="9A5CBC"/>
            </a:solidFill>
            <a:ln>
              <a:noFill/>
            </a:ln>
            <a:effectLst/>
          </c:spPr>
          <c:invertIfNegative val="0"/>
          <c:cat>
            <c:strRef>
              <c:f>Dat_01!$C$335:$O$335</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Dat_01!$C$350:$O$350</c:f>
              <c:numCache>
                <c:formatCode>#,##0.0</c:formatCode>
                <c:ptCount val="13"/>
                <c:pt idx="0">
                  <c:v>0</c:v>
                </c:pt>
                <c:pt idx="1">
                  <c:v>0</c:v>
                </c:pt>
                <c:pt idx="2">
                  <c:v>0</c:v>
                </c:pt>
                <c:pt idx="3">
                  <c:v>4387.5</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6E-05DA-4902-9FAE-7020D488BF82}"/>
            </c:ext>
          </c:extLst>
        </c:ser>
        <c:ser>
          <c:idx val="0"/>
          <c:order val="9"/>
          <c:tx>
            <c:strRef>
              <c:f>Dat_01!$B$351</c:f>
              <c:strCache>
                <c:ptCount val="1"/>
                <c:pt idx="0">
                  <c:v>Otras Renovables</c:v>
                </c:pt>
              </c:strCache>
            </c:strRef>
          </c:tx>
          <c:spPr>
            <a:solidFill>
              <a:srgbClr val="7F7F7F"/>
            </a:solidFill>
            <a:ln>
              <a:noFill/>
            </a:ln>
            <a:effectLst/>
          </c:spPr>
          <c:invertIfNegative val="0"/>
          <c:cat>
            <c:strRef>
              <c:f>Dat_01!$C$335:$O$335</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Dat_01!$C$351:$O$351</c:f>
              <c:numCache>
                <c:formatCode>#,##0.0</c:formatCode>
                <c:ptCount val="13"/>
                <c:pt idx="0">
                  <c:v>0</c:v>
                </c:pt>
                <c:pt idx="1">
                  <c:v>0</c:v>
                </c:pt>
                <c:pt idx="2">
                  <c:v>6</c:v>
                </c:pt>
                <c:pt idx="3">
                  <c:v>0</c:v>
                </c:pt>
                <c:pt idx="4">
                  <c:v>5.5</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0-05DA-4902-9FAE-7020D488BF82}"/>
            </c:ext>
          </c:extLst>
        </c:ser>
        <c:ser>
          <c:idx val="8"/>
          <c:order val="10"/>
          <c:tx>
            <c:strRef>
              <c:f>Dat_01!$B$352</c:f>
              <c:strCache>
                <c:ptCount val="1"/>
                <c:pt idx="0">
                  <c:v>Residuos no Renovables</c:v>
                </c:pt>
              </c:strCache>
            </c:strRef>
          </c:tx>
          <c:spPr>
            <a:solidFill>
              <a:srgbClr val="ED7D31"/>
            </a:solidFill>
            <a:ln>
              <a:noFill/>
            </a:ln>
            <a:effectLst/>
          </c:spPr>
          <c:invertIfNegative val="0"/>
          <c:cat>
            <c:strRef>
              <c:f>Dat_01!$C$335:$O$335</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Dat_01!$C$352:$O$352</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2-05DA-4902-9FAE-7020D488BF82}"/>
            </c:ext>
          </c:extLst>
        </c:ser>
        <c:ser>
          <c:idx val="9"/>
          <c:order val="11"/>
          <c:tx>
            <c:strRef>
              <c:f>Dat_01!$B$353</c:f>
              <c:strCache>
                <c:ptCount val="1"/>
                <c:pt idx="0">
                  <c:v>Solar fotovoltaica</c:v>
                </c:pt>
              </c:strCache>
            </c:strRef>
          </c:tx>
          <c:spPr>
            <a:solidFill>
              <a:srgbClr val="FF0000"/>
            </a:solidFill>
            <a:ln>
              <a:noFill/>
            </a:ln>
            <a:effectLst/>
          </c:spPr>
          <c:invertIfNegative val="0"/>
          <c:cat>
            <c:strRef>
              <c:f>Dat_01!$C$335:$O$335</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Dat_01!$C$353:$O$353</c:f>
              <c:numCache>
                <c:formatCode>#,##0.0</c:formatCode>
                <c:ptCount val="13"/>
                <c:pt idx="0">
                  <c:v>0.27500000000000002</c:v>
                </c:pt>
                <c:pt idx="1">
                  <c:v>0</c:v>
                </c:pt>
                <c:pt idx="2">
                  <c:v>0.17499999999999999</c:v>
                </c:pt>
                <c:pt idx="3">
                  <c:v>0</c:v>
                </c:pt>
                <c:pt idx="4">
                  <c:v>3.5</c:v>
                </c:pt>
                <c:pt idx="5">
                  <c:v>1.425</c:v>
                </c:pt>
                <c:pt idx="6">
                  <c:v>0.75</c:v>
                </c:pt>
                <c:pt idx="7">
                  <c:v>3.6749999999999998</c:v>
                </c:pt>
                <c:pt idx="8">
                  <c:v>0</c:v>
                </c:pt>
                <c:pt idx="9">
                  <c:v>0.15</c:v>
                </c:pt>
                <c:pt idx="10">
                  <c:v>0</c:v>
                </c:pt>
                <c:pt idx="11">
                  <c:v>0</c:v>
                </c:pt>
                <c:pt idx="12">
                  <c:v>0</c:v>
                </c:pt>
              </c:numCache>
            </c:numRef>
          </c:val>
          <c:extLst>
            <c:ext xmlns:c16="http://schemas.microsoft.com/office/drawing/2014/chart" uri="{C3380CC4-5D6E-409C-BE32-E72D297353CC}">
              <c16:uniqueId val="{00000074-05DA-4902-9FAE-7020D488BF82}"/>
            </c:ext>
          </c:extLst>
        </c:ser>
        <c:ser>
          <c:idx val="12"/>
          <c:order val="12"/>
          <c:tx>
            <c:strRef>
              <c:f>Dat_01!$B$354</c:f>
              <c:strCache>
                <c:ptCount val="1"/>
                <c:pt idx="0">
                  <c:v>Solar térmica</c:v>
                </c:pt>
              </c:strCache>
            </c:strRef>
          </c:tx>
          <c:spPr>
            <a:solidFill>
              <a:srgbClr val="95B3D7"/>
            </a:solidFill>
            <a:ln>
              <a:noFill/>
            </a:ln>
            <a:effectLst/>
          </c:spPr>
          <c:invertIfNegative val="0"/>
          <c:cat>
            <c:strRef>
              <c:f>Dat_01!$C$335:$O$335</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Dat_01!$C$354:$O$354</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6-05DA-4902-9FAE-7020D488BF82}"/>
            </c:ext>
          </c:extLst>
        </c:ser>
        <c:ser>
          <c:idx val="7"/>
          <c:order val="13"/>
          <c:tx>
            <c:strRef>
              <c:f>Dat_01!$B$356</c:f>
              <c:strCache>
                <c:ptCount val="1"/>
                <c:pt idx="0">
                  <c:v>Turbinación bombeo</c:v>
                </c:pt>
              </c:strCache>
            </c:strRef>
          </c:tx>
          <c:spPr>
            <a:solidFill>
              <a:schemeClr val="accent1">
                <a:lumMod val="60000"/>
                <a:lumOff val="40000"/>
              </a:schemeClr>
            </a:solidFill>
          </c:spPr>
          <c:invertIfNegative val="0"/>
          <c:val>
            <c:numRef>
              <c:f>Dat_01!$C$356:$O$356</c:f>
              <c:numCache>
                <c:formatCode>#,##0.0</c:formatCode>
                <c:ptCount val="13"/>
                <c:pt idx="0">
                  <c:v>66.5</c:v>
                </c:pt>
                <c:pt idx="1">
                  <c:v>1200</c:v>
                </c:pt>
                <c:pt idx="2">
                  <c:v>1179.3330000000001</c:v>
                </c:pt>
                <c:pt idx="3">
                  <c:v>497.25</c:v>
                </c:pt>
                <c:pt idx="4">
                  <c:v>325</c:v>
                </c:pt>
                <c:pt idx="5">
                  <c:v>860</c:v>
                </c:pt>
                <c:pt idx="6">
                  <c:v>2186.4</c:v>
                </c:pt>
                <c:pt idx="7">
                  <c:v>4850.1750000000002</c:v>
                </c:pt>
                <c:pt idx="8">
                  <c:v>9429.009</c:v>
                </c:pt>
                <c:pt idx="9">
                  <c:v>4580.5249999999996</c:v>
                </c:pt>
                <c:pt idx="10">
                  <c:v>1509.3330000000001</c:v>
                </c:pt>
                <c:pt idx="11">
                  <c:v>2219.7420000000002</c:v>
                </c:pt>
                <c:pt idx="12">
                  <c:v>8314.2829999999994</c:v>
                </c:pt>
              </c:numCache>
            </c:numRef>
          </c:val>
          <c:extLst>
            <c:ext xmlns:c16="http://schemas.microsoft.com/office/drawing/2014/chart" uri="{C3380CC4-5D6E-409C-BE32-E72D297353CC}">
              <c16:uniqueId val="{00000000-7E6A-4DA1-8B41-9F54BBC1A5D8}"/>
            </c:ext>
          </c:extLst>
        </c:ser>
        <c:ser>
          <c:idx val="16"/>
          <c:order val="14"/>
          <c:tx>
            <c:strRef>
              <c:f>Dat_01!$B$346</c:f>
              <c:strCache>
                <c:ptCount val="1"/>
                <c:pt idx="0">
                  <c:v>Hibridación</c:v>
                </c:pt>
              </c:strCache>
            </c:strRef>
          </c:tx>
          <c:spPr>
            <a:solidFill>
              <a:srgbClr val="28A064"/>
            </a:solidFill>
            <a:ln>
              <a:noFill/>
            </a:ln>
          </c:spPr>
          <c:invertIfNegative val="0"/>
          <c:val>
            <c:numRef>
              <c:f>Dat_01!$C$346:$O$346</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4-C350-4BF4-A327-BEF16DBD47D3}"/>
            </c:ext>
          </c:extLst>
        </c:ser>
        <c:ser>
          <c:idx val="17"/>
          <c:order val="15"/>
          <c:tx>
            <c:strRef>
              <c:f>Dat_01!$B$355</c:f>
              <c:strCache>
                <c:ptCount val="1"/>
                <c:pt idx="0">
                  <c:v>Turbina Vapor, Gas y Fuel</c:v>
                </c:pt>
              </c:strCache>
            </c:strRef>
          </c:tx>
          <c:spPr>
            <a:solidFill>
              <a:srgbClr val="C00000"/>
            </a:solidFill>
          </c:spPr>
          <c:invertIfNegative val="0"/>
          <c:val>
            <c:numRef>
              <c:f>Dat_01!$C$355:$O$355</c:f>
              <c:numCache>
                <c:formatCode>#,##0.0</c:formatCode>
                <c:ptCount val="13"/>
                <c:pt idx="0">
                  <c:v>0</c:v>
                </c:pt>
                <c:pt idx="1">
                  <c:v>0</c:v>
                </c:pt>
                <c:pt idx="2">
                  <c:v>0</c:v>
                </c:pt>
                <c:pt idx="3">
                  <c:v>0</c:v>
                </c:pt>
                <c:pt idx="4">
                  <c:v>0</c:v>
                </c:pt>
                <c:pt idx="5">
                  <c:v>0</c:v>
                </c:pt>
                <c:pt idx="6">
                  <c:v>22</c:v>
                </c:pt>
                <c:pt idx="7">
                  <c:v>0</c:v>
                </c:pt>
                <c:pt idx="8">
                  <c:v>0</c:v>
                </c:pt>
                <c:pt idx="9">
                  <c:v>0</c:v>
                </c:pt>
                <c:pt idx="10">
                  <c:v>0</c:v>
                </c:pt>
                <c:pt idx="11">
                  <c:v>1007.875</c:v>
                </c:pt>
                <c:pt idx="12">
                  <c:v>222.07499999999999</c:v>
                </c:pt>
              </c:numCache>
            </c:numRef>
          </c:val>
          <c:extLst>
            <c:ext xmlns:c16="http://schemas.microsoft.com/office/drawing/2014/chart" uri="{C3380CC4-5D6E-409C-BE32-E72D297353CC}">
              <c16:uniqueId val="{00000001-2D03-4243-8359-67B7EC5AE60B}"/>
            </c:ext>
          </c:extLst>
        </c:ser>
        <c:dLbls>
          <c:showLegendKey val="0"/>
          <c:showVal val="0"/>
          <c:showCatName val="0"/>
          <c:showSerName val="0"/>
          <c:showPercent val="0"/>
          <c:showBubbleSize val="0"/>
        </c:dLbls>
        <c:gapWidth val="150"/>
        <c:overlap val="100"/>
        <c:axId val="531374240"/>
        <c:axId val="531373848"/>
      </c:barChart>
      <c:lineChart>
        <c:grouping val="standard"/>
        <c:varyColors val="0"/>
        <c:ser>
          <c:idx val="1"/>
          <c:order val="16"/>
          <c:tx>
            <c:v>Precio medio subir</c:v>
          </c:tx>
          <c:spPr>
            <a:ln w="28575" cap="rnd">
              <a:solidFill>
                <a:srgbClr val="004563"/>
              </a:solidFill>
              <a:round/>
            </a:ln>
            <a:effectLst/>
          </c:spPr>
          <c:marker>
            <c:symbol val="none"/>
          </c:marker>
          <c:cat>
            <c:numRef>
              <c:f>Dat_01!$C$311:$O$311</c:f>
              <c:numCache>
                <c:formatCode>General</c:formatCode>
                <c:ptCount val="13"/>
              </c:numCache>
            </c:numRef>
          </c:cat>
          <c:val>
            <c:numRef>
              <c:f>Dat_01!$C$403:$O$403</c:f>
              <c:numCache>
                <c:formatCode>#,##0.00</c:formatCode>
                <c:ptCount val="13"/>
                <c:pt idx="0">
                  <c:v>295.7290599776</c:v>
                </c:pt>
                <c:pt idx="1">
                  <c:v>305.10105866020001</c:v>
                </c:pt>
                <c:pt idx="2">
                  <c:v>264.41222129760001</c:v>
                </c:pt>
                <c:pt idx="3">
                  <c:v>244.68431349319999</c:v>
                </c:pt>
                <c:pt idx="4">
                  <c:v>220.95676674020001</c:v>
                </c:pt>
                <c:pt idx="5">
                  <c:v>219.1372056612</c:v>
                </c:pt>
                <c:pt idx="6">
                  <c:v>200.44400471860001</c:v>
                </c:pt>
                <c:pt idx="7">
                  <c:v>210.14936945490001</c:v>
                </c:pt>
                <c:pt idx="8">
                  <c:v>232.59996176300001</c:v>
                </c:pt>
                <c:pt idx="9">
                  <c:v>244.1453660576</c:v>
                </c:pt>
                <c:pt idx="10">
                  <c:v>206.32096297250001</c:v>
                </c:pt>
                <c:pt idx="11">
                  <c:v>212.75769545259999</c:v>
                </c:pt>
                <c:pt idx="12">
                  <c:v>221.46636149439999</c:v>
                </c:pt>
              </c:numCache>
            </c:numRef>
          </c:val>
          <c:smooth val="0"/>
          <c:extLst>
            <c:ext xmlns:c16="http://schemas.microsoft.com/office/drawing/2014/chart" uri="{C3380CC4-5D6E-409C-BE32-E72D297353CC}">
              <c16:uniqueId val="{00000078-05DA-4902-9FAE-7020D488BF82}"/>
            </c:ext>
          </c:extLst>
        </c:ser>
        <c:ser>
          <c:idx val="2"/>
          <c:order val="17"/>
          <c:tx>
            <c:v>Precio medio a bajar</c:v>
          </c:tx>
          <c:spPr>
            <a:ln w="28575" cap="rnd">
              <a:solidFill>
                <a:srgbClr val="404040"/>
              </a:solidFill>
              <a:round/>
            </a:ln>
            <a:effectLst/>
          </c:spPr>
          <c:marker>
            <c:symbol val="none"/>
          </c:marker>
          <c:val>
            <c:numRef>
              <c:f>Dat_01!$C$408:$O$408</c:f>
              <c:numCache>
                <c:formatCode>General</c:formatCode>
                <c:ptCount val="13"/>
              </c:numCache>
            </c:numRef>
          </c:val>
          <c:smooth val="0"/>
          <c:extLst>
            <c:ext xmlns:c16="http://schemas.microsoft.com/office/drawing/2014/chart" uri="{C3380CC4-5D6E-409C-BE32-E72D297353CC}">
              <c16:uniqueId val="{0000007A-05DA-4902-9FAE-7020D488BF82}"/>
            </c:ext>
          </c:extLst>
        </c:ser>
        <c:dLbls>
          <c:showLegendKey val="0"/>
          <c:showVal val="0"/>
          <c:showCatName val="0"/>
          <c:showSerName val="0"/>
          <c:showPercent val="0"/>
          <c:showBubbleSize val="0"/>
        </c:dLbls>
        <c:marker val="1"/>
        <c:smooth val="0"/>
        <c:axId val="531373064"/>
        <c:axId val="531373456"/>
      </c:lineChart>
      <c:catAx>
        <c:axId val="531374240"/>
        <c:scaling>
          <c:orientation val="minMax"/>
        </c:scaling>
        <c:delete val="0"/>
        <c:axPos val="b"/>
        <c:numFmt formatCode="General" sourceLinked="1"/>
        <c:majorTickMark val="out"/>
        <c:minorTickMark val="none"/>
        <c:tickLblPos val="nextTo"/>
        <c:crossAx val="531373848"/>
        <c:crosses val="autoZero"/>
        <c:auto val="1"/>
        <c:lblAlgn val="ctr"/>
        <c:lblOffset val="100"/>
        <c:noMultiLvlLbl val="0"/>
      </c:catAx>
      <c:valAx>
        <c:axId val="531373848"/>
        <c:scaling>
          <c:orientation val="minMax"/>
        </c:scaling>
        <c:delete val="0"/>
        <c:axPos val="l"/>
        <c:majorGridlines>
          <c:spPr>
            <a:ln w="3175" cap="flat" cmpd="sng" algn="ctr">
              <a:solidFill>
                <a:srgbClr val="004563"/>
              </a:solidFill>
              <a:prstDash val="sysDot"/>
              <a:round/>
            </a:ln>
            <a:effectLst/>
          </c:spPr>
        </c:majorGridlines>
        <c:title>
          <c:tx>
            <c:rich>
              <a:bodyPr rot="0" vert="horz"/>
              <a:lstStyle/>
              <a:p>
                <a:pPr>
                  <a:defRPr/>
                </a:pPr>
                <a:r>
                  <a:rPr lang="es-ES" b="0"/>
                  <a:t>GWh</a:t>
                </a:r>
              </a:p>
            </c:rich>
          </c:tx>
          <c:layout>
            <c:manualLayout>
              <c:xMode val="edge"/>
              <c:yMode val="edge"/>
              <c:x val="1.7026379089783182E-2"/>
              <c:y val="6.7816441752756543E-2"/>
            </c:manualLayout>
          </c:layout>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4240"/>
        <c:crosses val="autoZero"/>
        <c:crossBetween val="between"/>
        <c:dispUnits>
          <c:builtInUnit val="thousands"/>
        </c:dispUnits>
      </c:valAx>
      <c:valAx>
        <c:axId val="531373456"/>
        <c:scaling>
          <c:orientation val="minMax"/>
          <c:max val="360"/>
          <c:min val="-180"/>
        </c:scaling>
        <c:delete val="0"/>
        <c:axPos val="r"/>
        <c:title>
          <c:tx>
            <c:rich>
              <a:bodyPr rot="0" vert="horz"/>
              <a:lstStyle/>
              <a:p>
                <a:pPr>
                  <a:defRPr/>
                </a:pPr>
                <a:r>
                  <a:rPr lang="es-ES" b="0"/>
                  <a:t>€/MWh</a:t>
                </a:r>
              </a:p>
            </c:rich>
          </c:tx>
          <c:layout>
            <c:manualLayout>
              <c:xMode val="edge"/>
              <c:yMode val="edge"/>
              <c:x val="0.93655971151146789"/>
              <c:y val="6.7816441752756543E-2"/>
            </c:manualLayout>
          </c:layout>
          <c:overlay val="0"/>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4563"/>
                </a:solidFill>
                <a:latin typeface="+mn-lt"/>
                <a:ea typeface="+mn-ea"/>
                <a:cs typeface="+mn-cs"/>
              </a:defRPr>
            </a:pPr>
            <a:endParaRPr lang="es-ES"/>
          </a:p>
        </c:txPr>
        <c:crossAx val="531373064"/>
        <c:crosses val="max"/>
        <c:crossBetween val="between"/>
        <c:majorUnit val="60"/>
      </c:valAx>
      <c:catAx>
        <c:axId val="531373064"/>
        <c:scaling>
          <c:orientation val="minMax"/>
        </c:scaling>
        <c:delete val="1"/>
        <c:axPos val="b"/>
        <c:numFmt formatCode="General" sourceLinked="1"/>
        <c:majorTickMark val="out"/>
        <c:minorTickMark val="none"/>
        <c:tickLblPos val="nextTo"/>
        <c:crossAx val="531373456"/>
        <c:crosses val="autoZero"/>
        <c:auto val="1"/>
        <c:lblAlgn val="ctr"/>
        <c:lblOffset val="100"/>
        <c:noMultiLvlLbl val="0"/>
      </c:catAx>
      <c:spPr>
        <a:noFill/>
        <a:ln w="25400">
          <a:noFill/>
        </a:ln>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sz="800">
          <a:solidFill>
            <a:srgbClr val="004563"/>
          </a:solidFill>
        </a:defRPr>
      </a:pPr>
      <a:endParaRPr lang="es-ES"/>
    </a:p>
  </c:txPr>
  <c:printSettings>
    <c:headerFooter/>
    <c:pageMargins b="0.75" l="0.7" r="0.7" t="0.75" header="0.3" footer="0.3"/>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693853339453519E-2"/>
          <c:y val="0.15240642593607068"/>
          <c:w val="0.87712252783722078"/>
          <c:h val="0.6880898676727909"/>
        </c:manualLayout>
      </c:layout>
      <c:barChart>
        <c:barDir val="col"/>
        <c:grouping val="stacked"/>
        <c:varyColors val="0"/>
        <c:ser>
          <c:idx val="0"/>
          <c:order val="0"/>
          <c:tx>
            <c:strRef>
              <c:f>Dat_01!$D$451</c:f>
              <c:strCache>
                <c:ptCount val="1"/>
                <c:pt idx="0">
                  <c:v>Mercados Diario e Intradiario </c:v>
                </c:pt>
              </c:strCache>
            </c:strRef>
          </c:tx>
          <c:spPr>
            <a:solidFill>
              <a:srgbClr val="00B0F0"/>
            </a:solidFill>
            <a:ln>
              <a:noFill/>
            </a:ln>
          </c:spPr>
          <c:invertIfNegative val="0"/>
          <c:cat>
            <c:strRef>
              <c:f>Dat_01!$A$425:$A$437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Dat_01!$D$453:$D$465</c:f>
              <c:numCache>
                <c:formatCode>0.00</c:formatCode>
                <c:ptCount val="13"/>
                <c:pt idx="0">
                  <c:v>100.2</c:v>
                </c:pt>
                <c:pt idx="1">
                  <c:v>110.61</c:v>
                </c:pt>
                <c:pt idx="2">
                  <c:v>55.42</c:v>
                </c:pt>
                <c:pt idx="3">
                  <c:v>27.65</c:v>
                </c:pt>
                <c:pt idx="4">
                  <c:v>17.36</c:v>
                </c:pt>
                <c:pt idx="5">
                  <c:v>72.337000000000003</c:v>
                </c:pt>
                <c:pt idx="6">
                  <c:v>70.319999999999993</c:v>
                </c:pt>
                <c:pt idx="7">
                  <c:v>67.88000000000001</c:v>
                </c:pt>
                <c:pt idx="8">
                  <c:v>60.71</c:v>
                </c:pt>
                <c:pt idx="9">
                  <c:v>76.440000000000012</c:v>
                </c:pt>
                <c:pt idx="10">
                  <c:v>60.31</c:v>
                </c:pt>
                <c:pt idx="11">
                  <c:v>80.08</c:v>
                </c:pt>
                <c:pt idx="12">
                  <c:v>73.47</c:v>
                </c:pt>
              </c:numCache>
            </c:numRef>
          </c:val>
          <c:extLst>
            <c:ext xmlns:c16="http://schemas.microsoft.com/office/drawing/2014/chart" uri="{C3380CC4-5D6E-409C-BE32-E72D297353CC}">
              <c16:uniqueId val="{00000000-84BE-4212-B443-BEBAB3D3ACF8}"/>
            </c:ext>
          </c:extLst>
        </c:ser>
        <c:ser>
          <c:idx val="1"/>
          <c:order val="1"/>
          <c:tx>
            <c:strRef>
              <c:f>Dat_01!$E$451</c:f>
              <c:strCache>
                <c:ptCount val="1"/>
                <c:pt idx="0">
                  <c:v>Servicios de ajuste</c:v>
                </c:pt>
              </c:strCache>
            </c:strRef>
          </c:tx>
          <c:spPr>
            <a:solidFill>
              <a:srgbClr val="FFC000"/>
            </a:solidFill>
            <a:ln>
              <a:noFill/>
            </a:ln>
          </c:spPr>
          <c:invertIfNegative val="0"/>
          <c:cat>
            <c:strRef>
              <c:f>Dat_01!$A$425:$A$437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Dat_01!$E$453:$E$465</c:f>
              <c:numCache>
                <c:formatCode>0.00</c:formatCode>
                <c:ptCount val="13"/>
                <c:pt idx="0">
                  <c:v>10.866</c:v>
                </c:pt>
                <c:pt idx="1">
                  <c:v>15.809999999999999</c:v>
                </c:pt>
                <c:pt idx="2">
                  <c:v>15.43</c:v>
                </c:pt>
                <c:pt idx="3">
                  <c:v>17.256</c:v>
                </c:pt>
                <c:pt idx="4">
                  <c:v>25.319999999999997</c:v>
                </c:pt>
                <c:pt idx="5">
                  <c:v>14.657000000000004</c:v>
                </c:pt>
                <c:pt idx="6">
                  <c:v>14.526000000000002</c:v>
                </c:pt>
                <c:pt idx="7">
                  <c:v>13.11</c:v>
                </c:pt>
                <c:pt idx="8">
                  <c:v>16.430000000000003</c:v>
                </c:pt>
                <c:pt idx="9">
                  <c:v>17.375999999999994</c:v>
                </c:pt>
                <c:pt idx="10">
                  <c:v>16.023</c:v>
                </c:pt>
                <c:pt idx="11">
                  <c:v>13.88</c:v>
                </c:pt>
                <c:pt idx="12">
                  <c:v>14.64</c:v>
                </c:pt>
              </c:numCache>
            </c:numRef>
          </c:val>
          <c:extLst>
            <c:ext xmlns:c16="http://schemas.microsoft.com/office/drawing/2014/chart" uri="{C3380CC4-5D6E-409C-BE32-E72D297353CC}">
              <c16:uniqueId val="{00000001-84BE-4212-B443-BEBAB3D3ACF8}"/>
            </c:ext>
          </c:extLst>
        </c:ser>
        <c:ser>
          <c:idx val="2"/>
          <c:order val="2"/>
          <c:tx>
            <c:strRef>
              <c:f>Dat_01!$F$451</c:f>
              <c:strCache>
                <c:ptCount val="1"/>
                <c:pt idx="0">
                  <c:v>Pagos por capacidad</c:v>
                </c:pt>
              </c:strCache>
            </c:strRef>
          </c:tx>
          <c:spPr>
            <a:solidFill>
              <a:srgbClr val="92D050"/>
            </a:solidFill>
            <a:ln>
              <a:noFill/>
            </a:ln>
          </c:spPr>
          <c:invertIfNegative val="0"/>
          <c:cat>
            <c:strRef>
              <c:f>Dat_01!$A$425:$A$437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Dat_01!$F$453:$F$465</c:f>
              <c:numCache>
                <c:formatCode>0.00</c:formatCode>
                <c:ptCount val="13"/>
                <c:pt idx="0">
                  <c:v>0.27</c:v>
                </c:pt>
                <c:pt idx="1">
                  <c:v>0.27</c:v>
                </c:pt>
                <c:pt idx="2">
                  <c:v>0.18</c:v>
                </c:pt>
                <c:pt idx="3">
                  <c:v>0.14000000000000001</c:v>
                </c:pt>
                <c:pt idx="4">
                  <c:v>0.13</c:v>
                </c:pt>
                <c:pt idx="5">
                  <c:v>0.15</c:v>
                </c:pt>
                <c:pt idx="6">
                  <c:v>0.28000000000000003</c:v>
                </c:pt>
                <c:pt idx="7">
                  <c:v>0.14000000000000001</c:v>
                </c:pt>
                <c:pt idx="8">
                  <c:v>0.15</c:v>
                </c:pt>
                <c:pt idx="9">
                  <c:v>0.14000000000000001</c:v>
                </c:pt>
                <c:pt idx="10">
                  <c:v>0.182</c:v>
                </c:pt>
                <c:pt idx="11">
                  <c:v>0.26</c:v>
                </c:pt>
                <c:pt idx="12">
                  <c:v>0.24</c:v>
                </c:pt>
              </c:numCache>
            </c:numRef>
          </c:val>
          <c:extLst>
            <c:ext xmlns:c16="http://schemas.microsoft.com/office/drawing/2014/chart" uri="{C3380CC4-5D6E-409C-BE32-E72D297353CC}">
              <c16:uniqueId val="{00000002-84BE-4212-B443-BEBAB3D3ACF8}"/>
            </c:ext>
          </c:extLst>
        </c:ser>
        <c:ser>
          <c:idx val="4"/>
          <c:order val="3"/>
          <c:tx>
            <c:strRef>
              <c:f>Dat_01!$G$451</c:f>
              <c:strCache>
                <c:ptCount val="1"/>
                <c:pt idx="0">
                  <c:v>Mecanismo ajuste RD-L 10/2022</c:v>
                </c:pt>
              </c:strCache>
              <c:extLst xmlns:c15="http://schemas.microsoft.com/office/drawing/2012/chart"/>
            </c:strRef>
          </c:tx>
          <c:spPr>
            <a:solidFill>
              <a:srgbClr val="9999FF"/>
            </a:solidFill>
            <a:ln>
              <a:noFill/>
            </a:ln>
          </c:spPr>
          <c:invertIfNegative val="0"/>
          <c:cat>
            <c:strRef>
              <c:f>Dat_01!$A$425:$A$437</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Dat_01!$G$453:$G$465</c:f>
              <c:numCache>
                <c:formatCode>0.00</c:formatCode>
                <c:ptCount val="13"/>
                <c:pt idx="0">
                  <c:v>0</c:v>
                </c:pt>
                <c:pt idx="1">
                  <c:v>0</c:v>
                </c:pt>
                <c:pt idx="2">
                  <c:v>0</c:v>
                </c:pt>
                <c:pt idx="3">
                  <c:v>0</c:v>
                </c:pt>
                <c:pt idx="4">
                  <c:v>0</c:v>
                </c:pt>
                <c:pt idx="5">
                  <c:v>0</c:v>
                </c:pt>
                <c:pt idx="6">
                  <c:v>0</c:v>
                </c:pt>
                <c:pt idx="7">
                  <c:v>0</c:v>
                </c:pt>
                <c:pt idx="8">
                  <c:v>0</c:v>
                </c:pt>
                <c:pt idx="9">
                  <c:v>0</c:v>
                </c:pt>
                <c:pt idx="10">
                  <c:v>0</c:v>
                </c:pt>
              </c:numCache>
              <c:extLst xmlns:c15="http://schemas.microsoft.com/office/drawing/2012/chart"/>
            </c:numRef>
          </c:val>
          <c:extLst xmlns:c15="http://schemas.microsoft.com/office/drawing/2012/chart">
            <c:ext xmlns:c16="http://schemas.microsoft.com/office/drawing/2014/chart" uri="{C3380CC4-5D6E-409C-BE32-E72D297353CC}">
              <c16:uniqueId val="{00000003-84BE-4212-B443-BEBAB3D3ACF8}"/>
            </c:ext>
          </c:extLst>
        </c:ser>
        <c:dLbls>
          <c:showLegendKey val="0"/>
          <c:showVal val="0"/>
          <c:showCatName val="0"/>
          <c:showSerName val="0"/>
          <c:showPercent val="0"/>
          <c:showBubbleSize val="0"/>
        </c:dLbls>
        <c:gapWidth val="50"/>
        <c:overlap val="100"/>
        <c:axId val="403133952"/>
        <c:axId val="403134344"/>
        <c:extLst/>
      </c:barChart>
      <c:catAx>
        <c:axId val="403133952"/>
        <c:scaling>
          <c:orientation val="minMax"/>
        </c:scaling>
        <c:delete val="0"/>
        <c:axPos val="b"/>
        <c:numFmt formatCode="General" sourceLinked="1"/>
        <c:majorTickMark val="out"/>
        <c:minorTickMark val="none"/>
        <c:tickLblPos val="low"/>
        <c:spPr>
          <a:ln w="3175">
            <a:solidFill>
              <a:schemeClr val="bg1">
                <a:lumMod val="65000"/>
              </a:schemeClr>
            </a:solidFill>
          </a:ln>
        </c:spPr>
        <c:txPr>
          <a:bodyPr rot="0" vert="horz"/>
          <a:lstStyle/>
          <a:p>
            <a:pPr>
              <a:defRPr/>
            </a:pPr>
            <a:endParaRPr lang="es-ES"/>
          </a:p>
        </c:txPr>
        <c:crossAx val="403134344"/>
        <c:crosses val="autoZero"/>
        <c:auto val="1"/>
        <c:lblAlgn val="ctr"/>
        <c:lblOffset val="100"/>
        <c:noMultiLvlLbl val="0"/>
      </c:catAx>
      <c:valAx>
        <c:axId val="403134344"/>
        <c:scaling>
          <c:orientation val="minMax"/>
          <c:min val="-20"/>
        </c:scaling>
        <c:delete val="0"/>
        <c:axPos val="l"/>
        <c:majorGridlines>
          <c:spPr>
            <a:ln w="3175">
              <a:solidFill>
                <a:schemeClr val="bg1">
                  <a:lumMod val="75000"/>
                </a:schemeClr>
              </a:solidFill>
              <a:prstDash val="sysDot"/>
            </a:ln>
          </c:spPr>
        </c:majorGridlines>
        <c:numFmt formatCode="0" sourceLinked="0"/>
        <c:majorTickMark val="out"/>
        <c:minorTickMark val="none"/>
        <c:tickLblPos val="nextTo"/>
        <c:spPr>
          <a:ln>
            <a:noFill/>
          </a:ln>
        </c:spPr>
        <c:txPr>
          <a:bodyPr rot="0" vert="horz"/>
          <a:lstStyle/>
          <a:p>
            <a:pPr>
              <a:defRPr/>
            </a:pPr>
            <a:endParaRPr lang="es-ES"/>
          </a:p>
        </c:txPr>
        <c:crossAx val="403133952"/>
        <c:crosses val="autoZero"/>
        <c:crossBetween val="between"/>
        <c:minorUnit val="2"/>
      </c:valAx>
      <c:spPr>
        <a:noFill/>
        <a:ln w="25400">
          <a:noFill/>
        </a:ln>
      </c:spPr>
    </c:plotArea>
    <c:legend>
      <c:legendPos val="b"/>
      <c:layout>
        <c:manualLayout>
          <c:xMode val="edge"/>
          <c:yMode val="edge"/>
          <c:x val="0.11373867458450214"/>
          <c:y val="4.1666693738641951E-2"/>
          <c:w val="0.81427070604028751"/>
          <c:h val="6.2878401318005511E-2"/>
        </c:manualLayout>
      </c:layout>
      <c:overlay val="0"/>
    </c:legend>
    <c:plotVisOnly val="1"/>
    <c:dispBlanksAs val="gap"/>
    <c:showDLblsOverMax val="0"/>
  </c:chart>
  <c:spPr>
    <a:noFill/>
    <a:ln>
      <a:noFill/>
    </a:ln>
  </c:spPr>
  <c:txPr>
    <a:bodyPr/>
    <a:lstStyle/>
    <a:p>
      <a:pPr>
        <a:defRPr sz="800" b="0" i="0" u="none" strike="noStrike"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paperSize="9" orientation="landscape" horizontalDpi="355" verticalDpi="355"/>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978568794603154"/>
          <c:y val="0.18243889337663954"/>
          <c:w val="0.47563523567818483"/>
          <c:h val="0.64574311408405372"/>
        </c:manualLayout>
      </c:layout>
      <c:doughnutChart>
        <c:varyColors val="1"/>
        <c:ser>
          <c:idx val="0"/>
          <c:order val="0"/>
          <c:spPr>
            <a:ln>
              <a:noFill/>
            </a:ln>
          </c:spPr>
          <c:explosion val="4"/>
          <c:dPt>
            <c:idx val="0"/>
            <c:bubble3D val="0"/>
            <c:explosion val="0"/>
            <c:spPr>
              <a:solidFill>
                <a:schemeClr val="accent1"/>
              </a:solidFill>
              <a:ln w="19050">
                <a:noFill/>
              </a:ln>
              <a:effectLst/>
            </c:spPr>
            <c:extLst>
              <c:ext xmlns:c16="http://schemas.microsoft.com/office/drawing/2014/chart" uri="{C3380CC4-5D6E-409C-BE32-E72D297353CC}">
                <c16:uniqueId val="{00000001-DA56-4F53-B839-2C55EC8A8294}"/>
              </c:ext>
            </c:extLst>
          </c:dPt>
          <c:dPt>
            <c:idx val="1"/>
            <c:bubble3D val="0"/>
            <c:explosion val="0"/>
            <c:spPr>
              <a:solidFill>
                <a:srgbClr val="C00000"/>
              </a:solidFill>
              <a:ln w="19050">
                <a:noFill/>
              </a:ln>
              <a:effectLst/>
            </c:spPr>
            <c:extLst>
              <c:ext xmlns:c16="http://schemas.microsoft.com/office/drawing/2014/chart" uri="{C3380CC4-5D6E-409C-BE32-E72D297353CC}">
                <c16:uniqueId val="{00000003-DA56-4F53-B839-2C55EC8A8294}"/>
              </c:ext>
            </c:extLst>
          </c:dPt>
          <c:dPt>
            <c:idx val="2"/>
            <c:bubble3D val="0"/>
            <c:explosion val="0"/>
            <c:spPr>
              <a:solidFill>
                <a:srgbClr val="9999FF"/>
              </a:solidFill>
              <a:ln w="19050">
                <a:noFill/>
              </a:ln>
              <a:effectLst/>
            </c:spPr>
            <c:extLst>
              <c:ext xmlns:c16="http://schemas.microsoft.com/office/drawing/2014/chart" uri="{C3380CC4-5D6E-409C-BE32-E72D297353CC}">
                <c16:uniqueId val="{00000005-DA56-4F53-B839-2C55EC8A8294}"/>
              </c:ext>
            </c:extLst>
          </c:dPt>
          <c:dPt>
            <c:idx val="3"/>
            <c:bubble3D val="0"/>
            <c:explosion val="0"/>
            <c:spPr>
              <a:solidFill>
                <a:srgbClr val="FFC000"/>
              </a:solidFill>
              <a:ln w="19050">
                <a:noFill/>
              </a:ln>
              <a:effectLst/>
            </c:spPr>
            <c:extLst>
              <c:ext xmlns:c16="http://schemas.microsoft.com/office/drawing/2014/chart" uri="{C3380CC4-5D6E-409C-BE32-E72D297353CC}">
                <c16:uniqueId val="{00000007-DA56-4F53-B839-2C55EC8A8294}"/>
              </c:ext>
            </c:extLst>
          </c:dPt>
          <c:dLbls>
            <c:dLbl>
              <c:idx val="0"/>
              <c:layout>
                <c:manualLayout>
                  <c:x val="-0.13991588649843967"/>
                  <c:y val="-0.22471036681833656"/>
                </c:manualLayout>
              </c:layout>
              <c:showLegendKey val="1"/>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DA56-4F53-B839-2C55EC8A8294}"/>
                </c:ext>
              </c:extLst>
            </c:dLbl>
            <c:dLbl>
              <c:idx val="1"/>
              <c:layout>
                <c:manualLayout>
                  <c:x val="0.15837942009217351"/>
                  <c:y val="-7.8699240434451229E-2"/>
                </c:manualLayout>
              </c:layout>
              <c:numFmt formatCode="0.00%" sourceLinked="0"/>
              <c:spPr>
                <a:noFill/>
                <a:ln>
                  <a:noFill/>
                </a:ln>
                <a:effectLst/>
              </c:spPr>
              <c:txPr>
                <a:bodyPr rot="0" spcFirstLastPara="1" vertOverflow="ellipsis" vert="horz" wrap="square" lIns="38100" tIns="19050" rIns="38100" bIns="19050" anchor="ctr" anchorCtr="0">
                  <a:no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extLst>
                <c:ext xmlns:c15="http://schemas.microsoft.com/office/drawing/2012/chart" uri="{CE6537A1-D6FC-4f65-9D91-7224C49458BB}">
                  <c15:layout>
                    <c:manualLayout>
                      <c:w val="0.21317467699429629"/>
                      <c:h val="0.15533608606036584"/>
                    </c:manualLayout>
                  </c15:layout>
                </c:ext>
                <c:ext xmlns:c16="http://schemas.microsoft.com/office/drawing/2014/chart" uri="{C3380CC4-5D6E-409C-BE32-E72D297353CC}">
                  <c16:uniqueId val="{00000003-DA56-4F53-B839-2C55EC8A8294}"/>
                </c:ext>
              </c:extLst>
            </c:dLbl>
            <c:dLbl>
              <c:idx val="2"/>
              <c:delete val="1"/>
              <c:extLst>
                <c:ext xmlns:c15="http://schemas.microsoft.com/office/drawing/2012/chart" uri="{CE6537A1-D6FC-4f65-9D91-7224C49458BB}"/>
                <c:ext xmlns:c16="http://schemas.microsoft.com/office/drawing/2014/chart" uri="{C3380CC4-5D6E-409C-BE32-E72D297353CC}">
                  <c16:uniqueId val="{00000005-DA56-4F53-B839-2C55EC8A8294}"/>
                </c:ext>
              </c:extLst>
            </c:dLbl>
            <c:dLbl>
              <c:idx val="3"/>
              <c:layout>
                <c:manualLayout>
                  <c:x val="0.1674579170475381"/>
                  <c:y val="-1.3254259919196928E-2"/>
                </c:manualLayout>
              </c:layout>
              <c:numFmt formatCode="0.00%" sourceLinked="0"/>
              <c:spPr>
                <a:noFill/>
                <a:ln>
                  <a:noFill/>
                </a:ln>
                <a:effectLst/>
              </c:spPr>
              <c:txPr>
                <a:bodyPr rot="0" spcFirstLastPara="1" vertOverflow="ellipsis" vert="horz" wrap="square" lIns="38100" tIns="19050" rIns="38100" bIns="19050" anchor="ctr" anchorCtr="0">
                  <a:spAutoFit/>
                </a:bodyPr>
                <a:lstStyle/>
                <a:p>
                  <a:pPr marL="0" marR="0" indent="0" algn="ctr" defTabSz="914400" rtl="0" eaLnBrk="1" fontAlgn="auto" latinLnBrk="0" hangingPunct="1">
                    <a:lnSpc>
                      <a:spcPct val="100000"/>
                    </a:lnSpc>
                    <a:spcBef>
                      <a:spcPts val="0"/>
                    </a:spcBef>
                    <a:spcAft>
                      <a:spcPts val="0"/>
                    </a:spcAft>
                    <a:buClrTx/>
                    <a:buSzTx/>
                    <a:buFontTx/>
                    <a:buNone/>
                    <a:tabLst/>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DA56-4F53-B839-2C55EC8A8294}"/>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4563"/>
                    </a:solidFill>
                    <a:latin typeface="+mn-lt"/>
                    <a:ea typeface="+mn-ea"/>
                    <a:cs typeface="+mn-cs"/>
                  </a:defRPr>
                </a:pPr>
                <a:endParaRPr lang="es-ES"/>
              </a:p>
            </c:txPr>
            <c:showLegendKey val="1"/>
            <c:showVal val="0"/>
            <c:showCatName val="1"/>
            <c:showSerName val="0"/>
            <c:showPercent val="1"/>
            <c:showBubbleSize val="0"/>
            <c:separator>
</c:separator>
            <c:showLeaderLines val="0"/>
            <c:extLst>
              <c:ext xmlns:c15="http://schemas.microsoft.com/office/drawing/2012/chart" uri="{CE6537A1-D6FC-4f65-9D91-7224C49458BB}"/>
            </c:extLst>
          </c:dLbls>
          <c:cat>
            <c:strRef>
              <c:f>Dat_01!$D$93:$G$93</c:f>
              <c:strCache>
                <c:ptCount val="4"/>
                <c:pt idx="0">
                  <c:v>Mercado diario e intradiario</c:v>
                </c:pt>
                <c:pt idx="1">
                  <c:v>Pagos  por capacidad</c:v>
                </c:pt>
                <c:pt idx="2">
                  <c:v>Mecanismo ajuste RD-L 10/2022</c:v>
                </c:pt>
                <c:pt idx="3">
                  <c:v>Servicios de ajuste</c:v>
                </c:pt>
              </c:strCache>
            </c:strRef>
          </c:cat>
          <c:val>
            <c:numRef>
              <c:f>Dat_01!$D$94:$G$94</c:f>
              <c:numCache>
                <c:formatCode>0.00</c:formatCode>
                <c:ptCount val="4"/>
                <c:pt idx="0">
                  <c:v>73.47</c:v>
                </c:pt>
                <c:pt idx="1">
                  <c:v>0.24</c:v>
                </c:pt>
                <c:pt idx="2">
                  <c:v>0</c:v>
                </c:pt>
                <c:pt idx="3">
                  <c:v>14.64</c:v>
                </c:pt>
              </c:numCache>
            </c:numRef>
          </c:val>
          <c:extLst>
            <c:ext xmlns:c16="http://schemas.microsoft.com/office/drawing/2014/chart" uri="{C3380CC4-5D6E-409C-BE32-E72D297353CC}">
              <c16:uniqueId val="{00000008-DA56-4F53-B839-2C55EC8A8294}"/>
            </c:ext>
          </c:extLst>
        </c:ser>
        <c:dLbls>
          <c:showLegendKey val="0"/>
          <c:showVal val="0"/>
          <c:showCatName val="0"/>
          <c:showSerName val="0"/>
          <c:showPercent val="0"/>
          <c:showBubbleSize val="0"/>
          <c:showLeaderLines val="0"/>
        </c:dLbls>
        <c:firstSliceAng val="124"/>
        <c:holeSize val="59"/>
      </c:doughnutChart>
      <c:spPr>
        <a:noFill/>
        <a:ln>
          <a:noFill/>
        </a:ln>
        <a:effectLst/>
      </c:spPr>
    </c:plotArea>
    <c:plotVisOnly val="1"/>
    <c:dispBlanksAs val="gap"/>
    <c:showDLblsOverMax val="0"/>
  </c:chart>
  <c:spPr>
    <a:solidFill>
      <a:srgbClr val="F5F5F5"/>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055371026226564E-2"/>
          <c:y val="0.22047244094488189"/>
          <c:w val="0.89127868066858906"/>
          <c:h val="0.64960629921259883"/>
        </c:manualLayout>
      </c:layout>
      <c:barChart>
        <c:barDir val="col"/>
        <c:grouping val="stacked"/>
        <c:varyColors val="0"/>
        <c:ser>
          <c:idx val="0"/>
          <c:order val="0"/>
          <c:tx>
            <c:strRef>
              <c:f>Dat_01!$A$82</c:f>
              <c:strCache>
                <c:ptCount val="1"/>
                <c:pt idx="0">
                  <c:v>Restricciones técnicas PDBF</c:v>
                </c:pt>
              </c:strCache>
            </c:strRef>
          </c:tx>
          <c:spPr>
            <a:solidFill>
              <a:srgbClr val="0070C0"/>
            </a:solidFill>
            <a:ln w="25400">
              <a:noFill/>
            </a:ln>
          </c:spPr>
          <c:invertIfNegative val="0"/>
          <c:cat>
            <c:strRef>
              <c:f>Dat_01!$B$81:$N$81</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Dat_01!$B$82:$N$82</c:f>
              <c:numCache>
                <c:formatCode>#,##0.00</c:formatCode>
                <c:ptCount val="13"/>
                <c:pt idx="0">
                  <c:v>4.2</c:v>
                </c:pt>
                <c:pt idx="1">
                  <c:v>4.07</c:v>
                </c:pt>
                <c:pt idx="2">
                  <c:v>6.64</c:v>
                </c:pt>
                <c:pt idx="3">
                  <c:v>11.27</c:v>
                </c:pt>
                <c:pt idx="4">
                  <c:v>21.57</c:v>
                </c:pt>
                <c:pt idx="5">
                  <c:v>9.69</c:v>
                </c:pt>
                <c:pt idx="6">
                  <c:v>8.44</c:v>
                </c:pt>
                <c:pt idx="7">
                  <c:v>8.34</c:v>
                </c:pt>
                <c:pt idx="8">
                  <c:v>10.050000000000001</c:v>
                </c:pt>
                <c:pt idx="9">
                  <c:v>11.09</c:v>
                </c:pt>
                <c:pt idx="10">
                  <c:v>13.15</c:v>
                </c:pt>
                <c:pt idx="11">
                  <c:v>11.52</c:v>
                </c:pt>
                <c:pt idx="12">
                  <c:v>12.04</c:v>
                </c:pt>
              </c:numCache>
            </c:numRef>
          </c:val>
          <c:extLst>
            <c:ext xmlns:c16="http://schemas.microsoft.com/office/drawing/2014/chart" uri="{C3380CC4-5D6E-409C-BE32-E72D297353CC}">
              <c16:uniqueId val="{00000000-0217-4434-B940-F43E72455419}"/>
            </c:ext>
          </c:extLst>
        </c:ser>
        <c:ser>
          <c:idx val="6"/>
          <c:order val="1"/>
          <c:tx>
            <c:strRef>
              <c:f>Dat_01!$A$83</c:f>
              <c:strCache>
                <c:ptCount val="1"/>
                <c:pt idx="0">
                  <c:v>Restricciones técnicas en tiempo real</c:v>
                </c:pt>
              </c:strCache>
            </c:strRef>
          </c:tx>
          <c:spPr>
            <a:solidFill>
              <a:srgbClr val="CC6600"/>
            </a:solidFill>
          </c:spPr>
          <c:invertIfNegative val="0"/>
          <c:cat>
            <c:strRef>
              <c:f>Dat_01!$B$81:$N$81</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Dat_01!$B$83:$N$83</c:f>
              <c:numCache>
                <c:formatCode>#,##0.00</c:formatCode>
                <c:ptCount val="13"/>
                <c:pt idx="0">
                  <c:v>3.56</c:v>
                </c:pt>
                <c:pt idx="1">
                  <c:v>7.08</c:v>
                </c:pt>
                <c:pt idx="2">
                  <c:v>5.85</c:v>
                </c:pt>
                <c:pt idx="3">
                  <c:v>4.28</c:v>
                </c:pt>
                <c:pt idx="4">
                  <c:v>2.88</c:v>
                </c:pt>
                <c:pt idx="5">
                  <c:v>4.5199999999999996</c:v>
                </c:pt>
                <c:pt idx="6">
                  <c:v>4.8600000000000003</c:v>
                </c:pt>
                <c:pt idx="7">
                  <c:v>3.04</c:v>
                </c:pt>
                <c:pt idx="8">
                  <c:v>4.45</c:v>
                </c:pt>
                <c:pt idx="9">
                  <c:v>4.79</c:v>
                </c:pt>
                <c:pt idx="10">
                  <c:v>1.27</c:v>
                </c:pt>
                <c:pt idx="11">
                  <c:v>1.27</c:v>
                </c:pt>
                <c:pt idx="12">
                  <c:v>1.87</c:v>
                </c:pt>
              </c:numCache>
            </c:numRef>
          </c:val>
          <c:extLst>
            <c:ext xmlns:c16="http://schemas.microsoft.com/office/drawing/2014/chart" uri="{C3380CC4-5D6E-409C-BE32-E72D297353CC}">
              <c16:uniqueId val="{00000001-0217-4434-B940-F43E72455419}"/>
            </c:ext>
          </c:extLst>
        </c:ser>
        <c:ser>
          <c:idx val="2"/>
          <c:order val="2"/>
          <c:tx>
            <c:strRef>
              <c:f>Dat_01!$A$84</c:f>
              <c:strCache>
                <c:ptCount val="1"/>
                <c:pt idx="0">
                  <c:v>Banda de regulación secundaria y RAD</c:v>
                </c:pt>
              </c:strCache>
            </c:strRef>
          </c:tx>
          <c:spPr>
            <a:solidFill>
              <a:srgbClr val="92D050"/>
            </a:solidFill>
            <a:ln w="25400">
              <a:noFill/>
            </a:ln>
          </c:spPr>
          <c:invertIfNegative val="0"/>
          <c:cat>
            <c:strRef>
              <c:f>Dat_01!$B$81:$N$81</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Dat_01!$B$84:$N$84</c:f>
              <c:numCache>
                <c:formatCode>#,##0.00</c:formatCode>
                <c:ptCount val="13"/>
                <c:pt idx="0">
                  <c:v>4.3</c:v>
                </c:pt>
                <c:pt idx="1">
                  <c:v>4.63</c:v>
                </c:pt>
                <c:pt idx="2">
                  <c:v>3.6</c:v>
                </c:pt>
                <c:pt idx="3">
                  <c:v>2.79</c:v>
                </c:pt>
                <c:pt idx="4">
                  <c:v>2.4499999999999997</c:v>
                </c:pt>
                <c:pt idx="5">
                  <c:v>2.33</c:v>
                </c:pt>
                <c:pt idx="6">
                  <c:v>2.8660000000000001</c:v>
                </c:pt>
                <c:pt idx="7">
                  <c:v>3.13</c:v>
                </c:pt>
                <c:pt idx="8">
                  <c:v>3.4999999999999996</c:v>
                </c:pt>
                <c:pt idx="9">
                  <c:v>3.5159999999999996</c:v>
                </c:pt>
                <c:pt idx="10">
                  <c:v>2.85</c:v>
                </c:pt>
                <c:pt idx="11">
                  <c:v>2.23</c:v>
                </c:pt>
                <c:pt idx="12">
                  <c:v>2.95</c:v>
                </c:pt>
              </c:numCache>
            </c:numRef>
          </c:val>
          <c:extLst>
            <c:ext xmlns:c16="http://schemas.microsoft.com/office/drawing/2014/chart" uri="{C3380CC4-5D6E-409C-BE32-E72D297353CC}">
              <c16:uniqueId val="{00000002-0217-4434-B940-F43E72455419}"/>
            </c:ext>
          </c:extLst>
        </c:ser>
        <c:ser>
          <c:idx val="1"/>
          <c:order val="3"/>
          <c:tx>
            <c:strRef>
              <c:f>Dat_01!$A$85</c:f>
              <c:strCache>
                <c:ptCount val="1"/>
                <c:pt idx="0">
                  <c:v>Incumplimiento energía balance</c:v>
                </c:pt>
              </c:strCache>
            </c:strRef>
          </c:tx>
          <c:spPr>
            <a:solidFill>
              <a:srgbClr val="FFFF99"/>
            </a:solidFill>
            <a:ln w="25400">
              <a:noFill/>
            </a:ln>
          </c:spPr>
          <c:invertIfNegative val="0"/>
          <c:cat>
            <c:strRef>
              <c:f>Dat_01!$B$81:$N$81</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Dat_01!$B$85:$N$85</c:f>
              <c:numCache>
                <c:formatCode>#,##0.00</c:formatCode>
                <c:ptCount val="13"/>
                <c:pt idx="0">
                  <c:v>-0.73</c:v>
                </c:pt>
                <c:pt idx="1">
                  <c:v>-0.8</c:v>
                </c:pt>
                <c:pt idx="2">
                  <c:v>-0.6</c:v>
                </c:pt>
                <c:pt idx="3">
                  <c:v>-0.41</c:v>
                </c:pt>
                <c:pt idx="4">
                  <c:v>-0.19</c:v>
                </c:pt>
                <c:pt idx="5">
                  <c:v>-0.49299999999999999</c:v>
                </c:pt>
                <c:pt idx="6">
                  <c:v>-0.39</c:v>
                </c:pt>
                <c:pt idx="7">
                  <c:v>-0.4</c:v>
                </c:pt>
                <c:pt idx="8">
                  <c:v>-0.4</c:v>
                </c:pt>
                <c:pt idx="9">
                  <c:v>-0.42</c:v>
                </c:pt>
                <c:pt idx="10">
                  <c:v>-0.26</c:v>
                </c:pt>
                <c:pt idx="11">
                  <c:v>-0.28999999999999998</c:v>
                </c:pt>
                <c:pt idx="12">
                  <c:v>-0.36</c:v>
                </c:pt>
              </c:numCache>
            </c:numRef>
          </c:val>
          <c:extLst>
            <c:ext xmlns:c16="http://schemas.microsoft.com/office/drawing/2014/chart" uri="{C3380CC4-5D6E-409C-BE32-E72D297353CC}">
              <c16:uniqueId val="{00000003-0217-4434-B940-F43E72455419}"/>
            </c:ext>
          </c:extLst>
        </c:ser>
        <c:ser>
          <c:idx val="3"/>
          <c:order val="4"/>
          <c:tx>
            <c:strRef>
              <c:f>Dat_01!$A$86</c:f>
              <c:strCache>
                <c:ptCount val="1"/>
                <c:pt idx="0">
                  <c:v>Coste desvíos</c:v>
                </c:pt>
              </c:strCache>
            </c:strRef>
          </c:tx>
          <c:spPr>
            <a:solidFill>
              <a:srgbClr val="7030A0"/>
            </a:solidFill>
            <a:ln w="25400">
              <a:noFill/>
            </a:ln>
          </c:spPr>
          <c:invertIfNegative val="0"/>
          <c:cat>
            <c:strRef>
              <c:f>Dat_01!$B$81:$N$81</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Dat_01!$B$86:$N$86</c:f>
              <c:numCache>
                <c:formatCode>#,##0.00</c:formatCode>
                <c:ptCount val="13"/>
                <c:pt idx="0">
                  <c:v>0.58299999999999996</c:v>
                </c:pt>
                <c:pt idx="1">
                  <c:v>0.45</c:v>
                </c:pt>
                <c:pt idx="2">
                  <c:v>0.48</c:v>
                </c:pt>
                <c:pt idx="3">
                  <c:v>0.48299999999999998</c:v>
                </c:pt>
                <c:pt idx="4">
                  <c:v>0.28999999999999998</c:v>
                </c:pt>
                <c:pt idx="5">
                  <c:v>0.42</c:v>
                </c:pt>
                <c:pt idx="6">
                  <c:v>0.51</c:v>
                </c:pt>
                <c:pt idx="7">
                  <c:v>0.38</c:v>
                </c:pt>
                <c:pt idx="8">
                  <c:v>0.43</c:v>
                </c:pt>
                <c:pt idx="9">
                  <c:v>0.26</c:v>
                </c:pt>
                <c:pt idx="10">
                  <c:v>0.37</c:v>
                </c:pt>
                <c:pt idx="11">
                  <c:v>0.25</c:v>
                </c:pt>
                <c:pt idx="12">
                  <c:v>0.42</c:v>
                </c:pt>
              </c:numCache>
            </c:numRef>
          </c:val>
          <c:extLst>
            <c:ext xmlns:c16="http://schemas.microsoft.com/office/drawing/2014/chart" uri="{C3380CC4-5D6E-409C-BE32-E72D297353CC}">
              <c16:uniqueId val="{00000004-0217-4434-B940-F43E72455419}"/>
            </c:ext>
          </c:extLst>
        </c:ser>
        <c:ser>
          <c:idx val="5"/>
          <c:order val="5"/>
          <c:tx>
            <c:strRef>
              <c:f>Dat_01!$A$87</c:f>
              <c:strCache>
                <c:ptCount val="1"/>
                <c:pt idx="0">
                  <c:v>Saldo desvíos</c:v>
                </c:pt>
              </c:strCache>
            </c:strRef>
          </c:tx>
          <c:spPr>
            <a:solidFill>
              <a:srgbClr val="99CCFF"/>
            </a:solidFill>
            <a:ln w="25400">
              <a:noFill/>
            </a:ln>
          </c:spPr>
          <c:invertIfNegative val="0"/>
          <c:cat>
            <c:strRef>
              <c:f>Dat_01!$B$81:$N$81</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Dat_01!$B$87:$N$87</c:f>
              <c:numCache>
                <c:formatCode>#,##0.00</c:formatCode>
                <c:ptCount val="13"/>
                <c:pt idx="0">
                  <c:v>0.10299999999999999</c:v>
                </c:pt>
                <c:pt idx="1">
                  <c:v>1.58</c:v>
                </c:pt>
                <c:pt idx="2">
                  <c:v>0.65</c:v>
                </c:pt>
                <c:pt idx="3">
                  <c:v>9.2999999999999999E-2</c:v>
                </c:pt>
                <c:pt idx="4">
                  <c:v>-0.34</c:v>
                </c:pt>
                <c:pt idx="5">
                  <c:v>-0.67</c:v>
                </c:pt>
                <c:pt idx="6">
                  <c:v>-0.61</c:v>
                </c:pt>
                <c:pt idx="7">
                  <c:v>-0.28999999999999998</c:v>
                </c:pt>
                <c:pt idx="8">
                  <c:v>-0.33</c:v>
                </c:pt>
                <c:pt idx="9">
                  <c:v>-0.52</c:v>
                </c:pt>
                <c:pt idx="10">
                  <c:v>-0.25</c:v>
                </c:pt>
                <c:pt idx="11">
                  <c:v>-0.12</c:v>
                </c:pt>
                <c:pt idx="12">
                  <c:v>-0.51</c:v>
                </c:pt>
              </c:numCache>
            </c:numRef>
          </c:val>
          <c:extLst>
            <c:ext xmlns:c16="http://schemas.microsoft.com/office/drawing/2014/chart" uri="{C3380CC4-5D6E-409C-BE32-E72D297353CC}">
              <c16:uniqueId val="{00000005-0217-4434-B940-F43E72455419}"/>
            </c:ext>
          </c:extLst>
        </c:ser>
        <c:ser>
          <c:idx val="7"/>
          <c:order val="6"/>
          <c:tx>
            <c:strRef>
              <c:f>Dat_01!$A$88</c:f>
              <c:strCache>
                <c:ptCount val="1"/>
                <c:pt idx="0">
                  <c:v>Control del factor de potencia</c:v>
                </c:pt>
              </c:strCache>
            </c:strRef>
          </c:tx>
          <c:spPr>
            <a:solidFill>
              <a:srgbClr val="D39695"/>
            </a:solidFill>
            <a:ln>
              <a:noFill/>
            </a:ln>
          </c:spPr>
          <c:invertIfNegative val="0"/>
          <c:cat>
            <c:strRef>
              <c:f>Dat_01!$B$81:$N$81</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Dat_01!$B$88:$N$88</c:f>
              <c:numCache>
                <c:formatCode>#,##0.00</c:formatCode>
                <c:ptCount val="13"/>
                <c:pt idx="0">
                  <c:v>-0.12</c:v>
                </c:pt>
                <c:pt idx="1">
                  <c:v>-0.09</c:v>
                </c:pt>
                <c:pt idx="2">
                  <c:v>-0.1</c:v>
                </c:pt>
                <c:pt idx="3">
                  <c:v>-0.11</c:v>
                </c:pt>
                <c:pt idx="4">
                  <c:v>-0.11</c:v>
                </c:pt>
                <c:pt idx="5">
                  <c:v>-0.09</c:v>
                </c:pt>
                <c:pt idx="6">
                  <c:v>-0.1</c:v>
                </c:pt>
                <c:pt idx="7">
                  <c:v>-0.09</c:v>
                </c:pt>
                <c:pt idx="8">
                  <c:v>-0.1</c:v>
                </c:pt>
                <c:pt idx="9">
                  <c:v>-0.1</c:v>
                </c:pt>
                <c:pt idx="10">
                  <c:v>-0.02</c:v>
                </c:pt>
                <c:pt idx="11">
                  <c:v>-0.05</c:v>
                </c:pt>
                <c:pt idx="12">
                  <c:v>-0.02</c:v>
                </c:pt>
              </c:numCache>
            </c:numRef>
          </c:val>
          <c:extLst>
            <c:ext xmlns:c16="http://schemas.microsoft.com/office/drawing/2014/chart" uri="{C3380CC4-5D6E-409C-BE32-E72D297353CC}">
              <c16:uniqueId val="{00000006-0217-4434-B940-F43E72455419}"/>
            </c:ext>
          </c:extLst>
        </c:ser>
        <c:ser>
          <c:idx val="8"/>
          <c:order val="7"/>
          <c:tx>
            <c:strRef>
              <c:f>Dat_01!$A$89</c:f>
              <c:strCache>
                <c:ptCount val="1"/>
                <c:pt idx="0">
                  <c:v>Servicio RAD e ingreso control de tensión</c:v>
                </c:pt>
              </c:strCache>
            </c:strRef>
          </c:tx>
          <c:spPr>
            <a:solidFill>
              <a:srgbClr val="FF99CC"/>
            </a:solidFill>
          </c:spPr>
          <c:invertIfNegative val="0"/>
          <c:val>
            <c:numRef>
              <c:f>Dat_01!$B$89:$N$89</c:f>
              <c:numCache>
                <c:formatCode>#,##0.00</c:formatCode>
                <c:ptCount val="13"/>
                <c:pt idx="0">
                  <c:v>-1.08</c:v>
                </c:pt>
                <c:pt idx="1">
                  <c:v>-1.1599999999999999</c:v>
                </c:pt>
                <c:pt idx="2">
                  <c:v>-1.1399999999999999</c:v>
                </c:pt>
                <c:pt idx="3">
                  <c:v>-1.18</c:v>
                </c:pt>
                <c:pt idx="4">
                  <c:v>-1.27</c:v>
                </c:pt>
                <c:pt idx="5">
                  <c:v>-1.0999999999999999</c:v>
                </c:pt>
                <c:pt idx="6">
                  <c:v>-1.0900000000000001</c:v>
                </c:pt>
                <c:pt idx="7">
                  <c:v>-1.05</c:v>
                </c:pt>
                <c:pt idx="8">
                  <c:v>-1.22</c:v>
                </c:pt>
                <c:pt idx="9">
                  <c:v>-1.3</c:v>
                </c:pt>
                <c:pt idx="10">
                  <c:v>-1.1300000000000001</c:v>
                </c:pt>
                <c:pt idx="11">
                  <c:v>-0.98000000000000009</c:v>
                </c:pt>
                <c:pt idx="12">
                  <c:v>-1.8</c:v>
                </c:pt>
              </c:numCache>
            </c:numRef>
          </c:val>
          <c:extLst>
            <c:ext xmlns:c16="http://schemas.microsoft.com/office/drawing/2014/chart" uri="{C3380CC4-5D6E-409C-BE32-E72D297353CC}">
              <c16:uniqueId val="{00000000-8A38-49BA-9780-24CD76831033}"/>
            </c:ext>
          </c:extLst>
        </c:ser>
        <c:ser>
          <c:idx val="4"/>
          <c:order val="8"/>
          <c:tx>
            <c:strRef>
              <c:f>Dat_01!$A$90</c:f>
              <c:strCache>
                <c:ptCount val="1"/>
                <c:pt idx="0">
                  <c:v>Saldo PO 14.6</c:v>
                </c:pt>
              </c:strCache>
            </c:strRef>
          </c:tx>
          <c:invertIfNegative val="0"/>
          <c:cat>
            <c:strRef>
              <c:f>Dat_01!$B$81:$N$81</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Dat_01!$B$90:$N$90</c:f>
              <c:numCache>
                <c:formatCode>0.00</c:formatCode>
                <c:ptCount val="13"/>
                <c:pt idx="0">
                  <c:v>0.05</c:v>
                </c:pt>
                <c:pt idx="1">
                  <c:v>0.05</c:v>
                </c:pt>
                <c:pt idx="2">
                  <c:v>0.05</c:v>
                </c:pt>
                <c:pt idx="3">
                  <c:v>0.04</c:v>
                </c:pt>
                <c:pt idx="4">
                  <c:v>0.04</c:v>
                </c:pt>
                <c:pt idx="5">
                  <c:v>0.05</c:v>
                </c:pt>
                <c:pt idx="6">
                  <c:v>0.04</c:v>
                </c:pt>
                <c:pt idx="7">
                  <c:v>0.05</c:v>
                </c:pt>
                <c:pt idx="8">
                  <c:v>0.05</c:v>
                </c:pt>
                <c:pt idx="9">
                  <c:v>0.06</c:v>
                </c:pt>
                <c:pt idx="10">
                  <c:v>4.2999999999999997E-2</c:v>
                </c:pt>
                <c:pt idx="11">
                  <c:v>0.05</c:v>
                </c:pt>
                <c:pt idx="12">
                  <c:v>0.05</c:v>
                </c:pt>
              </c:numCache>
            </c:numRef>
          </c:val>
          <c:extLst>
            <c:ext xmlns:c16="http://schemas.microsoft.com/office/drawing/2014/chart" uri="{C3380CC4-5D6E-409C-BE32-E72D297353CC}">
              <c16:uniqueId val="{00000001-F091-40D9-83C6-6A44B088ED6F}"/>
            </c:ext>
          </c:extLst>
        </c:ser>
        <c:dLbls>
          <c:showLegendKey val="0"/>
          <c:showVal val="0"/>
          <c:showCatName val="0"/>
          <c:showSerName val="0"/>
          <c:showPercent val="0"/>
          <c:showBubbleSize val="0"/>
        </c:dLbls>
        <c:gapWidth val="150"/>
        <c:overlap val="100"/>
        <c:axId val="403135520"/>
        <c:axId val="403135912"/>
      </c:barChart>
      <c:catAx>
        <c:axId val="403135520"/>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5912"/>
        <c:crosses val="autoZero"/>
        <c:auto val="1"/>
        <c:lblAlgn val="ctr"/>
        <c:lblOffset val="100"/>
        <c:tickLblSkip val="1"/>
        <c:tickMarkSkip val="1"/>
        <c:noMultiLvlLbl val="0"/>
      </c:catAx>
      <c:valAx>
        <c:axId val="403135912"/>
        <c:scaling>
          <c:orientation val="minMax"/>
          <c:max val="32"/>
          <c:min val="-8"/>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5520"/>
        <c:crosses val="autoZero"/>
        <c:crossBetween val="between"/>
        <c:majorUnit val="4"/>
        <c:minorUnit val="2.8000000000000001E-2"/>
      </c:valAx>
      <c:spPr>
        <a:noFill/>
        <a:ln w="25400">
          <a:noFill/>
        </a:ln>
      </c:spPr>
    </c:plotArea>
    <c:legend>
      <c:legendPos val="t"/>
      <c:layout>
        <c:manualLayout>
          <c:xMode val="edge"/>
          <c:yMode val="edge"/>
          <c:x val="9.5509470649946776E-2"/>
          <c:y val="2.2163120567375887E-2"/>
          <c:w val="0.85940101370728716"/>
          <c:h val="0.16043935332551515"/>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342555123172815E-2"/>
          <c:y val="0.21625836593434669"/>
          <c:w val="0.89127868066858906"/>
          <c:h val="0.64960629921259883"/>
        </c:manualLayout>
      </c:layout>
      <c:barChart>
        <c:barDir val="col"/>
        <c:grouping val="clustered"/>
        <c:varyColors val="0"/>
        <c:ser>
          <c:idx val="6"/>
          <c:order val="0"/>
          <c:tx>
            <c:strRef>
              <c:f>Dat_01!$C$119</c:f>
              <c:strCache>
                <c:ptCount val="1"/>
                <c:pt idx="0">
                  <c:v>2026 Enero</c:v>
                </c:pt>
              </c:strCache>
            </c:strRef>
          </c:tx>
          <c:spPr>
            <a:solidFill>
              <a:srgbClr val="C00000"/>
            </a:solidFill>
          </c:spPr>
          <c:invertIfNegative val="0"/>
          <c:cat>
            <c:strRef>
              <c:f>Dat_01!$D$121:$D$126</c:f>
              <c:strCache>
                <c:ptCount val="6"/>
                <c:pt idx="0">
                  <c:v>Restricciones Técnicas al PBF</c:v>
                </c:pt>
                <c:pt idx="1">
                  <c:v>Restriciones en Tiempo Real</c:v>
                </c:pt>
                <c:pt idx="2">
                  <c:v>Regulación secundaria</c:v>
                </c:pt>
                <c:pt idx="3">
                  <c:v>Regulación terciaria</c:v>
                </c:pt>
                <c:pt idx="4">
                  <c:v>Reservas de sustitución</c:v>
                </c:pt>
                <c:pt idx="5">
                  <c:v>IGCC (1)</c:v>
                </c:pt>
              </c:strCache>
            </c:strRef>
          </c:cat>
          <c:val>
            <c:numRef>
              <c:f>Dat_01!$C$121:$C$126</c:f>
              <c:numCache>
                <c:formatCode>#,##0</c:formatCode>
                <c:ptCount val="6"/>
                <c:pt idx="0">
                  <c:v>2578.0273999999999</c:v>
                </c:pt>
                <c:pt idx="1">
                  <c:v>297.02817700000003</c:v>
                </c:pt>
                <c:pt idx="2">
                  <c:v>180.719088</c:v>
                </c:pt>
                <c:pt idx="3">
                  <c:v>864.97939299999996</c:v>
                </c:pt>
                <c:pt idx="4">
                  <c:v>0</c:v>
                </c:pt>
                <c:pt idx="5">
                  <c:v>28.976141999999999</c:v>
                </c:pt>
              </c:numCache>
            </c:numRef>
          </c:val>
          <c:extLst>
            <c:ext xmlns:c16="http://schemas.microsoft.com/office/drawing/2014/chart" uri="{C3380CC4-5D6E-409C-BE32-E72D297353CC}">
              <c16:uniqueId val="{00000000-E8EA-4B0B-A5ED-FE7311A08AD7}"/>
            </c:ext>
          </c:extLst>
        </c:ser>
        <c:ser>
          <c:idx val="0"/>
          <c:order val="1"/>
          <c:tx>
            <c:strRef>
              <c:f>Dat_01!$B$119</c:f>
              <c:strCache>
                <c:ptCount val="1"/>
                <c:pt idx="0">
                  <c:v>2025 Enero</c:v>
                </c:pt>
              </c:strCache>
            </c:strRef>
          </c:tx>
          <c:spPr>
            <a:solidFill>
              <a:srgbClr val="0070C0"/>
            </a:solidFill>
            <a:ln w="25400">
              <a:noFill/>
            </a:ln>
          </c:spPr>
          <c:invertIfNegative val="0"/>
          <c:cat>
            <c:strRef>
              <c:f>Dat_01!$D$121:$D$126</c:f>
              <c:strCache>
                <c:ptCount val="6"/>
                <c:pt idx="0">
                  <c:v>Restricciones Técnicas al PBF</c:v>
                </c:pt>
                <c:pt idx="1">
                  <c:v>Restriciones en Tiempo Real</c:v>
                </c:pt>
                <c:pt idx="2">
                  <c:v>Regulación secundaria</c:v>
                </c:pt>
                <c:pt idx="3">
                  <c:v>Regulación terciaria</c:v>
                </c:pt>
                <c:pt idx="4">
                  <c:v>Reservas de sustitución</c:v>
                </c:pt>
                <c:pt idx="5">
                  <c:v>IGCC (1)</c:v>
                </c:pt>
              </c:strCache>
            </c:strRef>
          </c:cat>
          <c:val>
            <c:numRef>
              <c:f>Dat_01!$B$121:$B$126</c:f>
              <c:numCache>
                <c:formatCode>#,##0</c:formatCode>
                <c:ptCount val="6"/>
                <c:pt idx="0">
                  <c:v>972.43190000000004</c:v>
                </c:pt>
                <c:pt idx="1">
                  <c:v>500.99336899999997</c:v>
                </c:pt>
                <c:pt idx="2">
                  <c:v>3.898692</c:v>
                </c:pt>
                <c:pt idx="3">
                  <c:v>520.06039999999996</c:v>
                </c:pt>
                <c:pt idx="4">
                  <c:v>356.33449999999999</c:v>
                </c:pt>
                <c:pt idx="5">
                  <c:v>119.74072</c:v>
                </c:pt>
              </c:numCache>
            </c:numRef>
          </c:val>
          <c:extLst>
            <c:ext xmlns:c16="http://schemas.microsoft.com/office/drawing/2014/chart" uri="{C3380CC4-5D6E-409C-BE32-E72D297353CC}">
              <c16:uniqueId val="{00000001-E8EA-4B0B-A5ED-FE7311A08AD7}"/>
            </c:ext>
          </c:extLst>
        </c:ser>
        <c:dLbls>
          <c:showLegendKey val="0"/>
          <c:showVal val="0"/>
          <c:showCatName val="0"/>
          <c:showSerName val="0"/>
          <c:showPercent val="0"/>
          <c:showBubbleSize val="0"/>
        </c:dLbls>
        <c:gapWidth val="150"/>
        <c:axId val="403136696"/>
        <c:axId val="403137088"/>
      </c:barChart>
      <c:catAx>
        <c:axId val="403136696"/>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a:pPr>
            <a:endParaRPr lang="es-ES"/>
          </a:p>
        </c:txPr>
        <c:crossAx val="403137088"/>
        <c:crosses val="autoZero"/>
        <c:auto val="1"/>
        <c:lblAlgn val="ctr"/>
        <c:lblOffset val="100"/>
        <c:noMultiLvlLbl val="0"/>
      </c:catAx>
      <c:valAx>
        <c:axId val="403137088"/>
        <c:scaling>
          <c:orientation val="minMax"/>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9525">
            <a:noFill/>
          </a:ln>
        </c:spPr>
        <c:txPr>
          <a:bodyPr rot="0" vert="horz"/>
          <a:lstStyle/>
          <a:p>
            <a:pPr>
              <a:defRPr/>
            </a:pPr>
            <a:endParaRPr lang="es-ES"/>
          </a:p>
        </c:txPr>
        <c:crossAx val="403136696"/>
        <c:crosses val="autoZero"/>
        <c:crossBetween val="between"/>
      </c:valAx>
      <c:spPr>
        <a:noFill/>
        <a:ln w="25400">
          <a:noFill/>
        </a:ln>
      </c:spPr>
    </c:plotArea>
    <c:legend>
      <c:legendPos val="b"/>
      <c:layout>
        <c:manualLayout>
          <c:xMode val="edge"/>
          <c:yMode val="edge"/>
          <c:x val="0.30721512037715931"/>
          <c:y val="4.4451402505586414E-2"/>
          <c:w val="0.37876728971631585"/>
          <c:h val="6.1396156125645585E-2"/>
        </c:manualLayout>
      </c:layout>
      <c:overlay val="0"/>
    </c:legend>
    <c:plotVisOnly val="1"/>
    <c:dispBlanksAs val="gap"/>
    <c:showDLblsOverMax val="0"/>
  </c:chart>
  <c:spPr>
    <a:noFill/>
    <a:ln w="9525">
      <a:noFill/>
    </a:ln>
  </c:spPr>
  <c:txPr>
    <a:bodyPr/>
    <a:lstStyle/>
    <a:p>
      <a:pPr>
        <a:defRPr sz="800" b="0" i="0" u="none" strike="noStrike" baseline="0">
          <a:solidFill>
            <a:srgbClr val="004563"/>
          </a:solidFill>
          <a:latin typeface="Arial" panose="020B0604020202020204" pitchFamily="34" charset="0"/>
          <a:ea typeface="Arial"/>
          <a:cs typeface="Arial" panose="020B0604020202020204" pitchFamily="34" charset="0"/>
        </a:defRPr>
      </a:pPr>
      <a:endParaRPr lang="es-ES"/>
    </a:p>
  </c:txPr>
  <c:printSettings>
    <c:headerFooter alignWithMargins="0"/>
    <c:pageMargins b="1" l="0.75000000000000033" r="0.75000000000000033" t="1" header="0" footer="0"/>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466854386577358E-2"/>
          <c:y val="6.7873176160182555E-2"/>
          <c:w val="0.90234727490582289"/>
          <c:h val="0.69719731509625127"/>
        </c:manualLayout>
      </c:layout>
      <c:barChart>
        <c:barDir val="col"/>
        <c:grouping val="stacked"/>
        <c:varyColors val="0"/>
        <c:ser>
          <c:idx val="4"/>
          <c:order val="0"/>
          <c:tx>
            <c:strRef>
              <c:f>Dat_01!$B$159</c:f>
              <c:strCache>
                <c:ptCount val="1"/>
                <c:pt idx="0">
                  <c:v>Ciclo Combinado</c:v>
                </c:pt>
              </c:strCache>
            </c:strRef>
          </c:tx>
          <c:spPr>
            <a:solidFill>
              <a:srgbClr val="FFCC66"/>
            </a:solidFill>
            <a:ln>
              <a:noFill/>
            </a:ln>
          </c:spPr>
          <c:invertIfNegative val="0"/>
          <c:dPt>
            <c:idx val="0"/>
            <c:invertIfNegative val="0"/>
            <c:bubble3D val="0"/>
            <c:extLst>
              <c:ext xmlns:c16="http://schemas.microsoft.com/office/drawing/2014/chart" uri="{C3380CC4-5D6E-409C-BE32-E72D297353CC}">
                <c16:uniqueId val="{00000000-AC2B-4301-850D-1716BD1319DB}"/>
              </c:ext>
            </c:extLst>
          </c:dPt>
          <c:val>
            <c:numRef>
              <c:f>Dat_01!$C$159:$O$159</c:f>
              <c:numCache>
                <c:formatCode>#,##0;\(#,##0\)</c:formatCode>
                <c:ptCount val="13"/>
                <c:pt idx="0">
                  <c:v>0</c:v>
                </c:pt>
                <c:pt idx="1">
                  <c:v>0</c:v>
                </c:pt>
                <c:pt idx="2">
                  <c:v>0</c:v>
                </c:pt>
                <c:pt idx="3">
                  <c:v>0</c:v>
                </c:pt>
                <c:pt idx="4">
                  <c:v>0</c:v>
                </c:pt>
                <c:pt idx="5">
                  <c:v>4</c:v>
                </c:pt>
                <c:pt idx="6">
                  <c:v>1003.5</c:v>
                </c:pt>
                <c:pt idx="7">
                  <c:v>50</c:v>
                </c:pt>
                <c:pt idx="8">
                  <c:v>0</c:v>
                </c:pt>
                <c:pt idx="9">
                  <c:v>2064.65</c:v>
                </c:pt>
                <c:pt idx="10">
                  <c:v>0</c:v>
                </c:pt>
                <c:pt idx="11">
                  <c:v>0</c:v>
                </c:pt>
                <c:pt idx="12">
                  <c:v>0</c:v>
                </c:pt>
              </c:numCache>
            </c:numRef>
          </c:val>
          <c:extLst>
            <c:ext xmlns:c16="http://schemas.microsoft.com/office/drawing/2014/chart" uri="{C3380CC4-5D6E-409C-BE32-E72D297353CC}">
              <c16:uniqueId val="{00000001-AC2B-4301-850D-1716BD1319DB}"/>
            </c:ext>
          </c:extLst>
        </c:ser>
        <c:ser>
          <c:idx val="3"/>
          <c:order val="1"/>
          <c:tx>
            <c:strRef>
              <c:f>Dat_01!$B$157</c:f>
              <c:strCache>
                <c:ptCount val="1"/>
                <c:pt idx="0">
                  <c:v>Carbón</c:v>
                </c:pt>
              </c:strCache>
            </c:strRef>
          </c:tx>
          <c:spPr>
            <a:solidFill>
              <a:srgbClr val="70303C"/>
            </a:solidFill>
            <a:ln>
              <a:noFill/>
            </a:ln>
          </c:spPr>
          <c:invertIfNegative val="0"/>
          <c:val>
            <c:numRef>
              <c:f>Dat_01!$C$157:$O$157</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AC2B-4301-850D-1716BD1319DB}"/>
            </c:ext>
          </c:extLst>
        </c:ser>
        <c:ser>
          <c:idx val="0"/>
          <c:order val="2"/>
          <c:tx>
            <c:strRef>
              <c:f>Dat_01!$B$166</c:f>
              <c:strCache>
                <c:ptCount val="1"/>
                <c:pt idx="0">
                  <c:v>Consumo Bombeo</c:v>
                </c:pt>
              </c:strCache>
            </c:strRef>
          </c:tx>
          <c:spPr>
            <a:solidFill>
              <a:srgbClr val="2C4D75"/>
            </a:solidFill>
            <a:ln w="25400">
              <a:noFill/>
            </a:ln>
          </c:spPr>
          <c:invertIfNegative val="0"/>
          <c:val>
            <c:numRef>
              <c:f>Dat_01!$C$166:$O$166</c:f>
              <c:numCache>
                <c:formatCode>#,##0;\(#,##0\)</c:formatCode>
                <c:ptCount val="13"/>
                <c:pt idx="0">
                  <c:v>0</c:v>
                </c:pt>
                <c:pt idx="1">
                  <c:v>0</c:v>
                </c:pt>
                <c:pt idx="2">
                  <c:v>190</c:v>
                </c:pt>
                <c:pt idx="3">
                  <c:v>0</c:v>
                </c:pt>
                <c:pt idx="4">
                  <c:v>0</c:v>
                </c:pt>
                <c:pt idx="5">
                  <c:v>0</c:v>
                </c:pt>
                <c:pt idx="6">
                  <c:v>0</c:v>
                </c:pt>
                <c:pt idx="7">
                  <c:v>0</c:v>
                </c:pt>
                <c:pt idx="8">
                  <c:v>0</c:v>
                </c:pt>
                <c:pt idx="9">
                  <c:v>0</c:v>
                </c:pt>
                <c:pt idx="10">
                  <c:v>142.5</c:v>
                </c:pt>
                <c:pt idx="11">
                  <c:v>0</c:v>
                </c:pt>
                <c:pt idx="12">
                  <c:v>0</c:v>
                </c:pt>
              </c:numCache>
            </c:numRef>
          </c:val>
          <c:extLst>
            <c:ext xmlns:c16="http://schemas.microsoft.com/office/drawing/2014/chart" uri="{C3380CC4-5D6E-409C-BE32-E72D297353CC}">
              <c16:uniqueId val="{00000003-AC2B-4301-850D-1716BD1319DB}"/>
            </c:ext>
          </c:extLst>
        </c:ser>
        <c:ser>
          <c:idx val="11"/>
          <c:order val="3"/>
          <c:tx>
            <c:strRef>
              <c:f>Dat_01!$B$163</c:f>
              <c:strCache>
                <c:ptCount val="1"/>
                <c:pt idx="0">
                  <c:v>Cogeneración</c:v>
                </c:pt>
              </c:strCache>
            </c:strRef>
          </c:tx>
          <c:spPr>
            <a:solidFill>
              <a:srgbClr val="CFA2CA"/>
            </a:solidFill>
          </c:spPr>
          <c:invertIfNegative val="0"/>
          <c:val>
            <c:numRef>
              <c:f>Dat_01!$C$163:$O$163</c:f>
              <c:numCache>
                <c:formatCode>#,##0;\(#,##0\)</c:formatCode>
                <c:ptCount val="13"/>
                <c:pt idx="0">
                  <c:v>3429</c:v>
                </c:pt>
                <c:pt idx="1">
                  <c:v>111.1</c:v>
                </c:pt>
                <c:pt idx="2">
                  <c:v>859.2</c:v>
                </c:pt>
                <c:pt idx="3">
                  <c:v>4456.8999999999996</c:v>
                </c:pt>
                <c:pt idx="4">
                  <c:v>4609.7</c:v>
                </c:pt>
                <c:pt idx="5">
                  <c:v>6809.1</c:v>
                </c:pt>
                <c:pt idx="6">
                  <c:v>32112.6</c:v>
                </c:pt>
                <c:pt idx="7">
                  <c:v>6711.8</c:v>
                </c:pt>
                <c:pt idx="8">
                  <c:v>4636.2</c:v>
                </c:pt>
                <c:pt idx="9">
                  <c:v>5121.7749999999996</c:v>
                </c:pt>
                <c:pt idx="10">
                  <c:v>2187.375</c:v>
                </c:pt>
                <c:pt idx="11">
                  <c:v>2346</c:v>
                </c:pt>
                <c:pt idx="12">
                  <c:v>2346</c:v>
                </c:pt>
              </c:numCache>
            </c:numRef>
          </c:val>
          <c:extLst>
            <c:ext xmlns:c16="http://schemas.microsoft.com/office/drawing/2014/chart" uri="{C3380CC4-5D6E-409C-BE32-E72D297353CC}">
              <c16:uniqueId val="{00000004-AC2B-4301-850D-1716BD1319DB}"/>
            </c:ext>
          </c:extLst>
        </c:ser>
        <c:ser>
          <c:idx val="14"/>
          <c:order val="4"/>
          <c:tx>
            <c:strRef>
              <c:f>Dat_01!$B$172</c:f>
              <c:strCache>
                <c:ptCount val="1"/>
                <c:pt idx="0">
                  <c:v>Hibridación</c:v>
                </c:pt>
              </c:strCache>
            </c:strRef>
          </c:tx>
          <c:spPr>
            <a:solidFill>
              <a:srgbClr val="28A064"/>
            </a:solidFill>
          </c:spPr>
          <c:invertIfNegative val="0"/>
          <c:val>
            <c:numRef>
              <c:f>Dat_01!$C$172:$O$172</c:f>
              <c:numCache>
                <c:formatCode>#,##0;\(#,##0\)</c:formatCode>
                <c:ptCount val="13"/>
                <c:pt idx="0">
                  <c:v>844.6</c:v>
                </c:pt>
                <c:pt idx="1">
                  <c:v>129.19999999999999</c:v>
                </c:pt>
                <c:pt idx="2">
                  <c:v>1191.4000000000001</c:v>
                </c:pt>
                <c:pt idx="3">
                  <c:v>512.9</c:v>
                </c:pt>
                <c:pt idx="4">
                  <c:v>3501.6</c:v>
                </c:pt>
                <c:pt idx="5">
                  <c:v>9288</c:v>
                </c:pt>
                <c:pt idx="6">
                  <c:v>12956.4</c:v>
                </c:pt>
                <c:pt idx="7">
                  <c:v>2597.3000000000002</c:v>
                </c:pt>
                <c:pt idx="8">
                  <c:v>1616.4</c:v>
                </c:pt>
                <c:pt idx="9">
                  <c:v>3975.2750000000001</c:v>
                </c:pt>
                <c:pt idx="10">
                  <c:v>2081.5500000000002</c:v>
                </c:pt>
                <c:pt idx="11">
                  <c:v>203.125</c:v>
                </c:pt>
                <c:pt idx="12">
                  <c:v>203.125</c:v>
                </c:pt>
              </c:numCache>
            </c:numRef>
          </c:val>
          <c:extLst>
            <c:ext xmlns:c16="http://schemas.microsoft.com/office/drawing/2014/chart" uri="{C3380CC4-5D6E-409C-BE32-E72D297353CC}">
              <c16:uniqueId val="{00000005-AC2B-4301-850D-1716BD1319DB}"/>
            </c:ext>
          </c:extLst>
        </c:ser>
        <c:ser>
          <c:idx val="2"/>
          <c:order val="5"/>
          <c:tx>
            <c:strRef>
              <c:f>Dat_01!$B$154</c:f>
              <c:strCache>
                <c:ptCount val="1"/>
                <c:pt idx="0">
                  <c:v>Hidráulica</c:v>
                </c:pt>
              </c:strCache>
            </c:strRef>
          </c:tx>
          <c:spPr>
            <a:solidFill>
              <a:srgbClr val="0090D1"/>
            </a:solidFill>
            <a:ln>
              <a:noFill/>
            </a:ln>
          </c:spPr>
          <c:invertIfNegative val="0"/>
          <c:val>
            <c:numRef>
              <c:f>Dat_01!$C$154:$O$154</c:f>
              <c:numCache>
                <c:formatCode>#,##0;\(#,##0\)</c:formatCode>
                <c:ptCount val="13"/>
                <c:pt idx="0">
                  <c:v>1202</c:v>
                </c:pt>
                <c:pt idx="1">
                  <c:v>143.30000000000001</c:v>
                </c:pt>
                <c:pt idx="2">
                  <c:v>655.7</c:v>
                </c:pt>
                <c:pt idx="3">
                  <c:v>2348.1</c:v>
                </c:pt>
                <c:pt idx="4">
                  <c:v>9496.2999999999993</c:v>
                </c:pt>
                <c:pt idx="5">
                  <c:v>8559.4</c:v>
                </c:pt>
                <c:pt idx="6">
                  <c:v>5351.7</c:v>
                </c:pt>
                <c:pt idx="7">
                  <c:v>5333.8</c:v>
                </c:pt>
                <c:pt idx="8">
                  <c:v>590.20000000000005</c:v>
                </c:pt>
                <c:pt idx="9">
                  <c:v>3512.0250000000001</c:v>
                </c:pt>
                <c:pt idx="10">
                  <c:v>1413.4749999999999</c:v>
                </c:pt>
                <c:pt idx="11">
                  <c:v>1024.3499999999999</c:v>
                </c:pt>
                <c:pt idx="12">
                  <c:v>1024.3499999999999</c:v>
                </c:pt>
              </c:numCache>
            </c:numRef>
          </c:val>
          <c:extLst>
            <c:ext xmlns:c16="http://schemas.microsoft.com/office/drawing/2014/chart" uri="{C3380CC4-5D6E-409C-BE32-E72D297353CC}">
              <c16:uniqueId val="{00000006-AC2B-4301-850D-1716BD1319DB}"/>
            </c:ext>
          </c:extLst>
        </c:ser>
        <c:ser>
          <c:idx val="5"/>
          <c:order val="6"/>
          <c:tx>
            <c:strRef>
              <c:f>Dat_01!$B$160</c:f>
              <c:strCache>
                <c:ptCount val="1"/>
                <c:pt idx="0">
                  <c:v>Eólica</c:v>
                </c:pt>
              </c:strCache>
            </c:strRef>
          </c:tx>
          <c:spPr>
            <a:solidFill>
              <a:srgbClr val="70AD47"/>
            </a:solidFill>
            <a:ln>
              <a:noFill/>
            </a:ln>
          </c:spPr>
          <c:invertIfNegative val="0"/>
          <c:val>
            <c:numRef>
              <c:f>Dat_01!$C$160:$O$160</c:f>
              <c:numCache>
                <c:formatCode>#,##0;\(#,##0\)</c:formatCode>
                <c:ptCount val="13"/>
                <c:pt idx="0">
                  <c:v>118105.1</c:v>
                </c:pt>
                <c:pt idx="1">
                  <c:v>19851.3</c:v>
                </c:pt>
                <c:pt idx="2">
                  <c:v>29282.9</c:v>
                </c:pt>
                <c:pt idx="3">
                  <c:v>23186.2</c:v>
                </c:pt>
                <c:pt idx="4">
                  <c:v>17699.400000000001</c:v>
                </c:pt>
                <c:pt idx="5">
                  <c:v>18495.599999999999</c:v>
                </c:pt>
                <c:pt idx="6">
                  <c:v>208879.1</c:v>
                </c:pt>
                <c:pt idx="7">
                  <c:v>56148.9</c:v>
                </c:pt>
                <c:pt idx="8">
                  <c:v>56799.5</c:v>
                </c:pt>
                <c:pt idx="9">
                  <c:v>34956.199999999997</c:v>
                </c:pt>
                <c:pt idx="10">
                  <c:v>97151.95</c:v>
                </c:pt>
                <c:pt idx="11">
                  <c:v>29674</c:v>
                </c:pt>
                <c:pt idx="12">
                  <c:v>29674</c:v>
                </c:pt>
              </c:numCache>
            </c:numRef>
          </c:val>
          <c:extLst>
            <c:ext xmlns:c16="http://schemas.microsoft.com/office/drawing/2014/chart" uri="{C3380CC4-5D6E-409C-BE32-E72D297353CC}">
              <c16:uniqueId val="{00000007-AC2B-4301-850D-1716BD1319DB}"/>
            </c:ext>
          </c:extLst>
        </c:ser>
        <c:ser>
          <c:idx val="6"/>
          <c:order val="7"/>
          <c:tx>
            <c:strRef>
              <c:f>Dat_01!$B$156</c:f>
              <c:strCache>
                <c:ptCount val="1"/>
                <c:pt idx="0">
                  <c:v>Nuclear</c:v>
                </c:pt>
              </c:strCache>
            </c:strRef>
          </c:tx>
          <c:spPr>
            <a:solidFill>
              <a:srgbClr val="464394"/>
            </a:solidFill>
            <a:ln>
              <a:noFill/>
            </a:ln>
          </c:spPr>
          <c:invertIfNegative val="0"/>
          <c:val>
            <c:numRef>
              <c:f>Dat_01!$C$156:$O$156</c:f>
              <c:numCache>
                <c:formatCode>#,##0;\(#,##0\)</c:formatCode>
                <c:ptCount val="13"/>
                <c:pt idx="0">
                  <c:v>0</c:v>
                </c:pt>
                <c:pt idx="1">
                  <c:v>0</c:v>
                </c:pt>
                <c:pt idx="2">
                  <c:v>0</c:v>
                </c:pt>
                <c:pt idx="3">
                  <c:v>0</c:v>
                </c:pt>
                <c:pt idx="4">
                  <c:v>0</c:v>
                </c:pt>
                <c:pt idx="5">
                  <c:v>0</c:v>
                </c:pt>
                <c:pt idx="6">
                  <c:v>6512</c:v>
                </c:pt>
                <c:pt idx="7">
                  <c:v>0</c:v>
                </c:pt>
                <c:pt idx="8">
                  <c:v>0</c:v>
                </c:pt>
                <c:pt idx="9">
                  <c:v>0</c:v>
                </c:pt>
                <c:pt idx="10">
                  <c:v>0</c:v>
                </c:pt>
                <c:pt idx="11">
                  <c:v>0</c:v>
                </c:pt>
                <c:pt idx="12">
                  <c:v>0</c:v>
                </c:pt>
              </c:numCache>
            </c:numRef>
          </c:val>
          <c:extLst>
            <c:ext xmlns:c16="http://schemas.microsoft.com/office/drawing/2014/chart" uri="{C3380CC4-5D6E-409C-BE32-E72D297353CC}">
              <c16:uniqueId val="{00000008-AC2B-4301-850D-1716BD1319DB}"/>
            </c:ext>
          </c:extLst>
        </c:ser>
        <c:ser>
          <c:idx val="13"/>
          <c:order val="8"/>
          <c:tx>
            <c:strRef>
              <c:f>Dat_01!$B$164</c:f>
              <c:strCache>
                <c:ptCount val="1"/>
                <c:pt idx="0">
                  <c:v>Otras Renovables</c:v>
                </c:pt>
              </c:strCache>
            </c:strRef>
          </c:tx>
          <c:spPr>
            <a:solidFill>
              <a:srgbClr val="9A5CBC"/>
            </a:solidFill>
          </c:spPr>
          <c:invertIfNegative val="0"/>
          <c:val>
            <c:numRef>
              <c:f>Dat_01!$C$164:$O$164</c:f>
              <c:numCache>
                <c:formatCode>#,##0;\(#,##0\)</c:formatCode>
                <c:ptCount val="13"/>
                <c:pt idx="0">
                  <c:v>1474.8</c:v>
                </c:pt>
                <c:pt idx="1">
                  <c:v>12</c:v>
                </c:pt>
                <c:pt idx="2">
                  <c:v>485.5</c:v>
                </c:pt>
                <c:pt idx="3">
                  <c:v>2920.3</c:v>
                </c:pt>
                <c:pt idx="4">
                  <c:v>3843</c:v>
                </c:pt>
                <c:pt idx="5">
                  <c:v>7273.5</c:v>
                </c:pt>
                <c:pt idx="6">
                  <c:v>10545</c:v>
                </c:pt>
                <c:pt idx="7">
                  <c:v>7511.7</c:v>
                </c:pt>
                <c:pt idx="8">
                  <c:v>5732.6</c:v>
                </c:pt>
                <c:pt idx="9">
                  <c:v>3899.8249999999998</c:v>
                </c:pt>
                <c:pt idx="10">
                  <c:v>278.82499999999999</c:v>
                </c:pt>
                <c:pt idx="11">
                  <c:v>63.45</c:v>
                </c:pt>
                <c:pt idx="12">
                  <c:v>63.45</c:v>
                </c:pt>
              </c:numCache>
            </c:numRef>
          </c:val>
          <c:extLst>
            <c:ext xmlns:c16="http://schemas.microsoft.com/office/drawing/2014/chart" uri="{C3380CC4-5D6E-409C-BE32-E72D297353CC}">
              <c16:uniqueId val="{00000009-AC2B-4301-850D-1716BD1319DB}"/>
            </c:ext>
          </c:extLst>
        </c:ser>
        <c:ser>
          <c:idx val="8"/>
          <c:order val="9"/>
          <c:tx>
            <c:strRef>
              <c:f>Dat_01!$B$165</c:f>
              <c:strCache>
                <c:ptCount val="1"/>
                <c:pt idx="0">
                  <c:v>Residuos no Renovables</c:v>
                </c:pt>
              </c:strCache>
            </c:strRef>
          </c:tx>
          <c:spPr>
            <a:solidFill>
              <a:srgbClr val="7F7F7F"/>
            </a:solidFill>
            <a:ln>
              <a:noFill/>
            </a:ln>
          </c:spPr>
          <c:invertIfNegative val="0"/>
          <c:val>
            <c:numRef>
              <c:f>Dat_01!$C$165:$O$165</c:f>
              <c:numCache>
                <c:formatCode>#,##0;\(#,##0\)</c:formatCode>
                <c:ptCount val="13"/>
                <c:pt idx="0">
                  <c:v>0</c:v>
                </c:pt>
                <c:pt idx="1">
                  <c:v>0</c:v>
                </c:pt>
                <c:pt idx="2">
                  <c:v>0</c:v>
                </c:pt>
                <c:pt idx="3">
                  <c:v>0</c:v>
                </c:pt>
                <c:pt idx="4">
                  <c:v>0</c:v>
                </c:pt>
                <c:pt idx="5">
                  <c:v>0</c:v>
                </c:pt>
                <c:pt idx="6">
                  <c:v>3546</c:v>
                </c:pt>
                <c:pt idx="7">
                  <c:v>118</c:v>
                </c:pt>
                <c:pt idx="8">
                  <c:v>0</c:v>
                </c:pt>
                <c:pt idx="9">
                  <c:v>411.55</c:v>
                </c:pt>
                <c:pt idx="10">
                  <c:v>17</c:v>
                </c:pt>
                <c:pt idx="11">
                  <c:v>98</c:v>
                </c:pt>
                <c:pt idx="12">
                  <c:v>98</c:v>
                </c:pt>
              </c:numCache>
            </c:numRef>
          </c:val>
          <c:extLst>
            <c:ext xmlns:c16="http://schemas.microsoft.com/office/drawing/2014/chart" uri="{C3380CC4-5D6E-409C-BE32-E72D297353CC}">
              <c16:uniqueId val="{0000000A-AC2B-4301-850D-1716BD1319DB}"/>
            </c:ext>
          </c:extLst>
        </c:ser>
        <c:ser>
          <c:idx val="1"/>
          <c:order val="10"/>
          <c:tx>
            <c:strRef>
              <c:f>Dat_01!$B$161</c:f>
              <c:strCache>
                <c:ptCount val="1"/>
                <c:pt idx="0">
                  <c:v>Solar fotovoltaica</c:v>
                </c:pt>
              </c:strCache>
            </c:strRef>
          </c:tx>
          <c:spPr>
            <a:solidFill>
              <a:srgbClr val="EE6112"/>
            </a:solidFill>
          </c:spPr>
          <c:invertIfNegative val="0"/>
          <c:val>
            <c:numRef>
              <c:f>Dat_01!$C$161:$O$161</c:f>
              <c:numCache>
                <c:formatCode>#,##0;\(#,##0\)</c:formatCode>
                <c:ptCount val="13"/>
                <c:pt idx="0">
                  <c:v>23597.4</c:v>
                </c:pt>
                <c:pt idx="1">
                  <c:v>11181.5</c:v>
                </c:pt>
                <c:pt idx="2">
                  <c:v>28184.799999999999</c:v>
                </c:pt>
                <c:pt idx="3">
                  <c:v>17070.3</c:v>
                </c:pt>
                <c:pt idx="4">
                  <c:v>74426.899999999994</c:v>
                </c:pt>
                <c:pt idx="5">
                  <c:v>117687.5</c:v>
                </c:pt>
                <c:pt idx="6">
                  <c:v>774289.5</c:v>
                </c:pt>
                <c:pt idx="7">
                  <c:v>476231.7</c:v>
                </c:pt>
                <c:pt idx="8">
                  <c:v>271516.40000000002</c:v>
                </c:pt>
                <c:pt idx="9">
                  <c:v>213512.32500000001</c:v>
                </c:pt>
                <c:pt idx="10">
                  <c:v>56866.375</c:v>
                </c:pt>
                <c:pt idx="11">
                  <c:v>21074.125</c:v>
                </c:pt>
                <c:pt idx="12">
                  <c:v>21074.125</c:v>
                </c:pt>
              </c:numCache>
            </c:numRef>
          </c:val>
          <c:extLst>
            <c:ext xmlns:c16="http://schemas.microsoft.com/office/drawing/2014/chart" uri="{C3380CC4-5D6E-409C-BE32-E72D297353CC}">
              <c16:uniqueId val="{0000000B-AC2B-4301-850D-1716BD1319DB}"/>
            </c:ext>
          </c:extLst>
        </c:ser>
        <c:ser>
          <c:idx val="10"/>
          <c:order val="11"/>
          <c:tx>
            <c:strRef>
              <c:f>Dat_01!$B$162</c:f>
              <c:strCache>
                <c:ptCount val="1"/>
                <c:pt idx="0">
                  <c:v>Solar térmica</c:v>
                </c:pt>
              </c:strCache>
            </c:strRef>
          </c:tx>
          <c:spPr>
            <a:solidFill>
              <a:srgbClr val="FF0000"/>
            </a:solidFill>
          </c:spPr>
          <c:invertIfNegative val="0"/>
          <c:val>
            <c:numRef>
              <c:f>Dat_01!$C$162:$O$162</c:f>
              <c:numCache>
                <c:formatCode>#,##0;\(#,##0\)</c:formatCode>
                <c:ptCount val="13"/>
                <c:pt idx="0">
                  <c:v>2970.4</c:v>
                </c:pt>
                <c:pt idx="1">
                  <c:v>6509.7</c:v>
                </c:pt>
                <c:pt idx="2">
                  <c:v>18812.8</c:v>
                </c:pt>
                <c:pt idx="3">
                  <c:v>4704.6000000000004</c:v>
                </c:pt>
                <c:pt idx="4">
                  <c:v>35576.1</c:v>
                </c:pt>
                <c:pt idx="5">
                  <c:v>41536</c:v>
                </c:pt>
                <c:pt idx="6">
                  <c:v>120438.3</c:v>
                </c:pt>
                <c:pt idx="7">
                  <c:v>162140.4</c:v>
                </c:pt>
                <c:pt idx="8">
                  <c:v>141481</c:v>
                </c:pt>
                <c:pt idx="9">
                  <c:v>62144.5</c:v>
                </c:pt>
                <c:pt idx="10">
                  <c:v>3088</c:v>
                </c:pt>
                <c:pt idx="11">
                  <c:v>45.174999999999997</c:v>
                </c:pt>
                <c:pt idx="12">
                  <c:v>45.174999999999997</c:v>
                </c:pt>
              </c:numCache>
            </c:numRef>
          </c:val>
          <c:extLst>
            <c:ext xmlns:c16="http://schemas.microsoft.com/office/drawing/2014/chart" uri="{C3380CC4-5D6E-409C-BE32-E72D297353CC}">
              <c16:uniqueId val="{0000000C-AC2B-4301-850D-1716BD1319DB}"/>
            </c:ext>
          </c:extLst>
        </c:ser>
        <c:ser>
          <c:idx val="12"/>
          <c:order val="12"/>
          <c:tx>
            <c:strRef>
              <c:f>Dat_01!$B$155</c:f>
              <c:strCache>
                <c:ptCount val="1"/>
                <c:pt idx="0">
                  <c:v>Turbinación bombeo</c:v>
                </c:pt>
              </c:strCache>
              <c:extLst xmlns:c15="http://schemas.microsoft.com/office/drawing/2012/chart"/>
            </c:strRef>
          </c:tx>
          <c:spPr>
            <a:solidFill>
              <a:srgbClr val="95B3D7"/>
            </a:solidFill>
          </c:spPr>
          <c:invertIfNegative val="0"/>
          <c:val>
            <c:numRef>
              <c:f>Dat_01!$C$155:$O$155</c:f>
              <c:numCache>
                <c:formatCode>#,##0;\(#,##0\)</c:formatCode>
                <c:ptCount val="13"/>
                <c:pt idx="0">
                  <c:v>0</c:v>
                </c:pt>
                <c:pt idx="1">
                  <c:v>0</c:v>
                </c:pt>
                <c:pt idx="2">
                  <c:v>0</c:v>
                </c:pt>
                <c:pt idx="3">
                  <c:v>0</c:v>
                </c:pt>
                <c:pt idx="4">
                  <c:v>0</c:v>
                </c:pt>
                <c:pt idx="5">
                  <c:v>0</c:v>
                </c:pt>
                <c:pt idx="6">
                  <c:v>809</c:v>
                </c:pt>
                <c:pt idx="7">
                  <c:v>2955</c:v>
                </c:pt>
                <c:pt idx="8">
                  <c:v>300</c:v>
                </c:pt>
                <c:pt idx="9">
                  <c:v>475.42500000000001</c:v>
                </c:pt>
                <c:pt idx="10">
                  <c:v>0</c:v>
                </c:pt>
                <c:pt idx="11">
                  <c:v>1120.6500000000001</c:v>
                </c:pt>
                <c:pt idx="12">
                  <c:v>1120.6500000000001</c:v>
                </c:pt>
              </c:numCache>
              <c:extLst xmlns:c15="http://schemas.microsoft.com/office/drawing/2012/chart"/>
            </c:numRef>
          </c:val>
          <c:extLst xmlns:c15="http://schemas.microsoft.com/office/drawing/2012/chart">
            <c:ext xmlns:c16="http://schemas.microsoft.com/office/drawing/2014/chart" uri="{C3380CC4-5D6E-409C-BE32-E72D297353CC}">
              <c16:uniqueId val="{0000000D-AC2B-4301-850D-1716BD1319DB}"/>
            </c:ext>
          </c:extLst>
        </c:ser>
        <c:dLbls>
          <c:showLegendKey val="0"/>
          <c:showVal val="0"/>
          <c:showCatName val="0"/>
          <c:showSerName val="0"/>
          <c:showPercent val="0"/>
          <c:showBubbleSize val="0"/>
        </c:dLbls>
        <c:gapWidth val="150"/>
        <c:overlap val="100"/>
        <c:axId val="403140224"/>
        <c:axId val="403139832"/>
      </c:barChart>
      <c:lineChart>
        <c:grouping val="standard"/>
        <c:varyColors val="0"/>
        <c:ser>
          <c:idx val="7"/>
          <c:order val="13"/>
          <c:tx>
            <c:v>Precio medio subir</c:v>
          </c:tx>
          <c:spPr>
            <a:ln>
              <a:solidFill>
                <a:srgbClr val="004563"/>
              </a:solidFill>
            </a:ln>
          </c:spPr>
          <c:marker>
            <c:symbol val="none"/>
          </c:marker>
          <c:val>
            <c:numRef>
              <c:f>Dat_01!$C$406:$O$406</c:f>
              <c:numCache>
                <c:formatCode>General</c:formatCode>
                <c:ptCount val="13"/>
              </c:numCache>
            </c:numRef>
          </c:val>
          <c:smooth val="0"/>
          <c:extLst>
            <c:ext xmlns:c16="http://schemas.microsoft.com/office/drawing/2014/chart" uri="{C3380CC4-5D6E-409C-BE32-E72D297353CC}">
              <c16:uniqueId val="{0000000E-AC2B-4301-850D-1716BD1319DB}"/>
            </c:ext>
          </c:extLst>
        </c:ser>
        <c:ser>
          <c:idx val="9"/>
          <c:order val="14"/>
          <c:tx>
            <c:v>Precio medio bajar</c:v>
          </c:tx>
          <c:spPr>
            <a:ln>
              <a:solidFill>
                <a:srgbClr val="404040"/>
              </a:solidFill>
            </a:ln>
          </c:spPr>
          <c:marker>
            <c:symbol val="none"/>
          </c:marker>
          <c:val>
            <c:numRef>
              <c:f>Dat_01!$C$404:$O$404</c:f>
              <c:numCache>
                <c:formatCode>#,##0.00</c:formatCode>
                <c:ptCount val="13"/>
                <c:pt idx="0">
                  <c:v>83.688895800300003</c:v>
                </c:pt>
                <c:pt idx="1">
                  <c:v>97.485909316600001</c:v>
                </c:pt>
                <c:pt idx="2">
                  <c:v>34.816996656699999</c:v>
                </c:pt>
                <c:pt idx="3">
                  <c:v>15.8979225199</c:v>
                </c:pt>
                <c:pt idx="4">
                  <c:v>4.7741999187999999</c:v>
                </c:pt>
                <c:pt idx="5">
                  <c:v>59.687552022399998</c:v>
                </c:pt>
                <c:pt idx="6">
                  <c:v>56.254841341599999</c:v>
                </c:pt>
                <c:pt idx="7">
                  <c:v>61.503685353400002</c:v>
                </c:pt>
                <c:pt idx="8">
                  <c:v>54.1608380053</c:v>
                </c:pt>
                <c:pt idx="9">
                  <c:v>60.675018032799997</c:v>
                </c:pt>
                <c:pt idx="10">
                  <c:v>57.152078829099999</c:v>
                </c:pt>
                <c:pt idx="11">
                  <c:v>77.8107698699</c:v>
                </c:pt>
                <c:pt idx="12">
                  <c:v>69.163489003400002</c:v>
                </c:pt>
              </c:numCache>
            </c:numRef>
          </c:val>
          <c:smooth val="0"/>
          <c:extLst>
            <c:ext xmlns:c16="http://schemas.microsoft.com/office/drawing/2014/chart" uri="{C3380CC4-5D6E-409C-BE32-E72D297353CC}">
              <c16:uniqueId val="{0000000F-AC2B-4301-850D-1716BD1319DB}"/>
            </c:ext>
          </c:extLst>
        </c:ser>
        <c:dLbls>
          <c:showLegendKey val="0"/>
          <c:showVal val="0"/>
          <c:showCatName val="0"/>
          <c:showSerName val="0"/>
          <c:showPercent val="0"/>
          <c:showBubbleSize val="0"/>
        </c:dLbls>
        <c:marker val="1"/>
        <c:smooth val="0"/>
        <c:axId val="403141008"/>
        <c:axId val="403140616"/>
      </c:lineChart>
      <c:valAx>
        <c:axId val="403139832"/>
        <c:scaling>
          <c:orientation val="maxMin"/>
          <c:max val="2800000"/>
          <c:min val="0"/>
        </c:scaling>
        <c:delete val="0"/>
        <c:axPos val="l"/>
        <c:majorGridlines>
          <c:spPr>
            <a:ln w="3175">
              <a:solidFill>
                <a:srgbClr val="004563"/>
              </a:solidFill>
              <a:prstDash val="sysDot"/>
            </a:ln>
          </c:spPr>
        </c:majorGridlines>
        <c:numFmt formatCode="#,##0" sourceLinked="0"/>
        <c:majorTickMark val="out"/>
        <c:minorTickMark val="none"/>
        <c:tickLblPos val="nextTo"/>
        <c:spPr>
          <a:ln>
            <a:noFill/>
          </a:ln>
        </c:spPr>
        <c:txPr>
          <a:bodyPr/>
          <a:lstStyle/>
          <a:p>
            <a:pPr>
              <a:defRPr>
                <a:solidFill>
                  <a:srgbClr val="004563"/>
                </a:solidFill>
              </a:defRPr>
            </a:pPr>
            <a:endParaRPr lang="es-ES"/>
          </a:p>
        </c:txPr>
        <c:crossAx val="403140224"/>
        <c:crosses val="autoZero"/>
        <c:crossBetween val="between"/>
        <c:majorUnit val="400000"/>
        <c:dispUnits>
          <c:builtInUnit val="thousands"/>
        </c:dispUnits>
      </c:valAx>
      <c:catAx>
        <c:axId val="403140224"/>
        <c:scaling>
          <c:orientation val="minMax"/>
        </c:scaling>
        <c:delete val="1"/>
        <c:axPos val="t"/>
        <c:numFmt formatCode="@" sourceLinked="1"/>
        <c:majorTickMark val="out"/>
        <c:minorTickMark val="none"/>
        <c:tickLblPos val="nextTo"/>
        <c:crossAx val="403139832"/>
        <c:crossesAt val="0"/>
        <c:auto val="1"/>
        <c:lblAlgn val="ctr"/>
        <c:lblOffset val="100"/>
        <c:noMultiLvlLbl val="0"/>
      </c:catAx>
      <c:valAx>
        <c:axId val="403140616"/>
        <c:scaling>
          <c:orientation val="maxMin"/>
          <c:max val="210"/>
        </c:scaling>
        <c:delete val="0"/>
        <c:axPos val="r"/>
        <c:numFmt formatCode="#,##0" sourceLinked="0"/>
        <c:majorTickMark val="out"/>
        <c:minorTickMark val="none"/>
        <c:tickLblPos val="nextTo"/>
        <c:spPr>
          <a:ln>
            <a:noFill/>
          </a:ln>
        </c:spPr>
        <c:txPr>
          <a:bodyPr/>
          <a:lstStyle/>
          <a:p>
            <a:pPr>
              <a:defRPr>
                <a:solidFill>
                  <a:srgbClr val="004563"/>
                </a:solidFill>
              </a:defRPr>
            </a:pPr>
            <a:endParaRPr lang="es-ES"/>
          </a:p>
        </c:txPr>
        <c:crossAx val="403141008"/>
        <c:crosses val="max"/>
        <c:crossBetween val="between"/>
        <c:majorUnit val="30"/>
      </c:valAx>
      <c:catAx>
        <c:axId val="403141008"/>
        <c:scaling>
          <c:orientation val="minMax"/>
        </c:scaling>
        <c:delete val="1"/>
        <c:axPos val="t"/>
        <c:numFmt formatCode="General" sourceLinked="1"/>
        <c:majorTickMark val="out"/>
        <c:minorTickMark val="none"/>
        <c:tickLblPos val="nextTo"/>
        <c:crossAx val="403140616"/>
        <c:crossesAt val="0"/>
        <c:auto val="1"/>
        <c:lblAlgn val="ctr"/>
        <c:lblOffset val="100"/>
        <c:noMultiLvlLbl val="0"/>
      </c:catAx>
      <c:spPr>
        <a:solidFill>
          <a:schemeClr val="bg1">
            <a:lumMod val="85000"/>
          </a:schemeClr>
        </a:solidFill>
        <a:ln w="25400">
          <a:noFill/>
        </a:ln>
      </c:spPr>
    </c:plotArea>
    <c:legend>
      <c:legendPos val="b"/>
      <c:layout>
        <c:manualLayout>
          <c:xMode val="edge"/>
          <c:yMode val="edge"/>
          <c:x val="0"/>
          <c:y val="0.81043376770216768"/>
          <c:w val="0.91561281264044192"/>
          <c:h val="0.18956635963537222"/>
        </c:manualLayout>
      </c:layout>
      <c:overlay val="0"/>
      <c:txPr>
        <a:bodyPr/>
        <a:lstStyle/>
        <a:p>
          <a:pPr>
            <a:defRPr>
              <a:solidFill>
                <a:srgbClr val="004563"/>
              </a:solidFill>
            </a:defRPr>
          </a:pPr>
          <a:endParaRPr lang="es-ES"/>
        </a:p>
      </c:txPr>
    </c:legend>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93021105344387E-2"/>
          <c:y val="0.14692676063694354"/>
          <c:w val="0.90234727490582289"/>
          <c:h val="0.69719731509625127"/>
        </c:manualLayout>
      </c:layout>
      <c:barChart>
        <c:barDir val="col"/>
        <c:grouping val="stacked"/>
        <c:varyColors val="0"/>
        <c:ser>
          <c:idx val="6"/>
          <c:order val="0"/>
          <c:tx>
            <c:strRef>
              <c:f>Dat_01!$B$137</c:f>
              <c:strCache>
                <c:ptCount val="1"/>
                <c:pt idx="0">
                  <c:v>Carbón</c:v>
                </c:pt>
              </c:strCache>
            </c:strRef>
          </c:tx>
          <c:spPr>
            <a:solidFill>
              <a:srgbClr val="70303C"/>
            </a:solidFill>
            <a:ln>
              <a:noFill/>
            </a:ln>
          </c:spPr>
          <c:invertIfNegative val="0"/>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Dat_01!$C$137:$O$137</c:f>
              <c:numCache>
                <c:formatCode>#,##0;\(#,##0\)</c:formatCode>
                <c:ptCount val="13"/>
                <c:pt idx="0">
                  <c:v>136200</c:v>
                </c:pt>
                <c:pt idx="1">
                  <c:v>176818</c:v>
                </c:pt>
                <c:pt idx="2">
                  <c:v>161347</c:v>
                </c:pt>
                <c:pt idx="3">
                  <c:v>128080</c:v>
                </c:pt>
                <c:pt idx="4">
                  <c:v>122215</c:v>
                </c:pt>
                <c:pt idx="5">
                  <c:v>110098</c:v>
                </c:pt>
                <c:pt idx="6">
                  <c:v>71343</c:v>
                </c:pt>
                <c:pt idx="7">
                  <c:v>0</c:v>
                </c:pt>
                <c:pt idx="8">
                  <c:v>0</c:v>
                </c:pt>
                <c:pt idx="9">
                  <c:v>1113.75</c:v>
                </c:pt>
                <c:pt idx="10">
                  <c:v>1856.25</c:v>
                </c:pt>
                <c:pt idx="11">
                  <c:v>28208.75</c:v>
                </c:pt>
                <c:pt idx="12">
                  <c:v>28208.75</c:v>
                </c:pt>
              </c:numCache>
            </c:numRef>
          </c:val>
          <c:extLst>
            <c:ext xmlns:c16="http://schemas.microsoft.com/office/drawing/2014/chart" uri="{C3380CC4-5D6E-409C-BE32-E72D297353CC}">
              <c16:uniqueId val="{00000000-19C6-4F22-91C5-9726F5E4B6D7}"/>
            </c:ext>
          </c:extLst>
        </c:ser>
        <c:ser>
          <c:idx val="3"/>
          <c:order val="1"/>
          <c:tx>
            <c:strRef>
              <c:f>Dat_01!$B$139</c:f>
              <c:strCache>
                <c:ptCount val="1"/>
                <c:pt idx="0">
                  <c:v>Ciclo Combinado</c:v>
                </c:pt>
              </c:strCache>
            </c:strRef>
          </c:tx>
          <c:spPr>
            <a:solidFill>
              <a:srgbClr val="FFCC66"/>
            </a:solidFill>
            <a:ln>
              <a:noFill/>
            </a:ln>
          </c:spPr>
          <c:invertIfNegative val="0"/>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Dat_01!$C$139:$O$139</c:f>
              <c:numCache>
                <c:formatCode>#,##0;\(#,##0\)</c:formatCode>
                <c:ptCount val="13"/>
                <c:pt idx="0">
                  <c:v>683064</c:v>
                </c:pt>
                <c:pt idx="1">
                  <c:v>653295.19999999995</c:v>
                </c:pt>
                <c:pt idx="2">
                  <c:v>793527.4</c:v>
                </c:pt>
                <c:pt idx="3">
                  <c:v>1154419.5</c:v>
                </c:pt>
                <c:pt idx="4">
                  <c:v>2188300.1</c:v>
                </c:pt>
                <c:pt idx="5">
                  <c:v>1759263.5</c:v>
                </c:pt>
                <c:pt idx="6">
                  <c:v>1466909.1</c:v>
                </c:pt>
                <c:pt idx="7">
                  <c:v>1579291.4</c:v>
                </c:pt>
                <c:pt idx="8">
                  <c:v>1564029</c:v>
                </c:pt>
                <c:pt idx="9">
                  <c:v>1759136.875</c:v>
                </c:pt>
                <c:pt idx="10">
                  <c:v>2229306.125</c:v>
                </c:pt>
                <c:pt idx="11">
                  <c:v>2288776.85</c:v>
                </c:pt>
                <c:pt idx="12">
                  <c:v>2288776.85</c:v>
                </c:pt>
              </c:numCache>
            </c:numRef>
          </c:val>
          <c:extLst>
            <c:ext xmlns:c16="http://schemas.microsoft.com/office/drawing/2014/chart" uri="{C3380CC4-5D6E-409C-BE32-E72D297353CC}">
              <c16:uniqueId val="{00000001-19C6-4F22-91C5-9726F5E4B6D7}"/>
            </c:ext>
          </c:extLst>
        </c:ser>
        <c:ser>
          <c:idx val="10"/>
          <c:order val="2"/>
          <c:tx>
            <c:strRef>
              <c:f>Dat_01!$B$143</c:f>
              <c:strCache>
                <c:ptCount val="1"/>
                <c:pt idx="0">
                  <c:v>Cogeneración</c:v>
                </c:pt>
              </c:strCache>
            </c:strRef>
          </c:tx>
          <c:spPr>
            <a:solidFill>
              <a:srgbClr val="CFA2CA"/>
            </a:solidFill>
          </c:spPr>
          <c:invertIfNegative val="0"/>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Dat_01!$C$143:$O$143</c:f>
              <c:numCache>
                <c:formatCode>#,##0;\(#,##0\)</c:formatCode>
                <c:ptCount val="13"/>
                <c:pt idx="0">
                  <c:v>0</c:v>
                </c:pt>
                <c:pt idx="1">
                  <c:v>0</c:v>
                </c:pt>
                <c:pt idx="2">
                  <c:v>18750.8</c:v>
                </c:pt>
                <c:pt idx="3">
                  <c:v>10370.9</c:v>
                </c:pt>
                <c:pt idx="4">
                  <c:v>17487.5</c:v>
                </c:pt>
                <c:pt idx="5">
                  <c:v>20621.599999999999</c:v>
                </c:pt>
                <c:pt idx="6">
                  <c:v>1904.1</c:v>
                </c:pt>
                <c:pt idx="7">
                  <c:v>0</c:v>
                </c:pt>
                <c:pt idx="8">
                  <c:v>3926.6</c:v>
                </c:pt>
                <c:pt idx="9">
                  <c:v>3783.1750000000002</c:v>
                </c:pt>
                <c:pt idx="10">
                  <c:v>510</c:v>
                </c:pt>
                <c:pt idx="11">
                  <c:v>1691.4</c:v>
                </c:pt>
                <c:pt idx="12">
                  <c:v>1691.4</c:v>
                </c:pt>
              </c:numCache>
            </c:numRef>
          </c:val>
          <c:extLst>
            <c:ext xmlns:c16="http://schemas.microsoft.com/office/drawing/2014/chart" uri="{C3380CC4-5D6E-409C-BE32-E72D297353CC}">
              <c16:uniqueId val="{00000002-19C6-4F22-91C5-9726F5E4B6D7}"/>
            </c:ext>
          </c:extLst>
        </c:ser>
        <c:ser>
          <c:idx val="8"/>
          <c:order val="3"/>
          <c:tx>
            <c:strRef>
              <c:f>Dat_01!$B$146</c:f>
              <c:strCache>
                <c:ptCount val="1"/>
                <c:pt idx="0">
                  <c:v>Consumo Bombeo</c:v>
                </c:pt>
              </c:strCache>
            </c:strRef>
          </c:tx>
          <c:spPr>
            <a:solidFill>
              <a:srgbClr val="2C4D75"/>
            </a:solidFill>
            <a:ln>
              <a:noFill/>
            </a:ln>
          </c:spPr>
          <c:invertIfNegative val="0"/>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Dat_01!$C$146:$O$146</c:f>
              <c:numCache>
                <c:formatCode>#,##0;\(#,##0\)</c:formatCode>
                <c:ptCount val="13"/>
                <c:pt idx="0">
                  <c:v>0</c:v>
                </c:pt>
                <c:pt idx="1">
                  <c:v>189</c:v>
                </c:pt>
                <c:pt idx="2">
                  <c:v>146</c:v>
                </c:pt>
                <c:pt idx="3">
                  <c:v>1600</c:v>
                </c:pt>
                <c:pt idx="4">
                  <c:v>1600</c:v>
                </c:pt>
                <c:pt idx="5">
                  <c:v>936</c:v>
                </c:pt>
                <c:pt idx="6">
                  <c:v>2587.5</c:v>
                </c:pt>
                <c:pt idx="7">
                  <c:v>6601</c:v>
                </c:pt>
                <c:pt idx="8">
                  <c:v>184</c:v>
                </c:pt>
                <c:pt idx="9">
                  <c:v>42602.3</c:v>
                </c:pt>
                <c:pt idx="10">
                  <c:v>0</c:v>
                </c:pt>
                <c:pt idx="11">
                  <c:v>0</c:v>
                </c:pt>
                <c:pt idx="12">
                  <c:v>0</c:v>
                </c:pt>
              </c:numCache>
            </c:numRef>
          </c:val>
          <c:extLst>
            <c:ext xmlns:c16="http://schemas.microsoft.com/office/drawing/2014/chart" uri="{C3380CC4-5D6E-409C-BE32-E72D297353CC}">
              <c16:uniqueId val="{00000003-19C6-4F22-91C5-9726F5E4B6D7}"/>
            </c:ext>
          </c:extLst>
        </c:ser>
        <c:ser>
          <c:idx val="4"/>
          <c:order val="4"/>
          <c:tx>
            <c:strRef>
              <c:f>Dat_01!$B$140</c:f>
              <c:strCache>
                <c:ptCount val="1"/>
                <c:pt idx="0">
                  <c:v>Eólica</c:v>
                </c:pt>
              </c:strCache>
            </c:strRef>
          </c:tx>
          <c:spPr>
            <a:solidFill>
              <a:srgbClr val="70AD47"/>
            </a:solidFill>
            <a:ln>
              <a:noFill/>
            </a:ln>
          </c:spPr>
          <c:invertIfNegative val="0"/>
          <c:dPt>
            <c:idx val="0"/>
            <c:invertIfNegative val="0"/>
            <c:bubble3D val="0"/>
            <c:extLst>
              <c:ext xmlns:c16="http://schemas.microsoft.com/office/drawing/2014/chart" uri="{C3380CC4-5D6E-409C-BE32-E72D297353CC}">
                <c16:uniqueId val="{00000004-19C6-4F22-91C5-9726F5E4B6D7}"/>
              </c:ext>
            </c:extLst>
          </c:dPt>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Dat_01!$C$140:$O$140</c:f>
              <c:numCache>
                <c:formatCode>#,##0;\(#,##0\)</c:formatCode>
                <c:ptCount val="13"/>
                <c:pt idx="0">
                  <c:v>0</c:v>
                </c:pt>
                <c:pt idx="1">
                  <c:v>0</c:v>
                </c:pt>
                <c:pt idx="2">
                  <c:v>31.6</c:v>
                </c:pt>
                <c:pt idx="3">
                  <c:v>1.3</c:v>
                </c:pt>
                <c:pt idx="4">
                  <c:v>0</c:v>
                </c:pt>
                <c:pt idx="5">
                  <c:v>0</c:v>
                </c:pt>
                <c:pt idx="6">
                  <c:v>0</c:v>
                </c:pt>
                <c:pt idx="7">
                  <c:v>0</c:v>
                </c:pt>
                <c:pt idx="8">
                  <c:v>0</c:v>
                </c:pt>
                <c:pt idx="9">
                  <c:v>0</c:v>
                </c:pt>
                <c:pt idx="10">
                  <c:v>0</c:v>
                </c:pt>
                <c:pt idx="11">
                  <c:v>1.95</c:v>
                </c:pt>
                <c:pt idx="12">
                  <c:v>1.95</c:v>
                </c:pt>
              </c:numCache>
            </c:numRef>
          </c:val>
          <c:extLst>
            <c:ext xmlns:c16="http://schemas.microsoft.com/office/drawing/2014/chart" uri="{C3380CC4-5D6E-409C-BE32-E72D297353CC}">
              <c16:uniqueId val="{00000005-19C6-4F22-91C5-9726F5E4B6D7}"/>
            </c:ext>
          </c:extLst>
        </c:ser>
        <c:ser>
          <c:idx val="0"/>
          <c:order val="5"/>
          <c:tx>
            <c:strRef>
              <c:f>Dat_01!$B$134</c:f>
              <c:strCache>
                <c:ptCount val="1"/>
                <c:pt idx="0">
                  <c:v>Hidráulica</c:v>
                </c:pt>
              </c:strCache>
            </c:strRef>
          </c:tx>
          <c:spPr>
            <a:solidFill>
              <a:srgbClr val="0090D1"/>
            </a:solidFill>
            <a:ln w="25400">
              <a:noFill/>
            </a:ln>
          </c:spPr>
          <c:invertIfNegative val="0"/>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Dat_01!$C$134:$O$134</c:f>
              <c:numCache>
                <c:formatCode>#,##0;\(#,##0\)</c:formatCode>
                <c:ptCount val="13"/>
                <c:pt idx="0">
                  <c:v>58.4</c:v>
                </c:pt>
                <c:pt idx="1">
                  <c:v>0</c:v>
                </c:pt>
                <c:pt idx="2">
                  <c:v>0</c:v>
                </c:pt>
                <c:pt idx="3">
                  <c:v>20382.3</c:v>
                </c:pt>
                <c:pt idx="4">
                  <c:v>0</c:v>
                </c:pt>
                <c:pt idx="5">
                  <c:v>150</c:v>
                </c:pt>
                <c:pt idx="6">
                  <c:v>3396</c:v>
                </c:pt>
                <c:pt idx="7">
                  <c:v>6200</c:v>
                </c:pt>
                <c:pt idx="8">
                  <c:v>0</c:v>
                </c:pt>
                <c:pt idx="9">
                  <c:v>0</c:v>
                </c:pt>
                <c:pt idx="10">
                  <c:v>350</c:v>
                </c:pt>
                <c:pt idx="11">
                  <c:v>325</c:v>
                </c:pt>
                <c:pt idx="12">
                  <c:v>325</c:v>
                </c:pt>
              </c:numCache>
            </c:numRef>
          </c:val>
          <c:extLst>
            <c:ext xmlns:c16="http://schemas.microsoft.com/office/drawing/2014/chart" uri="{C3380CC4-5D6E-409C-BE32-E72D297353CC}">
              <c16:uniqueId val="{00000006-19C6-4F22-91C5-9726F5E4B6D7}"/>
            </c:ext>
          </c:extLst>
        </c:ser>
        <c:ser>
          <c:idx val="11"/>
          <c:order val="6"/>
          <c:tx>
            <c:strRef>
              <c:f>Dat_01!$B$144</c:f>
              <c:strCache>
                <c:ptCount val="1"/>
                <c:pt idx="0">
                  <c:v>Otras Renovables</c:v>
                </c:pt>
              </c:strCache>
            </c:strRef>
          </c:tx>
          <c:spPr>
            <a:solidFill>
              <a:srgbClr val="9A5CBC"/>
            </a:solidFill>
          </c:spPr>
          <c:invertIfNegative val="0"/>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Dat_01!$C$144:$O$144</c:f>
              <c:numCache>
                <c:formatCode>#,##0;\(#,##0\)</c:formatCode>
                <c:ptCount val="13"/>
                <c:pt idx="0">
                  <c:v>0</c:v>
                </c:pt>
                <c:pt idx="1">
                  <c:v>0</c:v>
                </c:pt>
                <c:pt idx="2">
                  <c:v>1176.5999999999999</c:v>
                </c:pt>
                <c:pt idx="3">
                  <c:v>2988</c:v>
                </c:pt>
                <c:pt idx="4">
                  <c:v>3603.7</c:v>
                </c:pt>
                <c:pt idx="5">
                  <c:v>1579.6</c:v>
                </c:pt>
                <c:pt idx="6">
                  <c:v>198.7</c:v>
                </c:pt>
                <c:pt idx="7">
                  <c:v>0</c:v>
                </c:pt>
                <c:pt idx="8">
                  <c:v>0</c:v>
                </c:pt>
                <c:pt idx="9">
                  <c:v>0</c:v>
                </c:pt>
                <c:pt idx="10">
                  <c:v>122</c:v>
                </c:pt>
                <c:pt idx="11">
                  <c:v>0</c:v>
                </c:pt>
                <c:pt idx="12">
                  <c:v>0</c:v>
                </c:pt>
              </c:numCache>
            </c:numRef>
          </c:val>
          <c:extLst>
            <c:ext xmlns:c16="http://schemas.microsoft.com/office/drawing/2014/chart" uri="{C3380CC4-5D6E-409C-BE32-E72D297353CC}">
              <c16:uniqueId val="{00000007-19C6-4F22-91C5-9726F5E4B6D7}"/>
            </c:ext>
          </c:extLst>
        </c:ser>
        <c:ser>
          <c:idx val="5"/>
          <c:order val="7"/>
          <c:tx>
            <c:strRef>
              <c:f>Dat_01!$B$141</c:f>
              <c:strCache>
                <c:ptCount val="1"/>
                <c:pt idx="0">
                  <c:v>Solar fotovoltaica</c:v>
                </c:pt>
              </c:strCache>
            </c:strRef>
          </c:tx>
          <c:spPr>
            <a:solidFill>
              <a:srgbClr val="EE6112"/>
            </a:solidFill>
            <a:ln>
              <a:noFill/>
            </a:ln>
          </c:spPr>
          <c:invertIfNegative val="0"/>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Dat_01!$C$141:$O$141</c:f>
              <c:numCache>
                <c:formatCode>#,##0;\(#,##0\)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8-19C6-4F22-91C5-9726F5E4B6D7}"/>
            </c:ext>
          </c:extLst>
        </c:ser>
        <c:ser>
          <c:idx val="1"/>
          <c:order val="8"/>
          <c:tx>
            <c:strRef>
              <c:f>Dat_01!$B$142</c:f>
              <c:strCache>
                <c:ptCount val="1"/>
                <c:pt idx="0">
                  <c:v>Solar térmica</c:v>
                </c:pt>
              </c:strCache>
            </c:strRef>
          </c:tx>
          <c:spPr>
            <a:solidFill>
              <a:srgbClr val="FF0000"/>
            </a:solidFill>
          </c:spPr>
          <c:invertIfNegative val="0"/>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Dat_01!$C$142:$O$142</c:f>
              <c:numCache>
                <c:formatCode>#,##0;\(#,##0\)</c:formatCode>
                <c:ptCount val="13"/>
                <c:pt idx="0">
                  <c:v>0</c:v>
                </c:pt>
                <c:pt idx="1">
                  <c:v>0</c:v>
                </c:pt>
                <c:pt idx="2">
                  <c:v>0</c:v>
                </c:pt>
                <c:pt idx="3">
                  <c:v>0</c:v>
                </c:pt>
                <c:pt idx="4">
                  <c:v>0</c:v>
                </c:pt>
                <c:pt idx="5">
                  <c:v>0</c:v>
                </c:pt>
                <c:pt idx="6">
                  <c:v>229.2</c:v>
                </c:pt>
                <c:pt idx="7">
                  <c:v>0</c:v>
                </c:pt>
                <c:pt idx="8">
                  <c:v>0</c:v>
                </c:pt>
                <c:pt idx="9">
                  <c:v>0</c:v>
                </c:pt>
                <c:pt idx="10">
                  <c:v>0</c:v>
                </c:pt>
                <c:pt idx="11">
                  <c:v>0</c:v>
                </c:pt>
                <c:pt idx="12">
                  <c:v>0</c:v>
                </c:pt>
              </c:numCache>
            </c:numRef>
          </c:val>
          <c:extLst>
            <c:ext xmlns:c16="http://schemas.microsoft.com/office/drawing/2014/chart" uri="{C3380CC4-5D6E-409C-BE32-E72D297353CC}">
              <c16:uniqueId val="{00000009-19C6-4F22-91C5-9726F5E4B6D7}"/>
            </c:ext>
          </c:extLst>
        </c:ser>
        <c:ser>
          <c:idx val="2"/>
          <c:order val="9"/>
          <c:tx>
            <c:strRef>
              <c:f>Dat_01!$B$135</c:f>
              <c:strCache>
                <c:ptCount val="1"/>
                <c:pt idx="0">
                  <c:v>Turbinación bombeo</c:v>
                </c:pt>
              </c:strCache>
            </c:strRef>
          </c:tx>
          <c:spPr>
            <a:solidFill>
              <a:srgbClr val="95B3D7"/>
            </a:solidFill>
            <a:ln>
              <a:noFill/>
            </a:ln>
          </c:spPr>
          <c:invertIfNegative val="0"/>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Dat_01!$C$135:$O$135</c:f>
              <c:numCache>
                <c:formatCode>#,##0;\(#,##0\)</c:formatCode>
                <c:ptCount val="13"/>
                <c:pt idx="0">
                  <c:v>0</c:v>
                </c:pt>
                <c:pt idx="1">
                  <c:v>0</c:v>
                </c:pt>
                <c:pt idx="2">
                  <c:v>0</c:v>
                </c:pt>
                <c:pt idx="3">
                  <c:v>0</c:v>
                </c:pt>
                <c:pt idx="4">
                  <c:v>0</c:v>
                </c:pt>
                <c:pt idx="5">
                  <c:v>60.7</c:v>
                </c:pt>
                <c:pt idx="6">
                  <c:v>700</c:v>
                </c:pt>
                <c:pt idx="7">
                  <c:v>0</c:v>
                </c:pt>
                <c:pt idx="8">
                  <c:v>0</c:v>
                </c:pt>
                <c:pt idx="9">
                  <c:v>0</c:v>
                </c:pt>
                <c:pt idx="10">
                  <c:v>4180</c:v>
                </c:pt>
                <c:pt idx="11">
                  <c:v>20</c:v>
                </c:pt>
                <c:pt idx="12">
                  <c:v>20</c:v>
                </c:pt>
              </c:numCache>
            </c:numRef>
          </c:val>
          <c:extLst>
            <c:ext xmlns:c16="http://schemas.microsoft.com/office/drawing/2014/chart" uri="{C3380CC4-5D6E-409C-BE32-E72D297353CC}">
              <c16:uniqueId val="{0000000A-19C6-4F22-91C5-9726F5E4B6D7}"/>
            </c:ext>
          </c:extLst>
        </c:ser>
        <c:ser>
          <c:idx val="12"/>
          <c:order val="10"/>
          <c:tx>
            <c:strRef>
              <c:f>Dat_01!$B$136</c:f>
              <c:strCache>
                <c:ptCount val="1"/>
                <c:pt idx="0">
                  <c:v>Nuclear</c:v>
                </c:pt>
              </c:strCache>
            </c:strRef>
          </c:tx>
          <c:spPr>
            <a:solidFill>
              <a:srgbClr val="464394"/>
            </a:solidFill>
          </c:spPr>
          <c:invertIfNegative val="0"/>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Dat_01!$C$136:$O$136</c:f>
              <c:numCache>
                <c:formatCode>#,##0;\(#,##0\)</c:formatCode>
                <c:ptCount val="13"/>
                <c:pt idx="0">
                  <c:v>1486.2</c:v>
                </c:pt>
                <c:pt idx="1">
                  <c:v>0</c:v>
                </c:pt>
                <c:pt idx="2">
                  <c:v>260114.1</c:v>
                </c:pt>
                <c:pt idx="3">
                  <c:v>267559.5</c:v>
                </c:pt>
                <c:pt idx="4">
                  <c:v>363944.9</c:v>
                </c:pt>
                <c:pt idx="5">
                  <c:v>25407.8</c:v>
                </c:pt>
                <c:pt idx="6">
                  <c:v>19303.400000000001</c:v>
                </c:pt>
                <c:pt idx="7">
                  <c:v>3428.3</c:v>
                </c:pt>
                <c:pt idx="8">
                  <c:v>35476.800000000003</c:v>
                </c:pt>
                <c:pt idx="9">
                  <c:v>116112.4</c:v>
                </c:pt>
                <c:pt idx="10">
                  <c:v>47755.224999999999</c:v>
                </c:pt>
                <c:pt idx="11">
                  <c:v>22947.875</c:v>
                </c:pt>
                <c:pt idx="12">
                  <c:v>22947.875</c:v>
                </c:pt>
              </c:numCache>
            </c:numRef>
          </c:val>
          <c:extLst>
            <c:ext xmlns:c16="http://schemas.microsoft.com/office/drawing/2014/chart" uri="{C3380CC4-5D6E-409C-BE32-E72D297353CC}">
              <c16:uniqueId val="{0000000B-19C6-4F22-91C5-9726F5E4B6D7}"/>
            </c:ext>
          </c:extLst>
        </c:ser>
        <c:dLbls>
          <c:showLegendKey val="0"/>
          <c:showVal val="0"/>
          <c:showCatName val="0"/>
          <c:showSerName val="0"/>
          <c:showPercent val="0"/>
          <c:showBubbleSize val="0"/>
        </c:dLbls>
        <c:gapWidth val="150"/>
        <c:overlap val="100"/>
        <c:axId val="403140224"/>
        <c:axId val="403139832"/>
      </c:barChart>
      <c:lineChart>
        <c:grouping val="standard"/>
        <c:varyColors val="0"/>
        <c:ser>
          <c:idx val="7"/>
          <c:order val="11"/>
          <c:tx>
            <c:v>Precio medio subir</c:v>
          </c:tx>
          <c:spPr>
            <a:ln>
              <a:solidFill>
                <a:srgbClr val="004563"/>
              </a:solidFill>
            </a:ln>
          </c:spPr>
          <c:marker>
            <c:symbol val="none"/>
          </c:marker>
          <c:val>
            <c:numRef>
              <c:f>Dat_01!$C$402:$O$402</c:f>
              <c:numCache>
                <c:formatCode>#,##0.00</c:formatCode>
                <c:ptCount val="13"/>
                <c:pt idx="0">
                  <c:v>194.01727648470001</c:v>
                </c:pt>
                <c:pt idx="1">
                  <c:v>191.6424222304</c:v>
                </c:pt>
                <c:pt idx="2">
                  <c:v>147.7308546305</c:v>
                </c:pt>
                <c:pt idx="3">
                  <c:v>144.37500321530001</c:v>
                </c:pt>
                <c:pt idx="4">
                  <c:v>155.04070517069999</c:v>
                </c:pt>
                <c:pt idx="5">
                  <c:v>165.61002641549999</c:v>
                </c:pt>
                <c:pt idx="6">
                  <c:v>150.28757834149999</c:v>
                </c:pt>
                <c:pt idx="7">
                  <c:v>157.3914054217</c:v>
                </c:pt>
                <c:pt idx="8">
                  <c:v>166.42095092229999</c:v>
                </c:pt>
                <c:pt idx="9">
                  <c:v>162.7965502049</c:v>
                </c:pt>
                <c:pt idx="10">
                  <c:v>164.51053145399999</c:v>
                </c:pt>
                <c:pt idx="11">
                  <c:v>174.62615588240001</c:v>
                </c:pt>
                <c:pt idx="12">
                  <c:v>182.37316718189999</c:v>
                </c:pt>
              </c:numCache>
            </c:numRef>
          </c:val>
          <c:smooth val="0"/>
          <c:extLst>
            <c:ext xmlns:c16="http://schemas.microsoft.com/office/drawing/2014/chart" uri="{C3380CC4-5D6E-409C-BE32-E72D297353CC}">
              <c16:uniqueId val="{0000000C-19C6-4F22-91C5-9726F5E4B6D7}"/>
            </c:ext>
          </c:extLst>
        </c:ser>
        <c:ser>
          <c:idx val="9"/>
          <c:order val="12"/>
          <c:tx>
            <c:v>Precio medio bajar</c:v>
          </c:tx>
          <c:spPr>
            <a:ln>
              <a:solidFill>
                <a:srgbClr val="404040"/>
              </a:solidFill>
            </a:ln>
          </c:spPr>
          <c:marker>
            <c:symbol val="none"/>
          </c:marker>
          <c:val>
            <c:numRef>
              <c:f>Dat_01!$C$406:$O$406</c:f>
              <c:numCache>
                <c:formatCode>General</c:formatCode>
                <c:ptCount val="13"/>
              </c:numCache>
            </c:numRef>
          </c:val>
          <c:smooth val="0"/>
          <c:extLst>
            <c:ext xmlns:c16="http://schemas.microsoft.com/office/drawing/2014/chart" uri="{C3380CC4-5D6E-409C-BE32-E72D297353CC}">
              <c16:uniqueId val="{0000000D-19C6-4F22-91C5-9726F5E4B6D7}"/>
            </c:ext>
          </c:extLst>
        </c:ser>
        <c:dLbls>
          <c:showLegendKey val="0"/>
          <c:showVal val="0"/>
          <c:showCatName val="0"/>
          <c:showSerName val="0"/>
          <c:showPercent val="0"/>
          <c:showBubbleSize val="0"/>
        </c:dLbls>
        <c:marker val="1"/>
        <c:smooth val="0"/>
        <c:axId val="403141008"/>
        <c:axId val="403140616"/>
      </c:lineChart>
      <c:valAx>
        <c:axId val="403139832"/>
        <c:scaling>
          <c:orientation val="minMax"/>
          <c:max val="2800000"/>
          <c:min val="0"/>
        </c:scaling>
        <c:delete val="0"/>
        <c:axPos val="l"/>
        <c:majorGridlines>
          <c:spPr>
            <a:ln w="3175">
              <a:solidFill>
                <a:srgbClr val="004563"/>
              </a:solidFill>
              <a:prstDash val="sysDot"/>
            </a:ln>
          </c:spPr>
        </c:majorGridlines>
        <c:numFmt formatCode="#,##0" sourceLinked="0"/>
        <c:majorTickMark val="out"/>
        <c:minorTickMark val="none"/>
        <c:tickLblPos val="nextTo"/>
        <c:spPr>
          <a:ln>
            <a:noFill/>
          </a:ln>
        </c:spPr>
        <c:crossAx val="403140224"/>
        <c:crosses val="autoZero"/>
        <c:crossBetween val="between"/>
        <c:majorUnit val="400000"/>
        <c:dispUnits>
          <c:builtInUnit val="thousands"/>
        </c:dispUnits>
      </c:valAx>
      <c:catAx>
        <c:axId val="403140224"/>
        <c:scaling>
          <c:orientation val="minMax"/>
        </c:scaling>
        <c:delete val="0"/>
        <c:axPos val="b"/>
        <c:numFmt formatCode="General" sourceLinked="1"/>
        <c:majorTickMark val="out"/>
        <c:minorTickMark val="none"/>
        <c:tickLblPos val="nextTo"/>
        <c:crossAx val="403139832"/>
        <c:crossesAt val="0"/>
        <c:auto val="1"/>
        <c:lblAlgn val="ctr"/>
        <c:lblOffset val="100"/>
        <c:noMultiLvlLbl val="0"/>
      </c:catAx>
      <c:valAx>
        <c:axId val="403140616"/>
        <c:scaling>
          <c:orientation val="minMax"/>
          <c:max val="210"/>
        </c:scaling>
        <c:delete val="0"/>
        <c:axPos val="r"/>
        <c:numFmt formatCode="#,##0" sourceLinked="0"/>
        <c:majorTickMark val="out"/>
        <c:minorTickMark val="none"/>
        <c:tickLblPos val="nextTo"/>
        <c:spPr>
          <a:ln>
            <a:noFill/>
          </a:ln>
        </c:spPr>
        <c:crossAx val="403141008"/>
        <c:crosses val="max"/>
        <c:crossBetween val="between"/>
        <c:majorUnit val="30"/>
      </c:valAx>
      <c:catAx>
        <c:axId val="403141008"/>
        <c:scaling>
          <c:orientation val="minMax"/>
        </c:scaling>
        <c:delete val="1"/>
        <c:axPos val="b"/>
        <c:numFmt formatCode="General" sourceLinked="1"/>
        <c:majorTickMark val="out"/>
        <c:minorTickMark val="none"/>
        <c:tickLblPos val="nextTo"/>
        <c:crossAx val="403140616"/>
        <c:crossesAt val="0"/>
        <c:auto val="1"/>
        <c:lblAlgn val="ctr"/>
        <c:lblOffset val="100"/>
        <c:noMultiLvlLbl val="0"/>
      </c:catAx>
      <c:spPr>
        <a:solidFill>
          <a:schemeClr val="bg1">
            <a:lumMod val="85000"/>
          </a:schemeClr>
        </a:solidFill>
        <a:ln w="25400">
          <a:noFill/>
        </a:ln>
      </c:spPr>
    </c:plotArea>
    <c:plotVisOnly val="1"/>
    <c:dispBlanksAs val="gap"/>
    <c:showDLblsOverMax val="0"/>
  </c:chart>
  <c:spPr>
    <a:solidFill>
      <a:schemeClr val="bg1">
        <a:lumMod val="85000"/>
      </a:schemeClr>
    </a:solidFill>
    <a:ln w="9525">
      <a:noFill/>
    </a:ln>
  </c:spPr>
  <c:txPr>
    <a:bodyPr/>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printSettings>
    <c:headerFooter alignWithMargins="0"/>
    <c:pageMargins b="1" l="0.75000000000001465" r="0.75000000000001465" t="1" header="0" footer="0"/>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631025328334913E-2"/>
          <c:y val="0.12454101736471991"/>
          <c:w val="0.89662947963244555"/>
          <c:h val="0.69275413221570525"/>
        </c:manualLayout>
      </c:layout>
      <c:barChart>
        <c:barDir val="col"/>
        <c:grouping val="stacked"/>
        <c:varyColors val="0"/>
        <c:ser>
          <c:idx val="0"/>
          <c:order val="0"/>
          <c:tx>
            <c:v>Potencia media a subir</c:v>
          </c:tx>
          <c:spPr>
            <a:solidFill>
              <a:srgbClr val="007AB0"/>
            </a:solidFill>
            <a:ln>
              <a:noFill/>
            </a:ln>
            <a:effectLst/>
          </c:spPr>
          <c:invertIfNegative val="0"/>
          <c:cat>
            <c:strRef>
              <c:f>Dat_01!$B$180:$N$180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Dat_01!$B$184:$N$184</c:f>
              <c:numCache>
                <c:formatCode>#,##0</c:formatCode>
                <c:ptCount val="13"/>
                <c:pt idx="0">
                  <c:v>1129.192204301075</c:v>
                </c:pt>
                <c:pt idx="1">
                  <c:v>1128.565476190475</c:v>
                </c:pt>
                <c:pt idx="2">
                  <c:v>1181.15376850605</c:v>
                </c:pt>
                <c:pt idx="3">
                  <c:v>1185.1831761006249</c:v>
                </c:pt>
                <c:pt idx="4">
                  <c:v>1194.9334677419249</c:v>
                </c:pt>
                <c:pt idx="5">
                  <c:v>1196.13055555555</c:v>
                </c:pt>
                <c:pt idx="6">
                  <c:v>1196.6243279570001</c:v>
                </c:pt>
                <c:pt idx="7">
                  <c:v>1193.9107638889</c:v>
                </c:pt>
                <c:pt idx="8">
                  <c:v>1186.19756944445</c:v>
                </c:pt>
                <c:pt idx="9">
                  <c:v>1174.1842281879251</c:v>
                </c:pt>
                <c:pt idx="10">
                  <c:v>1169.1361111111</c:v>
                </c:pt>
                <c:pt idx="11">
                  <c:v>1170.0030241935499</c:v>
                </c:pt>
                <c:pt idx="12">
                  <c:v>1185.5510752688249</c:v>
                </c:pt>
              </c:numCache>
            </c:numRef>
          </c:val>
          <c:extLst>
            <c:ext xmlns:c16="http://schemas.microsoft.com/office/drawing/2014/chart" uri="{C3380CC4-5D6E-409C-BE32-E72D297353CC}">
              <c16:uniqueId val="{00000000-1A52-4BC0-AA03-7CD9557E0882}"/>
            </c:ext>
          </c:extLst>
        </c:ser>
        <c:dLbls>
          <c:showLegendKey val="0"/>
          <c:showVal val="0"/>
          <c:showCatName val="0"/>
          <c:showSerName val="0"/>
          <c:showPercent val="0"/>
          <c:showBubbleSize val="0"/>
        </c:dLbls>
        <c:gapWidth val="150"/>
        <c:overlap val="100"/>
        <c:axId val="403141792"/>
        <c:axId val="403142184"/>
      </c:barChart>
      <c:lineChart>
        <c:grouping val="standard"/>
        <c:varyColors val="0"/>
        <c:ser>
          <c:idx val="2"/>
          <c:order val="1"/>
          <c:tx>
            <c:v>Potencia media a bajar</c:v>
          </c:tx>
          <c:spPr>
            <a:ln w="28575" cap="rnd">
              <a:solidFill>
                <a:srgbClr val="004563"/>
              </a:solidFill>
              <a:round/>
            </a:ln>
            <a:effectLst/>
          </c:spPr>
          <c:marker>
            <c:symbol val="none"/>
          </c:marker>
          <c:cat>
            <c:strRef>
              <c:f>Dat_01!$C$130:$O$130</c:f>
              <c:strCache>
                <c:ptCount val="13"/>
                <c:pt idx="0">
                  <c:v>E</c:v>
                </c:pt>
                <c:pt idx="1">
                  <c:v>F</c:v>
                </c:pt>
                <c:pt idx="2">
                  <c:v>M</c:v>
                </c:pt>
                <c:pt idx="3">
                  <c:v>A</c:v>
                </c:pt>
                <c:pt idx="4">
                  <c:v>M</c:v>
                </c:pt>
                <c:pt idx="5">
                  <c:v>J</c:v>
                </c:pt>
                <c:pt idx="6">
                  <c:v>J</c:v>
                </c:pt>
                <c:pt idx="7">
                  <c:v>A</c:v>
                </c:pt>
                <c:pt idx="8">
                  <c:v>S</c:v>
                </c:pt>
                <c:pt idx="9">
                  <c:v>O</c:v>
                </c:pt>
                <c:pt idx="10">
                  <c:v>N</c:v>
                </c:pt>
                <c:pt idx="11">
                  <c:v>D</c:v>
                </c:pt>
                <c:pt idx="12">
                  <c:v>E</c:v>
                </c:pt>
              </c:strCache>
            </c:strRef>
          </c:cat>
          <c:val>
            <c:numRef>
              <c:f>Dat_01!#REF!</c:f>
              <c:numCache>
                <c:formatCode>General</c:formatCode>
                <c:ptCount val="1"/>
                <c:pt idx="0">
                  <c:v>1</c:v>
                </c:pt>
              </c:numCache>
            </c:numRef>
          </c:val>
          <c:smooth val="0"/>
          <c:extLst>
            <c:ext xmlns:c16="http://schemas.microsoft.com/office/drawing/2014/chart" uri="{C3380CC4-5D6E-409C-BE32-E72D297353CC}">
              <c16:uniqueId val="{00000001-1A52-4BC0-AA03-7CD9557E0882}"/>
            </c:ext>
          </c:extLst>
        </c:ser>
        <c:ser>
          <c:idx val="1"/>
          <c:order val="2"/>
          <c:tx>
            <c:v>Precio</c:v>
          </c:tx>
          <c:spPr>
            <a:ln w="28575" cap="rnd">
              <a:solidFill>
                <a:srgbClr val="004563"/>
              </a:solidFill>
              <a:round/>
            </a:ln>
            <a:effectLst/>
          </c:spPr>
          <c:marker>
            <c:symbol val="none"/>
          </c:marker>
          <c:val>
            <c:numRef>
              <c:f>Dat_01!$C$412:$O$412</c:f>
              <c:numCache>
                <c:formatCode>#,##0.00</c:formatCode>
                <c:ptCount val="13"/>
                <c:pt idx="0">
                  <c:v>51.890255956300003</c:v>
                </c:pt>
                <c:pt idx="1">
                  <c:v>67.585589426400006</c:v>
                </c:pt>
                <c:pt idx="2">
                  <c:v>35.5284746281</c:v>
                </c:pt>
                <c:pt idx="3">
                  <c:v>21.1892065471</c:v>
                </c:pt>
                <c:pt idx="4">
                  <c:v>11.0326904909</c:v>
                </c:pt>
                <c:pt idx="5">
                  <c:v>20.297364826599999</c:v>
                </c:pt>
                <c:pt idx="6">
                  <c:v>34.1141379253</c:v>
                </c:pt>
                <c:pt idx="7">
                  <c:v>35.031649862599998</c:v>
                </c:pt>
                <c:pt idx="8">
                  <c:v>32.7380599946</c:v>
                </c:pt>
                <c:pt idx="9">
                  <c:v>36.398819601600003</c:v>
                </c:pt>
                <c:pt idx="10">
                  <c:v>25.577419348599999</c:v>
                </c:pt>
                <c:pt idx="11">
                  <c:v>19.581757195600002</c:v>
                </c:pt>
                <c:pt idx="12">
                  <c:v>23.5337400642</c:v>
                </c:pt>
              </c:numCache>
            </c:numRef>
          </c:val>
          <c:smooth val="0"/>
          <c:extLst>
            <c:ext xmlns:c16="http://schemas.microsoft.com/office/drawing/2014/chart" uri="{C3380CC4-5D6E-409C-BE32-E72D297353CC}">
              <c16:uniqueId val="{00000001-6995-4BE8-A39A-4189507332EF}"/>
            </c:ext>
          </c:extLst>
        </c:ser>
        <c:dLbls>
          <c:showLegendKey val="0"/>
          <c:showVal val="0"/>
          <c:showCatName val="0"/>
          <c:showSerName val="0"/>
          <c:showPercent val="0"/>
          <c:showBubbleSize val="0"/>
        </c:dLbls>
        <c:marker val="1"/>
        <c:smooth val="0"/>
        <c:axId val="403142968"/>
        <c:axId val="403142576"/>
      </c:lineChart>
      <c:catAx>
        <c:axId val="403141792"/>
        <c:scaling>
          <c:orientation val="minMax"/>
        </c:scaling>
        <c:delete val="0"/>
        <c:axPos val="b"/>
        <c:numFmt formatCode="General" sourceLinked="1"/>
        <c:majorTickMark val="out"/>
        <c:minorTickMark val="none"/>
        <c:tickLblPos val="low"/>
        <c:spPr>
          <a:noFill/>
          <a:ln w="9525" cap="flat" cmpd="sng" algn="ctr">
            <a:solidFill>
              <a:srgbClr val="004563"/>
            </a:solidFill>
            <a:round/>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184"/>
        <c:crosses val="autoZero"/>
        <c:auto val="1"/>
        <c:lblAlgn val="ctr"/>
        <c:lblOffset val="100"/>
        <c:noMultiLvlLbl val="1"/>
      </c:catAx>
      <c:valAx>
        <c:axId val="403142184"/>
        <c:scaling>
          <c:orientation val="minMax"/>
          <c:max val="1400"/>
          <c:min val="0"/>
        </c:scaling>
        <c:delete val="0"/>
        <c:axPos val="l"/>
        <c:majorGridlines>
          <c:spPr>
            <a:ln w="3175" cap="flat" cmpd="sng" algn="ctr">
              <a:solidFill>
                <a:srgbClr val="004563"/>
              </a:solidFill>
              <a:prstDash val="sysDot"/>
              <a:round/>
            </a:ln>
            <a:effectLst/>
          </c:spPr>
        </c:majorGridlines>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2.1914394226280522E-2"/>
              <c:y val="1.1435558893984728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none"/>
        <c:minorTickMark val="none"/>
        <c:tickLblPos val="nextTo"/>
        <c:spPr>
          <a:noFill/>
          <a:ln>
            <a:solidFill>
              <a:srgbClr val="000000"/>
            </a:solidFill>
          </a:ln>
          <a:effectLst/>
        </c:spPr>
        <c:txPr>
          <a:bodyPr rot="-60000000" spcFirstLastPara="1" vertOverflow="ellipsis" vert="horz" wrap="square" anchor="ctr" anchorCtr="1"/>
          <a:lstStyle/>
          <a:p>
            <a:pPr algn="ctr">
              <a:defRPr lang="en-US" sz="800" b="0" i="0" u="none" strike="noStrike" kern="1200" baseline="0">
                <a:solidFill>
                  <a:srgbClr val="004563"/>
                </a:solidFill>
                <a:latin typeface="Arial" panose="020B0604020202020204" pitchFamily="34" charset="0"/>
                <a:ea typeface="Calibri"/>
                <a:cs typeface="Arial" panose="020B0604020202020204" pitchFamily="34" charset="0"/>
              </a:defRPr>
            </a:pPr>
            <a:endParaRPr lang="es-ES"/>
          </a:p>
        </c:txPr>
        <c:crossAx val="403141792"/>
        <c:crosses val="autoZero"/>
        <c:crossBetween val="between"/>
        <c:majorUnit val="200"/>
      </c:valAx>
      <c:valAx>
        <c:axId val="403142576"/>
        <c:scaling>
          <c:orientation val="minMax"/>
          <c:max val="84"/>
        </c:scaling>
        <c:delete val="0"/>
        <c:axPos val="r"/>
        <c:title>
          <c:tx>
            <c:rich>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r>
                  <a:rPr lang="es-ES" sz="800">
                    <a:solidFill>
                      <a:srgbClr val="004563"/>
                    </a:solidFill>
                  </a:rPr>
                  <a:t>€/MW</a:t>
                </a:r>
              </a:p>
            </c:rich>
          </c:tx>
          <c:layout>
            <c:manualLayout>
              <c:xMode val="edge"/>
              <c:yMode val="edge"/>
              <c:x val="0.94481793598262565"/>
              <c:y val="2.2046861853368505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4563"/>
                </a:solidFill>
                <a:latin typeface="+mn-lt"/>
                <a:ea typeface="+mn-ea"/>
                <a:cs typeface="+mn-cs"/>
              </a:defRPr>
            </a:pPr>
            <a:endParaRPr lang="es-ES"/>
          </a:p>
        </c:txPr>
        <c:crossAx val="403142968"/>
        <c:crosses val="max"/>
        <c:crossBetween val="between"/>
        <c:majorUnit val="12"/>
      </c:valAx>
      <c:catAx>
        <c:axId val="403142968"/>
        <c:scaling>
          <c:orientation val="minMax"/>
        </c:scaling>
        <c:delete val="1"/>
        <c:axPos val="b"/>
        <c:numFmt formatCode="General" sourceLinked="1"/>
        <c:majorTickMark val="out"/>
        <c:minorTickMark val="none"/>
        <c:tickLblPos val="nextTo"/>
        <c:crossAx val="403142576"/>
        <c:crosses val="autoZero"/>
        <c:auto val="1"/>
        <c:lblAlgn val="ctr"/>
        <c:lblOffset val="100"/>
        <c:noMultiLvlLbl val="0"/>
      </c:catAx>
      <c:spPr>
        <a:noFill/>
        <a:ln>
          <a:noFill/>
        </a:ln>
        <a:effectLst/>
      </c:spPr>
    </c:plotArea>
    <c:plotVisOnly val="1"/>
    <c:dispBlanksAs val="gap"/>
    <c:showDLblsOverMax val="0"/>
  </c:chart>
  <c:spPr>
    <a:solidFill>
      <a:srgbClr val="D9D9D9"/>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1465" r="0.75000000000001465" t="1" header="0" footer="0"/>
    <c:pageSetup paperSize="9" orientation="landscape" horizontalDpi="355" verticalDpi="355"/>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2.xml"/><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4.xml"/><Relationship Id="rId1"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6.xml"/><Relationship Id="rId1" Type="http://schemas.openxmlformats.org/officeDocument/2006/relationships/chart" Target="../charts/chart15.xml"/></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8.xml"/><Relationship Id="rId1"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0.xml"/><Relationship Id="rId1" Type="http://schemas.openxmlformats.org/officeDocument/2006/relationships/chart" Target="../charts/chart19.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22860</xdr:colOff>
      <xdr:row>5</xdr:row>
      <xdr:rowOff>38099</xdr:rowOff>
    </xdr:from>
    <xdr:to>
      <xdr:col>2</xdr:col>
      <xdr:colOff>1066800</xdr:colOff>
      <xdr:row>22</xdr:row>
      <xdr:rowOff>19049</xdr:rowOff>
    </xdr:to>
    <xdr:pic>
      <xdr:nvPicPr>
        <xdr:cNvPr id="2" name="Picture 3">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1">
          <a:lum bright="4000"/>
          <a:grayscl/>
          <a:extLst>
            <a:ext uri="{28A0092B-C50C-407E-A947-70E740481C1C}">
              <a14:useLocalDpi xmlns:a14="http://schemas.microsoft.com/office/drawing/2010/main" val="0"/>
            </a:ext>
          </a:extLst>
        </a:blip>
        <a:srcRect/>
        <a:stretch>
          <a:fillRect/>
        </a:stretch>
      </xdr:blipFill>
      <xdr:spPr bwMode="auto">
        <a:xfrm>
          <a:off x="213360" y="876299"/>
          <a:ext cx="1043940" cy="2352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2</xdr:col>
      <xdr:colOff>60067</xdr:colOff>
      <xdr:row>3</xdr:row>
      <xdr:rowOff>0</xdr:rowOff>
    </xdr:from>
    <xdr:to>
      <xdr:col>5</xdr:col>
      <xdr:colOff>4287</xdr:colOff>
      <xdr:row>3</xdr:row>
      <xdr:rowOff>4289</xdr:rowOff>
    </xdr:to>
    <xdr:sp macro="" textlink="">
      <xdr:nvSpPr>
        <xdr:cNvPr id="4" name="Line 7">
          <a:extLst>
            <a:ext uri="{FF2B5EF4-FFF2-40B4-BE49-F238E27FC236}">
              <a16:creationId xmlns:a16="http://schemas.microsoft.com/office/drawing/2014/main" id="{00000000-0008-0000-0100-000004000000}"/>
            </a:ext>
          </a:extLst>
        </xdr:cNvPr>
        <xdr:cNvSpPr>
          <a:spLocks noChangeShapeType="1"/>
        </xdr:cNvSpPr>
      </xdr:nvSpPr>
      <xdr:spPr bwMode="auto">
        <a:xfrm flipH="1" flipV="1">
          <a:off x="266013" y="459088"/>
          <a:ext cx="8083375" cy="4289"/>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19050</xdr:colOff>
      <xdr:row>1</xdr:row>
      <xdr:rowOff>95250</xdr:rowOff>
    </xdr:from>
    <xdr:to>
      <xdr:col>4</xdr:col>
      <xdr:colOff>371474</xdr:colOff>
      <xdr:row>2</xdr:row>
      <xdr:rowOff>46349</xdr:rowOff>
    </xdr:to>
    <xdr:pic>
      <xdr:nvPicPr>
        <xdr:cNvPr id="5" name="Imagen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9075" y="10477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0.10865</cdr:y>
    </cdr:from>
    <cdr:to>
      <cdr:x>0.07221</cdr:x>
      <cdr:y>0.1806</cdr:y>
    </cdr:to>
    <cdr:sp macro="" textlink="">
      <cdr:nvSpPr>
        <cdr:cNvPr id="2" name="CuadroTexto 1"/>
        <cdr:cNvSpPr txBox="1"/>
      </cdr:nvSpPr>
      <cdr:spPr>
        <a:xfrm xmlns:a="http://schemas.openxmlformats.org/drawingml/2006/main">
          <a:off x="0" y="317500"/>
          <a:ext cx="509627" cy="21025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0.89446</cdr:x>
      <cdr:y>0.92664</cdr:y>
    </cdr:from>
    <cdr:to>
      <cdr:x>0.98489</cdr:x>
      <cdr:y>0.98758</cdr:y>
    </cdr:to>
    <cdr:sp macro="" textlink="">
      <cdr:nvSpPr>
        <cdr:cNvPr id="3" name="CuadroTexto 1"/>
        <cdr:cNvSpPr txBox="1"/>
      </cdr:nvSpPr>
      <cdr:spPr>
        <a:xfrm xmlns:a="http://schemas.openxmlformats.org/drawingml/2006/main">
          <a:off x="6328964" y="2704905"/>
          <a:ext cx="639862" cy="1778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2026</a:t>
          </a:r>
        </a:p>
      </cdr:txBody>
    </cdr:sp>
  </cdr:relSizeAnchor>
  <cdr:relSizeAnchor xmlns:cdr="http://schemas.openxmlformats.org/drawingml/2006/chartDrawing">
    <cdr:from>
      <cdr:x>0.44401</cdr:x>
      <cdr:y>0.93484</cdr:y>
    </cdr:from>
    <cdr:to>
      <cdr:x>0.52382</cdr:x>
      <cdr:y>1</cdr:y>
    </cdr:to>
    <cdr:sp macro="" textlink="">
      <cdr:nvSpPr>
        <cdr:cNvPr id="4" name="CuadroTexto 1"/>
        <cdr:cNvSpPr txBox="1"/>
      </cdr:nvSpPr>
      <cdr:spPr>
        <a:xfrm xmlns:a="http://schemas.openxmlformats.org/drawingml/2006/main">
          <a:off x="3141684" y="2728831"/>
          <a:ext cx="564718" cy="1902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userShapes>
</file>

<file path=xl/drawings/drawing11.xml><?xml version="1.0" encoding="utf-8"?>
<xdr:wsDr xmlns:xdr="http://schemas.openxmlformats.org/drawingml/2006/spreadsheetDrawing" xmlns:a="http://schemas.openxmlformats.org/drawingml/2006/main">
  <xdr:twoCellAnchor editAs="absolute">
    <xdr:from>
      <xdr:col>2</xdr:col>
      <xdr:colOff>15238</xdr:colOff>
      <xdr:row>3</xdr:row>
      <xdr:rowOff>28574</xdr:rowOff>
    </xdr:from>
    <xdr:to>
      <xdr:col>6</xdr:col>
      <xdr:colOff>1207213</xdr:colOff>
      <xdr:row>3</xdr:row>
      <xdr:rowOff>30477</xdr:rowOff>
    </xdr:to>
    <xdr:sp macro="" textlink="">
      <xdr:nvSpPr>
        <xdr:cNvPr id="4" name="Line 10">
          <a:extLst>
            <a:ext uri="{FF2B5EF4-FFF2-40B4-BE49-F238E27FC236}">
              <a16:creationId xmlns:a16="http://schemas.microsoft.com/office/drawing/2014/main" id="{00000000-0008-0000-0900-000004000000}"/>
            </a:ext>
          </a:extLst>
        </xdr:cNvPr>
        <xdr:cNvSpPr>
          <a:spLocks noChangeShapeType="1"/>
        </xdr:cNvSpPr>
      </xdr:nvSpPr>
      <xdr:spPr bwMode="auto">
        <a:xfrm flipH="1">
          <a:off x="205738" y="485774"/>
          <a:ext cx="7488000" cy="190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28575</xdr:colOff>
      <xdr:row>1</xdr:row>
      <xdr:rowOff>133350</xdr:rowOff>
    </xdr:from>
    <xdr:to>
      <xdr:col>4</xdr:col>
      <xdr:colOff>123824</xdr:colOff>
      <xdr:row>2</xdr:row>
      <xdr:rowOff>84449</xdr:rowOff>
    </xdr:to>
    <xdr:pic>
      <xdr:nvPicPr>
        <xdr:cNvPr id="5" name="Imagen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3</xdr:col>
      <xdr:colOff>74295</xdr:colOff>
      <xdr:row>6</xdr:row>
      <xdr:rowOff>15240</xdr:rowOff>
    </xdr:from>
    <xdr:to>
      <xdr:col>5</xdr:col>
      <xdr:colOff>7620</xdr:colOff>
      <xdr:row>24</xdr:row>
      <xdr:rowOff>171450</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4" name="Line 10">
          <a:extLst>
            <a:ext uri="{FF2B5EF4-FFF2-40B4-BE49-F238E27FC236}">
              <a16:creationId xmlns:a16="http://schemas.microsoft.com/office/drawing/2014/main" id="{00000000-0008-0000-0A00-000004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2</xdr:col>
      <xdr:colOff>38100</xdr:colOff>
      <xdr:row>1</xdr:row>
      <xdr:rowOff>123825</xdr:rowOff>
    </xdr:from>
    <xdr:to>
      <xdr:col>4</xdr:col>
      <xdr:colOff>133349</xdr:colOff>
      <xdr:row>2</xdr:row>
      <xdr:rowOff>74924</xdr:rowOff>
    </xdr:to>
    <xdr:pic>
      <xdr:nvPicPr>
        <xdr:cNvPr id="5" name="Imagen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c:userShapes xmlns:c="http://schemas.openxmlformats.org/drawingml/2006/chart">
  <cdr:relSizeAnchor xmlns:cdr="http://schemas.openxmlformats.org/drawingml/2006/chartDrawing">
    <cdr:from>
      <cdr:x>0.01125</cdr:x>
      <cdr:y>0.09098</cdr:y>
    </cdr:from>
    <cdr:to>
      <cdr:x>0.06714</cdr:x>
      <cdr:y>0.16183</cdr:y>
    </cdr:to>
    <cdr:sp macro="" textlink="">
      <cdr:nvSpPr>
        <cdr:cNvPr id="2" name="CuadroTexto 5"/>
        <cdr:cNvSpPr txBox="1"/>
      </cdr:nvSpPr>
      <cdr:spPr>
        <a:xfrm xmlns:a="http://schemas.openxmlformats.org/drawingml/2006/main">
          <a:off x="79375" y="279400"/>
          <a:ext cx="394532" cy="217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GWh</a:t>
          </a:r>
        </a:p>
      </cdr:txBody>
    </cdr:sp>
  </cdr:relSizeAnchor>
</c:userShapes>
</file>

<file path=xl/drawings/drawing14.xml><?xml version="1.0" encoding="utf-8"?>
<xdr:wsDr xmlns:xdr="http://schemas.openxmlformats.org/drawingml/2006/spreadsheetDrawing" xmlns:a="http://schemas.openxmlformats.org/drawingml/2006/main">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B00-000005000000}"/>
            </a:ext>
          </a:extLst>
        </xdr:cNvPr>
        <xdr:cNvSpPr>
          <a:spLocks noChangeShapeType="1"/>
        </xdr:cNvSpPr>
      </xdr:nvSpPr>
      <xdr:spPr bwMode="auto">
        <a:xfrm flipH="1" flipV="1">
          <a:off x="165943" y="352185"/>
          <a:ext cx="9209968"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8</xdr:col>
      <xdr:colOff>462313</xdr:colOff>
      <xdr:row>20</xdr:row>
      <xdr:rowOff>56446</xdr:rowOff>
    </xdr:from>
    <xdr:to>
      <xdr:col>9</xdr:col>
      <xdr:colOff>89377</xdr:colOff>
      <xdr:row>21</xdr:row>
      <xdr:rowOff>55918</xdr:rowOff>
    </xdr:to>
    <xdr:sp macro="" textlink="">
      <xdr:nvSpPr>
        <xdr:cNvPr id="7" name="CuadroTexto 6">
          <a:extLst>
            <a:ext uri="{FF2B5EF4-FFF2-40B4-BE49-F238E27FC236}">
              <a16:creationId xmlns:a16="http://schemas.microsoft.com/office/drawing/2014/main" id="{00000000-0008-0000-0B00-000007000000}"/>
            </a:ext>
          </a:extLst>
        </xdr:cNvPr>
        <xdr:cNvSpPr txBox="1"/>
      </xdr:nvSpPr>
      <xdr:spPr>
        <a:xfrm>
          <a:off x="6788351" y="3291352"/>
          <a:ext cx="399847" cy="161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es-ES" sz="800">
              <a:solidFill>
                <a:srgbClr val="004563"/>
              </a:solidFill>
              <a:latin typeface="Arial" panose="020B0604020202020204" pitchFamily="34" charset="0"/>
              <a:cs typeface="Arial" panose="020B0604020202020204" pitchFamily="34" charset="0"/>
            </a:rPr>
            <a:t>2025</a:t>
          </a:r>
        </a:p>
      </xdr:txBody>
    </xdr:sp>
    <xdr:clientData/>
  </xdr:twoCellAnchor>
  <xdr:twoCellAnchor editAs="oneCell">
    <xdr:from>
      <xdr:col>1</xdr:col>
      <xdr:colOff>9525</xdr:colOff>
      <xdr:row>0</xdr:row>
      <xdr:rowOff>38100</xdr:rowOff>
    </xdr:from>
    <xdr:to>
      <xdr:col>2</xdr:col>
      <xdr:colOff>190499</xdr:colOff>
      <xdr:row>1</xdr:row>
      <xdr:rowOff>93974</xdr:rowOff>
    </xdr:to>
    <xdr:pic>
      <xdr:nvPicPr>
        <xdr:cNvPr id="8" name="Imagen 7">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3810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1482665</xdr:colOff>
      <xdr:row>21</xdr:row>
      <xdr:rowOff>35944</xdr:rowOff>
    </xdr:from>
    <xdr:to>
      <xdr:col>11</xdr:col>
      <xdr:colOff>687534</xdr:colOff>
      <xdr:row>36</xdr:row>
      <xdr:rowOff>77330</xdr:rowOff>
    </xdr:to>
    <xdr:graphicFrame macro="">
      <xdr:nvGraphicFramePr>
        <xdr:cNvPr id="2" name="Chart 4">
          <a:extLst>
            <a:ext uri="{FF2B5EF4-FFF2-40B4-BE49-F238E27FC236}">
              <a16:creationId xmlns:a16="http://schemas.microsoft.com/office/drawing/2014/main" id="{954295CB-E344-43E3-820D-8D904B9992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1491651</xdr:colOff>
      <xdr:row>5</xdr:row>
      <xdr:rowOff>116817</xdr:rowOff>
    </xdr:from>
    <xdr:to>
      <xdr:col>11</xdr:col>
      <xdr:colOff>696520</xdr:colOff>
      <xdr:row>21</xdr:row>
      <xdr:rowOff>27521</xdr:rowOff>
    </xdr:to>
    <xdr:graphicFrame macro="">
      <xdr:nvGraphicFramePr>
        <xdr:cNvPr id="4" name="Chart 4">
          <a:extLst>
            <a:ext uri="{FF2B5EF4-FFF2-40B4-BE49-F238E27FC236}">
              <a16:creationId xmlns:a16="http://schemas.microsoft.com/office/drawing/2014/main" id="{76801656-2EC9-49B8-A058-28E5B65070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0.88966</cdr:x>
      <cdr:y>0.06011</cdr:y>
    </cdr:from>
    <cdr:to>
      <cdr:x>0.88974</cdr:x>
      <cdr:y>0.76421</cdr:y>
    </cdr:to>
    <cdr:cxnSp macro="">
      <cdr:nvCxnSpPr>
        <cdr:cNvPr id="3" name="Conector recto 1">
          <a:extLst xmlns:a="http://schemas.openxmlformats.org/drawingml/2006/main">
            <a:ext uri="{FF2B5EF4-FFF2-40B4-BE49-F238E27FC236}">
              <a16:creationId xmlns:a16="http://schemas.microsoft.com/office/drawing/2014/main" id="{4BA97B41-21FE-427C-A03C-779E1DB6CA25}"/>
            </a:ext>
          </a:extLst>
        </cdr:cNvPr>
        <cdr:cNvCxnSpPr/>
      </cdr:nvCxnSpPr>
      <cdr:spPr bwMode="auto">
        <a:xfrm xmlns:a="http://schemas.openxmlformats.org/drawingml/2006/main" flipV="1">
          <a:off x="6815278" y="148325"/>
          <a:ext cx="613" cy="173741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16.xml><?xml version="1.0" encoding="utf-8"?>
<c:userShapes xmlns:c="http://schemas.openxmlformats.org/drawingml/2006/chart">
  <cdr:relSizeAnchor xmlns:cdr="http://schemas.openxmlformats.org/drawingml/2006/chartDrawing">
    <cdr:from>
      <cdr:x>0.88566</cdr:x>
      <cdr:y>0.13576</cdr:y>
    </cdr:from>
    <cdr:to>
      <cdr:x>0.88691</cdr:x>
      <cdr:y>0.85187</cdr:y>
    </cdr:to>
    <cdr:cxnSp macro="">
      <cdr:nvCxnSpPr>
        <cdr:cNvPr id="3" name="Conector recto 1">
          <a:extLst xmlns:a="http://schemas.openxmlformats.org/drawingml/2006/main">
            <a:ext uri="{FF2B5EF4-FFF2-40B4-BE49-F238E27FC236}">
              <a16:creationId xmlns:a16="http://schemas.microsoft.com/office/drawing/2014/main" id="{4BA97B41-21FE-427C-A03C-779E1DB6CA25}"/>
            </a:ext>
          </a:extLst>
        </cdr:cNvPr>
        <cdr:cNvCxnSpPr/>
      </cdr:nvCxnSpPr>
      <cdr:spPr bwMode="auto">
        <a:xfrm xmlns:a="http://schemas.openxmlformats.org/drawingml/2006/main" flipH="1" flipV="1">
          <a:off x="6784636" y="339221"/>
          <a:ext cx="9575" cy="178929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0.45153</cdr:x>
      <cdr:y>0.93242</cdr:y>
    </cdr:from>
    <cdr:to>
      <cdr:x>0.49029</cdr:x>
      <cdr:y>0.99387</cdr:y>
    </cdr:to>
    <cdr:sp macro="" textlink="">
      <cdr:nvSpPr>
        <cdr:cNvPr id="4" name="CuadroTexto 6">
          <a:extLst xmlns:a="http://schemas.openxmlformats.org/drawingml/2006/main">
            <a:ext uri="{FF2B5EF4-FFF2-40B4-BE49-F238E27FC236}">
              <a16:creationId xmlns:a16="http://schemas.microsoft.com/office/drawing/2014/main" id="{62B46BC2-1008-478C-A573-17A95B031C19}"/>
            </a:ext>
          </a:extLst>
        </cdr:cNvPr>
        <cdr:cNvSpPr txBox="1"/>
      </cdr:nvSpPr>
      <cdr:spPr>
        <a:xfrm xmlns:a="http://schemas.openxmlformats.org/drawingml/2006/main">
          <a:off x="3458976" y="2329763"/>
          <a:ext cx="296923" cy="15354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0.90741</cdr:x>
      <cdr:y>0.93087</cdr:y>
    </cdr:from>
    <cdr:to>
      <cdr:x>0.94617</cdr:x>
      <cdr:y>0.99232</cdr:y>
    </cdr:to>
    <cdr:sp macro="" textlink="">
      <cdr:nvSpPr>
        <cdr:cNvPr id="2" name="CuadroTexto 6">
          <a:extLst xmlns:a="http://schemas.openxmlformats.org/drawingml/2006/main">
            <a:ext uri="{FF2B5EF4-FFF2-40B4-BE49-F238E27FC236}">
              <a16:creationId xmlns:a16="http://schemas.microsoft.com/office/drawing/2014/main" id="{59477B08-3D50-33B5-1293-E4DF481CD697}"/>
            </a:ext>
          </a:extLst>
        </cdr:cNvPr>
        <cdr:cNvSpPr txBox="1"/>
      </cdr:nvSpPr>
      <cdr:spPr>
        <a:xfrm xmlns:a="http://schemas.openxmlformats.org/drawingml/2006/main">
          <a:off x="6951260" y="2325899"/>
          <a:ext cx="296923" cy="15354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2026</a:t>
          </a:r>
        </a:p>
      </cdr:txBody>
    </cdr:sp>
  </cdr:relSizeAnchor>
</c:userShapes>
</file>

<file path=xl/drawings/drawing17.xml><?xml version="1.0" encoding="utf-8"?>
<xdr:wsDr xmlns:xdr="http://schemas.openxmlformats.org/drawingml/2006/spreadsheetDrawing" xmlns:a="http://schemas.openxmlformats.org/drawingml/2006/main">
  <xdr:twoCellAnchor>
    <xdr:from>
      <xdr:col>2</xdr:col>
      <xdr:colOff>3314</xdr:colOff>
      <xdr:row>6</xdr:row>
      <xdr:rowOff>41412</xdr:rowOff>
    </xdr:from>
    <xdr:to>
      <xdr:col>11</xdr:col>
      <xdr:colOff>670892</xdr:colOff>
      <xdr:row>20</xdr:row>
      <xdr:rowOff>91108</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2375</xdr:colOff>
      <xdr:row>19</xdr:row>
      <xdr:rowOff>149087</xdr:rowOff>
    </xdr:from>
    <xdr:to>
      <xdr:col>11</xdr:col>
      <xdr:colOff>670892</xdr:colOff>
      <xdr:row>30</xdr:row>
      <xdr:rowOff>74544</xdr:rowOff>
    </xdr:to>
    <xdr:graphicFrame macro="">
      <xdr:nvGraphicFramePr>
        <xdr:cNvPr id="3" name="Chart 4">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165942</xdr:colOff>
      <xdr:row>2</xdr:row>
      <xdr:rowOff>20880</xdr:rowOff>
    </xdr:from>
    <xdr:to>
      <xdr:col>11</xdr:col>
      <xdr:colOff>742949</xdr:colOff>
      <xdr:row>2</xdr:row>
      <xdr:rowOff>57149</xdr:rowOff>
    </xdr:to>
    <xdr:sp macro="" textlink="">
      <xdr:nvSpPr>
        <xdr:cNvPr id="5" name="Line 7">
          <a:extLst>
            <a:ext uri="{FF2B5EF4-FFF2-40B4-BE49-F238E27FC236}">
              <a16:creationId xmlns:a16="http://schemas.microsoft.com/office/drawing/2014/main" id="{00000000-0008-0000-0C00-000005000000}"/>
            </a:ext>
          </a:extLst>
        </xdr:cNvPr>
        <xdr:cNvSpPr>
          <a:spLocks noChangeShapeType="1"/>
        </xdr:cNvSpPr>
      </xdr:nvSpPr>
      <xdr:spPr bwMode="auto">
        <a:xfrm flipH="1" flipV="1">
          <a:off x="165942" y="344730"/>
          <a:ext cx="9073307" cy="36269"/>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28575</xdr:rowOff>
    </xdr:from>
    <xdr:to>
      <xdr:col>2</xdr:col>
      <xdr:colOff>314324</xdr:colOff>
      <xdr:row>1</xdr:row>
      <xdr:rowOff>84449</xdr:rowOff>
    </xdr:to>
    <xdr:pic>
      <xdr:nvPicPr>
        <xdr:cNvPr id="6" name="Imagen 5">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2857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c:userShapes xmlns:c="http://schemas.openxmlformats.org/drawingml/2006/chart">
  <cdr:relSizeAnchor xmlns:cdr="http://schemas.openxmlformats.org/drawingml/2006/chartDrawing">
    <cdr:from>
      <cdr:x>0.88677</cdr:x>
      <cdr:y>0.13573</cdr:y>
    </cdr:from>
    <cdr:to>
      <cdr:x>0.88751</cdr:x>
      <cdr:y>0.82678</cdr:y>
    </cdr:to>
    <cdr:cxnSp macro="">
      <cdr:nvCxnSpPr>
        <cdr:cNvPr id="2" name="Conector recto 1">
          <a:extLst xmlns:a="http://schemas.openxmlformats.org/drawingml/2006/main">
            <a:ext uri="{FF2B5EF4-FFF2-40B4-BE49-F238E27FC236}">
              <a16:creationId xmlns:a16="http://schemas.microsoft.com/office/drawing/2014/main" id="{D16DB130-295B-4609-933E-9EDA315F24A0}"/>
            </a:ext>
          </a:extLst>
        </cdr:cNvPr>
        <cdr:cNvCxnSpPr/>
      </cdr:nvCxnSpPr>
      <cdr:spPr bwMode="auto">
        <a:xfrm xmlns:a="http://schemas.openxmlformats.org/drawingml/2006/main" flipH="1" flipV="1">
          <a:off x="6681904" y="314449"/>
          <a:ext cx="5576" cy="160091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0.4452</cdr:x>
      <cdr:y>0.89485</cdr:y>
    </cdr:from>
    <cdr:to>
      <cdr:x>0.52</cdr:x>
      <cdr:y>0.97344</cdr:y>
    </cdr:to>
    <cdr:sp macro="" textlink="">
      <cdr:nvSpPr>
        <cdr:cNvPr id="4" name="CuadroTexto 1"/>
        <cdr:cNvSpPr txBox="1"/>
      </cdr:nvSpPr>
      <cdr:spPr>
        <a:xfrm xmlns:a="http://schemas.openxmlformats.org/drawingml/2006/main">
          <a:off x="3354622" y="2073058"/>
          <a:ext cx="563626" cy="1820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0.89466</cdr:x>
      <cdr:y>0.8945</cdr:y>
    </cdr:from>
    <cdr:to>
      <cdr:x>0.96946</cdr:x>
      <cdr:y>0.97309</cdr:y>
    </cdr:to>
    <cdr:sp macro="" textlink="">
      <cdr:nvSpPr>
        <cdr:cNvPr id="5" name="CuadroTexto 1"/>
        <cdr:cNvSpPr txBox="1"/>
      </cdr:nvSpPr>
      <cdr:spPr>
        <a:xfrm xmlns:a="http://schemas.openxmlformats.org/drawingml/2006/main">
          <a:off x="6741319" y="2072243"/>
          <a:ext cx="563626" cy="18206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userShapes>
</file>

<file path=xl/drawings/drawing19.xml><?xml version="1.0" encoding="utf-8"?>
<c:userShapes xmlns:c="http://schemas.openxmlformats.org/drawingml/2006/chart">
  <cdr:relSizeAnchor xmlns:cdr="http://schemas.openxmlformats.org/drawingml/2006/chartDrawing">
    <cdr:from>
      <cdr:x>0.89076</cdr:x>
      <cdr:y>0.03239</cdr:y>
    </cdr:from>
    <cdr:to>
      <cdr:x>0.89103</cdr:x>
      <cdr:y>0.86065</cdr:y>
    </cdr:to>
    <cdr:cxnSp macro="">
      <cdr:nvCxnSpPr>
        <cdr:cNvPr id="2" name="Conector recto 1">
          <a:extLst xmlns:a="http://schemas.openxmlformats.org/drawingml/2006/main">
            <a:ext uri="{FF2B5EF4-FFF2-40B4-BE49-F238E27FC236}">
              <a16:creationId xmlns:a16="http://schemas.microsoft.com/office/drawing/2014/main" id="{337CA4D8-91EF-47E8-8DA5-5815FBB8BE63}"/>
            </a:ext>
          </a:extLst>
        </cdr:cNvPr>
        <cdr:cNvCxnSpPr/>
      </cdr:nvCxnSpPr>
      <cdr:spPr bwMode="auto">
        <a:xfrm xmlns:a="http://schemas.openxmlformats.org/drawingml/2006/main" flipV="1">
          <a:off x="6712799" y="55278"/>
          <a:ext cx="2034" cy="141353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xml><?xml version="1.0" encoding="utf-8"?>
<xdr:wsDr xmlns:xdr="http://schemas.openxmlformats.org/drawingml/2006/spreadsheetDrawing" xmlns:a="http://schemas.openxmlformats.org/drawingml/2006/main">
  <xdr:twoCellAnchor editAs="absolute">
    <xdr:from>
      <xdr:col>1</xdr:col>
      <xdr:colOff>160020</xdr:colOff>
      <xdr:row>3</xdr:row>
      <xdr:rowOff>0</xdr:rowOff>
    </xdr:from>
    <xdr:to>
      <xdr:col>11</xdr:col>
      <xdr:colOff>695325</xdr:colOff>
      <xdr:row>3</xdr:row>
      <xdr:rowOff>3810</xdr:rowOff>
    </xdr:to>
    <xdr:sp macro="" textlink="">
      <xdr:nvSpPr>
        <xdr:cNvPr id="4" name="Line 7">
          <a:extLst>
            <a:ext uri="{FF2B5EF4-FFF2-40B4-BE49-F238E27FC236}">
              <a16:creationId xmlns:a16="http://schemas.microsoft.com/office/drawing/2014/main" id="{00000000-0008-0000-0200-000004000000}"/>
            </a:ext>
          </a:extLst>
        </xdr:cNvPr>
        <xdr:cNvSpPr>
          <a:spLocks noChangeShapeType="1"/>
        </xdr:cNvSpPr>
      </xdr:nvSpPr>
      <xdr:spPr bwMode="auto">
        <a:xfrm flipH="1">
          <a:off x="160020" y="457200"/>
          <a:ext cx="7536180"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0</xdr:colOff>
      <xdr:row>6</xdr:row>
      <xdr:rowOff>0</xdr:rowOff>
    </xdr:from>
    <xdr:to>
      <xdr:col>11</xdr:col>
      <xdr:colOff>704850</xdr:colOff>
      <xdr:row>25</xdr:row>
      <xdr:rowOff>38100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9525</xdr:colOff>
      <xdr:row>0</xdr:row>
      <xdr:rowOff>123825</xdr:rowOff>
    </xdr:from>
    <xdr:to>
      <xdr:col>4</xdr:col>
      <xdr:colOff>9524</xdr:colOff>
      <xdr:row>2</xdr:row>
      <xdr:rowOff>46349</xdr:rowOff>
    </xdr:to>
    <xdr:pic>
      <xdr:nvPicPr>
        <xdr:cNvPr id="6" name="Imagen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9221</xdr:colOff>
      <xdr:row>5</xdr:row>
      <xdr:rowOff>91107</xdr:rowOff>
    </xdr:from>
    <xdr:to>
      <xdr:col>11</xdr:col>
      <xdr:colOff>676799</xdr:colOff>
      <xdr:row>19</xdr:row>
      <xdr:rowOff>165651</xdr:rowOff>
    </xdr:to>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8282</xdr:colOff>
      <xdr:row>19</xdr:row>
      <xdr:rowOff>66261</xdr:rowOff>
    </xdr:from>
    <xdr:to>
      <xdr:col>11</xdr:col>
      <xdr:colOff>676799</xdr:colOff>
      <xdr:row>29</xdr:row>
      <xdr:rowOff>157370</xdr:rowOff>
    </xdr:to>
    <xdr:graphicFrame macro="">
      <xdr:nvGraphicFramePr>
        <xdr:cNvPr id="3" name="Chart 4">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165943</xdr:colOff>
      <xdr:row>2</xdr:row>
      <xdr:rowOff>20881</xdr:rowOff>
    </xdr:from>
    <xdr:to>
      <xdr:col>12</xdr:col>
      <xdr:colOff>115954</xdr:colOff>
      <xdr:row>2</xdr:row>
      <xdr:rowOff>49694</xdr:rowOff>
    </xdr:to>
    <xdr:sp macro="" textlink="">
      <xdr:nvSpPr>
        <xdr:cNvPr id="5" name="Line 7">
          <a:extLst>
            <a:ext uri="{FF2B5EF4-FFF2-40B4-BE49-F238E27FC236}">
              <a16:creationId xmlns:a16="http://schemas.microsoft.com/office/drawing/2014/main" id="{00000000-0008-0000-0D00-000005000000}"/>
            </a:ext>
          </a:extLst>
        </xdr:cNvPr>
        <xdr:cNvSpPr>
          <a:spLocks noChangeShapeType="1"/>
        </xdr:cNvSpPr>
      </xdr:nvSpPr>
      <xdr:spPr bwMode="auto">
        <a:xfrm flipH="1" flipV="1">
          <a:off x="165943" y="344731"/>
          <a:ext cx="9208311"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editAs="oneCell">
    <xdr:from>
      <xdr:col>1</xdr:col>
      <xdr:colOff>28575</xdr:colOff>
      <xdr:row>0</xdr:row>
      <xdr:rowOff>57150</xdr:rowOff>
    </xdr:from>
    <xdr:to>
      <xdr:col>2</xdr:col>
      <xdr:colOff>342899</xdr:colOff>
      <xdr:row>1</xdr:row>
      <xdr:rowOff>113024</xdr:rowOff>
    </xdr:to>
    <xdr:pic>
      <xdr:nvPicPr>
        <xdr:cNvPr id="6" name="Imagen 5">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955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c:userShapes xmlns:c="http://schemas.openxmlformats.org/drawingml/2006/chart">
  <cdr:relSizeAnchor xmlns:cdr="http://schemas.openxmlformats.org/drawingml/2006/chartDrawing">
    <cdr:from>
      <cdr:x>0.88811</cdr:x>
      <cdr:y>0.11219</cdr:y>
    </cdr:from>
    <cdr:to>
      <cdr:x>0.88829</cdr:x>
      <cdr:y>0.81162</cdr:y>
    </cdr:to>
    <cdr:cxnSp macro="">
      <cdr:nvCxnSpPr>
        <cdr:cNvPr id="2" name="Conector recto 1">
          <a:extLst xmlns:a="http://schemas.openxmlformats.org/drawingml/2006/main">
            <a:ext uri="{FF2B5EF4-FFF2-40B4-BE49-F238E27FC236}">
              <a16:creationId xmlns:a16="http://schemas.microsoft.com/office/drawing/2014/main" id="{8B484EC5-BF50-4410-84F5-1BAE0EC1C077}"/>
            </a:ext>
          </a:extLst>
        </cdr:cNvPr>
        <cdr:cNvCxnSpPr/>
      </cdr:nvCxnSpPr>
      <cdr:spPr bwMode="auto">
        <a:xfrm xmlns:a="http://schemas.openxmlformats.org/drawingml/2006/main" flipV="1">
          <a:off x="6659856" y="265745"/>
          <a:ext cx="1350" cy="165676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0.4461</cdr:x>
      <cdr:y>0.886</cdr:y>
    </cdr:from>
    <cdr:to>
      <cdr:x>0.52091</cdr:x>
      <cdr:y>0.96377</cdr:y>
    </cdr:to>
    <cdr:sp macro="" textlink="">
      <cdr:nvSpPr>
        <cdr:cNvPr id="4" name="CuadroTexto 1"/>
        <cdr:cNvSpPr txBox="1"/>
      </cdr:nvSpPr>
      <cdr:spPr>
        <a:xfrm xmlns:a="http://schemas.openxmlformats.org/drawingml/2006/main">
          <a:off x="3345265" y="2098707"/>
          <a:ext cx="560997" cy="18421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0.89732</cdr:x>
      <cdr:y>0.89551</cdr:y>
    </cdr:from>
    <cdr:to>
      <cdr:x>0.97211</cdr:x>
      <cdr:y>0.97329</cdr:y>
    </cdr:to>
    <cdr:sp macro="" textlink="">
      <cdr:nvSpPr>
        <cdr:cNvPr id="5" name="CuadroTexto 1"/>
        <cdr:cNvSpPr txBox="1"/>
      </cdr:nvSpPr>
      <cdr:spPr>
        <a:xfrm xmlns:a="http://schemas.openxmlformats.org/drawingml/2006/main">
          <a:off x="6728970" y="2121237"/>
          <a:ext cx="560846" cy="1842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userShapes>
</file>

<file path=xl/drawings/drawing22.xml><?xml version="1.0" encoding="utf-8"?>
<c:userShapes xmlns:c="http://schemas.openxmlformats.org/drawingml/2006/chart">
  <cdr:relSizeAnchor xmlns:cdr="http://schemas.openxmlformats.org/drawingml/2006/chartDrawing">
    <cdr:from>
      <cdr:x>0.88649</cdr:x>
      <cdr:y>0.03017</cdr:y>
    </cdr:from>
    <cdr:to>
      <cdr:x>0.88649</cdr:x>
      <cdr:y>0.87952</cdr:y>
    </cdr:to>
    <cdr:cxnSp macro="">
      <cdr:nvCxnSpPr>
        <cdr:cNvPr id="2" name="Conector recto 1">
          <a:extLst xmlns:a="http://schemas.openxmlformats.org/drawingml/2006/main">
            <a:ext uri="{FF2B5EF4-FFF2-40B4-BE49-F238E27FC236}">
              <a16:creationId xmlns:a16="http://schemas.microsoft.com/office/drawing/2014/main" id="{D59D532A-52B7-4D3C-ACDB-EE5BBCA3F18B}"/>
            </a:ext>
          </a:extLst>
        </cdr:cNvPr>
        <cdr:cNvCxnSpPr/>
      </cdr:nvCxnSpPr>
      <cdr:spPr bwMode="auto">
        <a:xfrm xmlns:a="http://schemas.openxmlformats.org/drawingml/2006/main" flipV="1">
          <a:off x="6648610" y="53107"/>
          <a:ext cx="0" cy="149531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3.xml><?xml version="1.0" encoding="utf-8"?>
<xdr:wsDr xmlns:xdr="http://schemas.openxmlformats.org/drawingml/2006/spreadsheetDrawing" xmlns:a="http://schemas.openxmlformats.org/drawingml/2006/main">
  <xdr:twoCellAnchor>
    <xdr:from>
      <xdr:col>1</xdr:col>
      <xdr:colOff>1468396</xdr:colOff>
      <xdr:row>20</xdr:row>
      <xdr:rowOff>49696</xdr:rowOff>
    </xdr:from>
    <xdr:to>
      <xdr:col>11</xdr:col>
      <xdr:colOff>554935</xdr:colOff>
      <xdr:row>36</xdr:row>
      <xdr:rowOff>41661</xdr:rowOff>
    </xdr:to>
    <xdr:graphicFrame macro="">
      <xdr:nvGraphicFramePr>
        <xdr:cNvPr id="8" name="Gráfico 7">
          <a:extLst>
            <a:ext uri="{FF2B5EF4-FFF2-40B4-BE49-F238E27FC236}">
              <a16:creationId xmlns:a16="http://schemas.microsoft.com/office/drawing/2014/main" id="{00000000-0008-0000-0E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5" name="Line 7">
          <a:extLst>
            <a:ext uri="{FF2B5EF4-FFF2-40B4-BE49-F238E27FC236}">
              <a16:creationId xmlns:a16="http://schemas.microsoft.com/office/drawing/2014/main" id="{00000000-0008-0000-0E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1484678</xdr:colOff>
      <xdr:row>4</xdr:row>
      <xdr:rowOff>70816</xdr:rowOff>
    </xdr:from>
    <xdr:to>
      <xdr:col>11</xdr:col>
      <xdr:colOff>571217</xdr:colOff>
      <xdr:row>21</xdr:row>
      <xdr:rowOff>1230</xdr:rowOff>
    </xdr:to>
    <xdr:graphicFrame macro="">
      <xdr:nvGraphicFramePr>
        <xdr:cNvPr id="7" name="Gráfico 6">
          <a:extLst>
            <a:ext uri="{FF2B5EF4-FFF2-40B4-BE49-F238E27FC236}">
              <a16:creationId xmlns:a16="http://schemas.microsoft.com/office/drawing/2014/main" id="{00000000-0008-0000-0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38100</xdr:rowOff>
    </xdr:from>
    <xdr:to>
      <xdr:col>2</xdr:col>
      <xdr:colOff>190499</xdr:colOff>
      <xdr:row>1</xdr:row>
      <xdr:rowOff>93974</xdr:rowOff>
    </xdr:to>
    <xdr:pic>
      <xdr:nvPicPr>
        <xdr:cNvPr id="6" name="Imagen 5">
          <a:extLst>
            <a:ext uri="{FF2B5EF4-FFF2-40B4-BE49-F238E27FC236}">
              <a16:creationId xmlns:a16="http://schemas.microsoft.com/office/drawing/2014/main" id="{00000000-0008-0000-0E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3810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c:userShapes xmlns:c="http://schemas.openxmlformats.org/drawingml/2006/chart">
  <cdr:relSizeAnchor xmlns:cdr="http://schemas.openxmlformats.org/drawingml/2006/chartDrawing">
    <cdr:from>
      <cdr:x>0.89266</cdr:x>
      <cdr:y>0.09407</cdr:y>
    </cdr:from>
    <cdr:to>
      <cdr:x>0.89324</cdr:x>
      <cdr:y>0.8096</cdr:y>
    </cdr:to>
    <cdr:cxnSp macro="">
      <cdr:nvCxnSpPr>
        <cdr:cNvPr id="2" name="Conector recto 1">
          <a:extLst xmlns:a="http://schemas.openxmlformats.org/drawingml/2006/main">
            <a:ext uri="{FF2B5EF4-FFF2-40B4-BE49-F238E27FC236}">
              <a16:creationId xmlns:a16="http://schemas.microsoft.com/office/drawing/2014/main" id="{35BCFF26-5A06-476C-9F1A-66B27A0842BB}"/>
            </a:ext>
          </a:extLst>
        </cdr:cNvPr>
        <cdr:cNvCxnSpPr/>
      </cdr:nvCxnSpPr>
      <cdr:spPr bwMode="auto">
        <a:xfrm xmlns:a="http://schemas.openxmlformats.org/drawingml/2006/main" flipH="1" flipV="1">
          <a:off x="6689420" y="247946"/>
          <a:ext cx="4346" cy="188587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5.xml><?xml version="1.0" encoding="utf-8"?>
<c:userShapes xmlns:c="http://schemas.openxmlformats.org/drawingml/2006/chart">
  <cdr:relSizeAnchor xmlns:cdr="http://schemas.openxmlformats.org/drawingml/2006/chartDrawing">
    <cdr:from>
      <cdr:x>0.88956</cdr:x>
      <cdr:y>0.18377</cdr:y>
    </cdr:from>
    <cdr:to>
      <cdr:x>0.89024</cdr:x>
      <cdr:y>0.86693</cdr:y>
    </cdr:to>
    <cdr:cxnSp macro="">
      <cdr:nvCxnSpPr>
        <cdr:cNvPr id="2" name="Conector recto 1">
          <a:extLst xmlns:a="http://schemas.openxmlformats.org/drawingml/2006/main">
            <a:ext uri="{FF2B5EF4-FFF2-40B4-BE49-F238E27FC236}">
              <a16:creationId xmlns:a16="http://schemas.microsoft.com/office/drawing/2014/main" id="{A4250AD3-2DF7-4275-A4C4-D135B2B53B60}"/>
            </a:ext>
          </a:extLst>
        </cdr:cNvPr>
        <cdr:cNvCxnSpPr/>
      </cdr:nvCxnSpPr>
      <cdr:spPr bwMode="auto">
        <a:xfrm xmlns:a="http://schemas.openxmlformats.org/drawingml/2006/main" flipH="1" flipV="1">
          <a:off x="6666189" y="503399"/>
          <a:ext cx="5096" cy="1871392"/>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0.50658</cdr:x>
      <cdr:y>0.92955</cdr:y>
    </cdr:from>
    <cdr:to>
      <cdr:x>0.58138</cdr:x>
      <cdr:y>1</cdr:y>
    </cdr:to>
    <cdr:sp macro="" textlink="">
      <cdr:nvSpPr>
        <cdr:cNvPr id="4" name="CuadroTexto 1"/>
        <cdr:cNvSpPr txBox="1"/>
      </cdr:nvSpPr>
      <cdr:spPr>
        <a:xfrm xmlns:a="http://schemas.openxmlformats.org/drawingml/2006/main">
          <a:off x="3796232" y="2546332"/>
          <a:ext cx="560537" cy="1929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0.89593</cdr:x>
      <cdr:y>0.92955</cdr:y>
    </cdr:from>
    <cdr:to>
      <cdr:x>0.97071</cdr:x>
      <cdr:y>1</cdr:y>
    </cdr:to>
    <cdr:sp macro="" textlink="">
      <cdr:nvSpPr>
        <cdr:cNvPr id="5" name="CuadroTexto 1"/>
        <cdr:cNvSpPr txBox="1"/>
      </cdr:nvSpPr>
      <cdr:spPr>
        <a:xfrm xmlns:a="http://schemas.openxmlformats.org/drawingml/2006/main">
          <a:off x="6713957" y="2546332"/>
          <a:ext cx="560387" cy="1929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dr:relSizeAnchor xmlns:cdr="http://schemas.openxmlformats.org/drawingml/2006/chartDrawing">
    <cdr:from>
      <cdr:x>0.92036</cdr:x>
      <cdr:y>0.00912</cdr:y>
    </cdr:from>
    <cdr:to>
      <cdr:x>0.99082</cdr:x>
      <cdr:y>0.08025</cdr:y>
    </cdr:to>
    <cdr:sp macro="" textlink="">
      <cdr:nvSpPr>
        <cdr:cNvPr id="3" name="CuadroTexto 2"/>
        <cdr:cNvSpPr txBox="1"/>
      </cdr:nvSpPr>
      <cdr:spPr>
        <a:xfrm xmlns:a="http://schemas.openxmlformats.org/drawingml/2006/main">
          <a:off x="6935139" y="24434"/>
          <a:ext cx="530915" cy="190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s-ES" sz="800" b="0" i="0" u="none" strike="noStrike" kern="1200" baseline="0">
              <a:solidFill>
                <a:srgbClr val="004563"/>
              </a:solidFill>
              <a:latin typeface="Calibri" panose="020F0502020204030204" pitchFamily="34" charset="0"/>
              <a:ea typeface="+mn-ea"/>
              <a:cs typeface="+mn-cs"/>
            </a:rPr>
            <a:t>€/M</a:t>
          </a:r>
          <a:r>
            <a:rPr lang="es-ES" sz="800" b="0" i="0" u="none" strike="noStrike" kern="1200" baseline="0">
              <a:solidFill>
                <a:srgbClr val="004563"/>
              </a:solidFill>
              <a:latin typeface="+mn-lt"/>
              <a:ea typeface="+mn-ea"/>
              <a:cs typeface="+mn-cs"/>
            </a:rPr>
            <a:t>Wh</a:t>
          </a:r>
          <a:endParaRPr lang="en-US" sz="800" b="0" i="0" u="none" strike="noStrike" kern="1200" baseline="0">
            <a:solidFill>
              <a:srgbClr val="004563"/>
            </a:solidFill>
            <a:latin typeface="+mn-lt"/>
            <a:ea typeface="+mn-ea"/>
            <a:cs typeface="+mn-cs"/>
          </a:endParaRPr>
        </a:p>
        <a:p xmlns:a="http://schemas.openxmlformats.org/drawingml/2006/main">
          <a:endParaRPr lang="en-US" sz="1100"/>
        </a:p>
      </cdr:txBody>
    </cdr:sp>
  </cdr:relSizeAnchor>
</c:userShapes>
</file>

<file path=xl/drawings/drawing26.xml><?xml version="1.0" encoding="utf-8"?>
<xdr:wsDr xmlns:xdr="http://schemas.openxmlformats.org/drawingml/2006/spreadsheetDrawing" xmlns:a="http://schemas.openxmlformats.org/drawingml/2006/main">
  <xdr:twoCellAnchor>
    <xdr:from>
      <xdr:col>2</xdr:col>
      <xdr:colOff>1546</xdr:colOff>
      <xdr:row>20</xdr:row>
      <xdr:rowOff>11595</xdr:rowOff>
    </xdr:from>
    <xdr:to>
      <xdr:col>11</xdr:col>
      <xdr:colOff>745435</xdr:colOff>
      <xdr:row>39</xdr:row>
      <xdr:rowOff>85725</xdr:rowOff>
    </xdr:to>
    <xdr:graphicFrame macro="">
      <xdr:nvGraphicFramePr>
        <xdr:cNvPr id="2" name="Gráfico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11</xdr:col>
      <xdr:colOff>745433</xdr:colOff>
      <xdr:row>2</xdr:row>
      <xdr:rowOff>49694</xdr:rowOff>
    </xdr:to>
    <xdr:sp macro="" textlink="">
      <xdr:nvSpPr>
        <xdr:cNvPr id="4" name="Line 7">
          <a:extLst>
            <a:ext uri="{FF2B5EF4-FFF2-40B4-BE49-F238E27FC236}">
              <a16:creationId xmlns:a16="http://schemas.microsoft.com/office/drawing/2014/main" id="{00000000-0008-0000-0F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7896</xdr:colOff>
      <xdr:row>4</xdr:row>
      <xdr:rowOff>74543</xdr:rowOff>
    </xdr:from>
    <xdr:to>
      <xdr:col>11</xdr:col>
      <xdr:colOff>751785</xdr:colOff>
      <xdr:row>20</xdr:row>
      <xdr:rowOff>66510</xdr:rowOff>
    </xdr:to>
    <xdr:graphicFrame macro="">
      <xdr:nvGraphicFramePr>
        <xdr:cNvPr id="5" name="Gráfico 4">
          <a:extLst>
            <a:ext uri="{FF2B5EF4-FFF2-40B4-BE49-F238E27FC236}">
              <a16:creationId xmlns:a16="http://schemas.microsoft.com/office/drawing/2014/main" id="{00000000-0008-0000-0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57150</xdr:rowOff>
    </xdr:from>
    <xdr:to>
      <xdr:col>2</xdr:col>
      <xdr:colOff>190499</xdr:colOff>
      <xdr:row>1</xdr:row>
      <xdr:rowOff>113024</xdr:rowOff>
    </xdr:to>
    <xdr:pic>
      <xdr:nvPicPr>
        <xdr:cNvPr id="6" name="Imagen 5">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c:userShapes xmlns:c="http://schemas.openxmlformats.org/drawingml/2006/chart">
  <cdr:relSizeAnchor xmlns:cdr="http://schemas.openxmlformats.org/drawingml/2006/chartDrawing">
    <cdr:from>
      <cdr:x>0.89328</cdr:x>
      <cdr:y>0.08493</cdr:y>
    </cdr:from>
    <cdr:to>
      <cdr:x>0.89337</cdr:x>
      <cdr:y>0.70826</cdr:y>
    </cdr:to>
    <cdr:cxnSp macro="">
      <cdr:nvCxnSpPr>
        <cdr:cNvPr id="2" name="Conector recto 1">
          <a:extLst xmlns:a="http://schemas.openxmlformats.org/drawingml/2006/main">
            <a:ext uri="{FF2B5EF4-FFF2-40B4-BE49-F238E27FC236}">
              <a16:creationId xmlns:a16="http://schemas.microsoft.com/office/drawing/2014/main" id="{D9BBB0F4-FA4C-4C75-8C36-27DC0D4C33F6}"/>
            </a:ext>
          </a:extLst>
        </cdr:cNvPr>
        <cdr:cNvCxnSpPr/>
      </cdr:nvCxnSpPr>
      <cdr:spPr bwMode="auto">
        <a:xfrm xmlns:a="http://schemas.openxmlformats.org/drawingml/2006/main" flipH="1" flipV="1">
          <a:off x="6768050" y="282824"/>
          <a:ext cx="682" cy="207576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28.xml><?xml version="1.0" encoding="utf-8"?>
<c:userShapes xmlns:c="http://schemas.openxmlformats.org/drawingml/2006/chart">
  <cdr:relSizeAnchor xmlns:cdr="http://schemas.openxmlformats.org/drawingml/2006/chartDrawing">
    <cdr:from>
      <cdr:x>0.88793</cdr:x>
      <cdr:y>0.09862</cdr:y>
    </cdr:from>
    <cdr:to>
      <cdr:x>0.88883</cdr:x>
      <cdr:y>0.85624</cdr:y>
    </cdr:to>
    <cdr:cxnSp macro="">
      <cdr:nvCxnSpPr>
        <cdr:cNvPr id="2" name="Conector recto 1">
          <a:extLst xmlns:a="http://schemas.openxmlformats.org/drawingml/2006/main">
            <a:ext uri="{FF2B5EF4-FFF2-40B4-BE49-F238E27FC236}">
              <a16:creationId xmlns:a16="http://schemas.microsoft.com/office/drawing/2014/main" id="{BAE96333-9541-4A8E-A2D5-B8B3E78E9D1E}"/>
            </a:ext>
          </a:extLst>
        </cdr:cNvPr>
        <cdr:cNvCxnSpPr/>
      </cdr:nvCxnSpPr>
      <cdr:spPr bwMode="auto">
        <a:xfrm xmlns:a="http://schemas.openxmlformats.org/drawingml/2006/main" flipV="1">
          <a:off x="6727516" y="259931"/>
          <a:ext cx="6819" cy="1996814"/>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0.51379</cdr:x>
      <cdr:y>0.92593</cdr:y>
    </cdr:from>
    <cdr:to>
      <cdr:x>0.58859</cdr:x>
      <cdr:y>0.99639</cdr:y>
    </cdr:to>
    <cdr:sp macro="" textlink="">
      <cdr:nvSpPr>
        <cdr:cNvPr id="4" name="CuadroTexto 1"/>
        <cdr:cNvSpPr txBox="1"/>
      </cdr:nvSpPr>
      <cdr:spPr>
        <a:xfrm xmlns:a="http://schemas.openxmlformats.org/drawingml/2006/main">
          <a:off x="3892821" y="2440419"/>
          <a:ext cx="566731" cy="1857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0.89874</cdr:x>
      <cdr:y>0.92955</cdr:y>
    </cdr:from>
    <cdr:to>
      <cdr:x>0.97353</cdr:x>
      <cdr:y>1</cdr:y>
    </cdr:to>
    <cdr:sp macro="" textlink="">
      <cdr:nvSpPr>
        <cdr:cNvPr id="5" name="CuadroTexto 1"/>
        <cdr:cNvSpPr txBox="1"/>
      </cdr:nvSpPr>
      <cdr:spPr>
        <a:xfrm xmlns:a="http://schemas.openxmlformats.org/drawingml/2006/main">
          <a:off x="6809421" y="2449960"/>
          <a:ext cx="566655" cy="1856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userShapes>
</file>

<file path=xl/drawings/drawing29.xml><?xml version="1.0" encoding="utf-8"?>
<xdr:wsDr xmlns:xdr="http://schemas.openxmlformats.org/drawingml/2006/spreadsheetDrawing" xmlns:a="http://schemas.openxmlformats.org/drawingml/2006/main">
  <xdr:twoCellAnchor editAs="absolute">
    <xdr:from>
      <xdr:col>0</xdr:col>
      <xdr:colOff>165943</xdr:colOff>
      <xdr:row>2</xdr:row>
      <xdr:rowOff>20881</xdr:rowOff>
    </xdr:from>
    <xdr:to>
      <xdr:col>12</xdr:col>
      <xdr:colOff>91107</xdr:colOff>
      <xdr:row>2</xdr:row>
      <xdr:rowOff>49694</xdr:rowOff>
    </xdr:to>
    <xdr:sp macro="" textlink="">
      <xdr:nvSpPr>
        <xdr:cNvPr id="5" name="Line 7">
          <a:extLst>
            <a:ext uri="{FF2B5EF4-FFF2-40B4-BE49-F238E27FC236}">
              <a16:creationId xmlns:a16="http://schemas.microsoft.com/office/drawing/2014/main" id="{00000000-0008-0000-1000-000005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2</xdr:col>
      <xdr:colOff>0</xdr:colOff>
      <xdr:row>6</xdr:row>
      <xdr:rowOff>7620</xdr:rowOff>
    </xdr:from>
    <xdr:to>
      <xdr:col>11</xdr:col>
      <xdr:colOff>642289</xdr:colOff>
      <xdr:row>21</xdr:row>
      <xdr:rowOff>158336</xdr:rowOff>
    </xdr:to>
    <xdr:graphicFrame macro="">
      <xdr:nvGraphicFramePr>
        <xdr:cNvPr id="6" name="Gráfico 5">
          <a:extLst>
            <a:ext uri="{FF2B5EF4-FFF2-40B4-BE49-F238E27FC236}">
              <a16:creationId xmlns:a16="http://schemas.microsoft.com/office/drawing/2014/main" id="{00000000-0008-0000-1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22</xdr:row>
      <xdr:rowOff>0</xdr:rowOff>
    </xdr:from>
    <xdr:to>
      <xdr:col>11</xdr:col>
      <xdr:colOff>642289</xdr:colOff>
      <xdr:row>37</xdr:row>
      <xdr:rowOff>150716</xdr:rowOff>
    </xdr:to>
    <xdr:graphicFrame macro="">
      <xdr:nvGraphicFramePr>
        <xdr:cNvPr id="7" name="Gráfico 6">
          <a:extLst>
            <a:ext uri="{FF2B5EF4-FFF2-40B4-BE49-F238E27FC236}">
              <a16:creationId xmlns:a16="http://schemas.microsoft.com/office/drawing/2014/main" id="{00000000-0008-0000-1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9525</xdr:colOff>
      <xdr:row>0</xdr:row>
      <xdr:rowOff>57150</xdr:rowOff>
    </xdr:from>
    <xdr:to>
      <xdr:col>2</xdr:col>
      <xdr:colOff>285749</xdr:colOff>
      <xdr:row>1</xdr:row>
      <xdr:rowOff>113024</xdr:rowOff>
    </xdr:to>
    <xdr:pic>
      <xdr:nvPicPr>
        <xdr:cNvPr id="8" name="Imagen 7">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571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0.39525</cdr:x>
      <cdr:y>0.18975</cdr:y>
    </cdr:from>
    <cdr:to>
      <cdr:x>0.52474</cdr:x>
      <cdr:y>0.25075</cdr:y>
    </cdr:to>
    <cdr:sp macro="" textlink="">
      <cdr:nvSpPr>
        <cdr:cNvPr id="2" name="Texto 7"/>
        <cdr:cNvSpPr txBox="1">
          <a:spLocks xmlns:a="http://schemas.openxmlformats.org/drawingml/2006/main" noChangeArrowheads="1"/>
        </cdr:cNvSpPr>
      </cdr:nvSpPr>
      <cdr:spPr bwMode="auto">
        <a:xfrm xmlns:a="http://schemas.openxmlformats.org/drawingml/2006/main">
          <a:off x="2228724" y="487990"/>
          <a:ext cx="730168" cy="156876"/>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a:t>
          </a:r>
          <a:r>
            <a:rPr lang="es-ES" sz="800" b="0" i="0" strike="noStrike">
              <a:solidFill>
                <a:srgbClr val="004563"/>
              </a:solidFill>
              <a:latin typeface="+mn-lt"/>
              <a:cs typeface="Arial"/>
            </a:rPr>
            <a:t>áximo </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0.18751</cdr:x>
      <cdr:y>0.72336</cdr:y>
    </cdr:from>
    <cdr:to>
      <cdr:x>0.31701</cdr:x>
      <cdr:y>0.78435</cdr:y>
    </cdr:to>
    <cdr:sp macro="" textlink="">
      <cdr:nvSpPr>
        <cdr:cNvPr id="3" name="Texto 7"/>
        <cdr:cNvSpPr txBox="1">
          <a:spLocks xmlns:a="http://schemas.openxmlformats.org/drawingml/2006/main" noChangeArrowheads="1"/>
        </cdr:cNvSpPr>
      </cdr:nvSpPr>
      <cdr:spPr bwMode="auto">
        <a:xfrm xmlns:a="http://schemas.openxmlformats.org/drawingml/2006/main">
          <a:off x="1057342" y="1860293"/>
          <a:ext cx="730225" cy="156851"/>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18288" tIns="22860" rIns="18288" bIns="22860" anchor="ctr"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s-ES" sz="800" b="0" i="0" strike="noStrike">
              <a:solidFill>
                <a:srgbClr val="004563"/>
              </a:solidFill>
              <a:latin typeface="+mn-lt"/>
              <a:cs typeface="Arial"/>
            </a:rPr>
            <a:t>Precio</a:t>
          </a:r>
          <a:r>
            <a:rPr lang="es-ES" sz="800" b="0" i="0" strike="noStrike" baseline="0">
              <a:solidFill>
                <a:srgbClr val="004563"/>
              </a:solidFill>
              <a:latin typeface="+mn-lt"/>
              <a:cs typeface="Arial"/>
            </a:rPr>
            <a:t> mínimo</a:t>
          </a:r>
          <a:endParaRPr lang="es-ES" sz="800" b="0" i="0" strike="noStrike">
            <a:solidFill>
              <a:srgbClr val="004563"/>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0.91852</cdr:y>
    </cdr:from>
    <cdr:to>
      <cdr:x>0.15842</cdr:x>
      <cdr:y>1</cdr:y>
    </cdr:to>
    <cdr:sp macro="" textlink="">
      <cdr:nvSpPr>
        <cdr:cNvPr id="4" name="CuadroTexto 3"/>
        <cdr:cNvSpPr txBox="1"/>
      </cdr:nvSpPr>
      <cdr:spPr>
        <a:xfrm xmlns:a="http://schemas.openxmlformats.org/drawingml/2006/main">
          <a:off x="0" y="2362200"/>
          <a:ext cx="914400" cy="2095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userShapes>
</file>

<file path=xl/drawings/drawing30.xml><?xml version="1.0" encoding="utf-8"?>
<c:userShapes xmlns:c="http://schemas.openxmlformats.org/drawingml/2006/chart">
  <cdr:relSizeAnchor xmlns:cdr="http://schemas.openxmlformats.org/drawingml/2006/chartDrawing">
    <cdr:from>
      <cdr:x>0.88729</cdr:x>
      <cdr:y>0.09662</cdr:y>
    </cdr:from>
    <cdr:to>
      <cdr:x>0.88928</cdr:x>
      <cdr:y>0.86246</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V="1">
          <a:off x="6663402" y="253851"/>
          <a:ext cx="14944" cy="201202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0.50984</cdr:x>
      <cdr:y>0.92954</cdr:y>
    </cdr:from>
    <cdr:to>
      <cdr:x>0.58556</cdr:x>
      <cdr:y>1</cdr:y>
    </cdr:to>
    <cdr:sp macro="" textlink="">
      <cdr:nvSpPr>
        <cdr:cNvPr id="4" name="CuadroTexto 1"/>
        <cdr:cNvSpPr txBox="1"/>
      </cdr:nvSpPr>
      <cdr:spPr>
        <a:xfrm xmlns:a="http://schemas.openxmlformats.org/drawingml/2006/main">
          <a:off x="3828790" y="2442102"/>
          <a:ext cx="568643" cy="1851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0.89538</cdr:x>
      <cdr:y>0.92955</cdr:y>
    </cdr:from>
    <cdr:to>
      <cdr:x>0.97109</cdr:x>
      <cdr:y>1</cdr:y>
    </cdr:to>
    <cdr:sp macro="" textlink="">
      <cdr:nvSpPr>
        <cdr:cNvPr id="5" name="CuadroTexto 1"/>
        <cdr:cNvSpPr txBox="1"/>
      </cdr:nvSpPr>
      <cdr:spPr>
        <a:xfrm xmlns:a="http://schemas.openxmlformats.org/drawingml/2006/main">
          <a:off x="6724172" y="2442129"/>
          <a:ext cx="568568" cy="1850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userShapes>
</file>

<file path=xl/drawings/drawing31.xml><?xml version="1.0" encoding="utf-8"?>
<c:userShapes xmlns:c="http://schemas.openxmlformats.org/drawingml/2006/chart">
  <cdr:relSizeAnchor xmlns:cdr="http://schemas.openxmlformats.org/drawingml/2006/chartDrawing">
    <cdr:from>
      <cdr:x>0.88343</cdr:x>
      <cdr:y>0.03344</cdr:y>
    </cdr:from>
    <cdr:to>
      <cdr:x>0.88382</cdr:x>
      <cdr:y>0.80121</cdr:y>
    </cdr:to>
    <cdr:cxnSp macro="">
      <cdr:nvCxnSpPr>
        <cdr:cNvPr id="2" name="Conector recto 1">
          <a:extLst xmlns:a="http://schemas.openxmlformats.org/drawingml/2006/main">
            <a:ext uri="{FF2B5EF4-FFF2-40B4-BE49-F238E27FC236}">
              <a16:creationId xmlns:a16="http://schemas.microsoft.com/office/drawing/2014/main" id="{4978C52C-6726-470F-8779-4B2C80376941}"/>
            </a:ext>
          </a:extLst>
        </cdr:cNvPr>
        <cdr:cNvCxnSpPr/>
      </cdr:nvCxnSpPr>
      <cdr:spPr bwMode="auto">
        <a:xfrm xmlns:a="http://schemas.openxmlformats.org/drawingml/2006/main" flipV="1">
          <a:off x="6634376" y="86255"/>
          <a:ext cx="2929" cy="198053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2.xml><?xml version="1.0" encoding="utf-8"?>
<xdr:wsDr xmlns:xdr="http://schemas.openxmlformats.org/drawingml/2006/spreadsheetDrawing" xmlns:a="http://schemas.openxmlformats.org/drawingml/2006/main">
  <xdr:twoCellAnchor>
    <xdr:from>
      <xdr:col>1</xdr:col>
      <xdr:colOff>1427811</xdr:colOff>
      <xdr:row>21</xdr:row>
      <xdr:rowOff>24846</xdr:rowOff>
    </xdr:from>
    <xdr:to>
      <xdr:col>11</xdr:col>
      <xdr:colOff>584200</xdr:colOff>
      <xdr:row>39</xdr:row>
      <xdr:rowOff>91107</xdr:rowOff>
    </xdr:to>
    <xdr:graphicFrame macro="">
      <xdr:nvGraphicFramePr>
        <xdr:cNvPr id="2" name="Gráfico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165943</xdr:colOff>
      <xdr:row>2</xdr:row>
      <xdr:rowOff>20881</xdr:rowOff>
    </xdr:from>
    <xdr:to>
      <xdr:col>12</xdr:col>
      <xdr:colOff>132520</xdr:colOff>
      <xdr:row>2</xdr:row>
      <xdr:rowOff>49694</xdr:rowOff>
    </xdr:to>
    <xdr:sp macro="" textlink="">
      <xdr:nvSpPr>
        <xdr:cNvPr id="4" name="Line 7">
          <a:extLst>
            <a:ext uri="{FF2B5EF4-FFF2-40B4-BE49-F238E27FC236}">
              <a16:creationId xmlns:a16="http://schemas.microsoft.com/office/drawing/2014/main" id="{00000000-0008-0000-1100-000004000000}"/>
            </a:ext>
          </a:extLst>
        </xdr:cNvPr>
        <xdr:cNvSpPr>
          <a:spLocks noChangeShapeType="1"/>
        </xdr:cNvSpPr>
      </xdr:nvSpPr>
      <xdr:spPr bwMode="auto">
        <a:xfrm flipH="1" flipV="1">
          <a:off x="165943" y="344731"/>
          <a:ext cx="9209140" cy="28813"/>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1427811</xdr:colOff>
      <xdr:row>5</xdr:row>
      <xdr:rowOff>96906</xdr:rowOff>
    </xdr:from>
    <xdr:to>
      <xdr:col>11</xdr:col>
      <xdr:colOff>590550</xdr:colOff>
      <xdr:row>21</xdr:row>
      <xdr:rowOff>88872</xdr:rowOff>
    </xdr:to>
    <xdr:graphicFrame macro="">
      <xdr:nvGraphicFramePr>
        <xdr:cNvPr id="5" name="Gráfico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47625</xdr:rowOff>
    </xdr:from>
    <xdr:to>
      <xdr:col>2</xdr:col>
      <xdr:colOff>333374</xdr:colOff>
      <xdr:row>1</xdr:row>
      <xdr:rowOff>103499</xdr:rowOff>
    </xdr:to>
    <xdr:pic>
      <xdr:nvPicPr>
        <xdr:cNvPr id="6" name="Imagen 5">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476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c:userShapes xmlns:c="http://schemas.openxmlformats.org/drawingml/2006/chart">
  <cdr:relSizeAnchor xmlns:cdr="http://schemas.openxmlformats.org/drawingml/2006/chartDrawing">
    <cdr:from>
      <cdr:x>0.88488</cdr:x>
      <cdr:y>0.09326</cdr:y>
    </cdr:from>
    <cdr:to>
      <cdr:x>0.88516</cdr:x>
      <cdr:y>0.76647</cdr:y>
    </cdr:to>
    <cdr:cxnSp macro="">
      <cdr:nvCxnSpPr>
        <cdr:cNvPr id="2" name="Conector recto 1">
          <a:extLst xmlns:a="http://schemas.openxmlformats.org/drawingml/2006/main">
            <a:ext uri="{FF2B5EF4-FFF2-40B4-BE49-F238E27FC236}">
              <a16:creationId xmlns:a16="http://schemas.microsoft.com/office/drawing/2014/main" id="{03A53757-7F0A-4AB4-8E0F-84271E3F2F9A}"/>
            </a:ext>
          </a:extLst>
        </cdr:cNvPr>
        <cdr:cNvCxnSpPr/>
      </cdr:nvCxnSpPr>
      <cdr:spPr bwMode="auto">
        <a:xfrm xmlns:a="http://schemas.openxmlformats.org/drawingml/2006/main" flipH="1" flipV="1">
          <a:off x="6608538" y="277698"/>
          <a:ext cx="2091" cy="200460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34.xml><?xml version="1.0" encoding="utf-8"?>
<c:userShapes xmlns:c="http://schemas.openxmlformats.org/drawingml/2006/chart">
  <cdr:relSizeAnchor xmlns:cdr="http://schemas.openxmlformats.org/drawingml/2006/chartDrawing">
    <cdr:from>
      <cdr:x>0.51469</cdr:x>
      <cdr:y>0.92954</cdr:y>
    </cdr:from>
    <cdr:to>
      <cdr:x>0.59041</cdr:x>
      <cdr:y>1</cdr:y>
    </cdr:to>
    <cdr:sp macro="" textlink="">
      <cdr:nvSpPr>
        <cdr:cNvPr id="4" name="CuadroTexto 1"/>
        <cdr:cNvSpPr txBox="1"/>
      </cdr:nvSpPr>
      <cdr:spPr>
        <a:xfrm xmlns:a="http://schemas.openxmlformats.org/drawingml/2006/main">
          <a:off x="3847120" y="2398112"/>
          <a:ext cx="565981" cy="1817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0.89036</cdr:x>
      <cdr:y>0.92955</cdr:y>
    </cdr:from>
    <cdr:to>
      <cdr:x>0.96607</cdr:x>
      <cdr:y>1</cdr:y>
    </cdr:to>
    <cdr:sp macro="" textlink="">
      <cdr:nvSpPr>
        <cdr:cNvPr id="5" name="CuadroTexto 1"/>
        <cdr:cNvSpPr txBox="1"/>
      </cdr:nvSpPr>
      <cdr:spPr>
        <a:xfrm xmlns:a="http://schemas.openxmlformats.org/drawingml/2006/main">
          <a:off x="6655127" y="2398138"/>
          <a:ext cx="565906" cy="1817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dr:relSizeAnchor xmlns:cdr="http://schemas.openxmlformats.org/drawingml/2006/chartDrawing">
    <cdr:from>
      <cdr:x>0.88528</cdr:x>
      <cdr:y>0.18016</cdr:y>
    </cdr:from>
    <cdr:to>
      <cdr:x>0.88556</cdr:x>
      <cdr:y>0.85337</cdr:y>
    </cdr:to>
    <cdr:cxnSp macro="">
      <cdr:nvCxnSpPr>
        <cdr:cNvPr id="8" name="Conector recto 1">
          <a:extLst xmlns:a="http://schemas.openxmlformats.org/drawingml/2006/main">
            <a:ext uri="{FF2B5EF4-FFF2-40B4-BE49-F238E27FC236}">
              <a16:creationId xmlns:a16="http://schemas.microsoft.com/office/drawing/2014/main" id="{03A53757-7F0A-4AB4-8E0F-84271E3F2F9A}"/>
            </a:ext>
          </a:extLst>
        </cdr:cNvPr>
        <cdr:cNvCxnSpPr/>
      </cdr:nvCxnSpPr>
      <cdr:spPr bwMode="auto">
        <a:xfrm xmlns:a="http://schemas.openxmlformats.org/drawingml/2006/main" flipH="1" flipV="1">
          <a:off x="6617142" y="464785"/>
          <a:ext cx="2093" cy="1736809"/>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userShapes>
</file>

<file path=xl/drawings/drawing4.xml><?xml version="1.0" encoding="utf-8"?>
<xdr:wsDr xmlns:xdr="http://schemas.openxmlformats.org/drawingml/2006/spreadsheetDrawing" xmlns:a="http://schemas.openxmlformats.org/drawingml/2006/main">
  <xdr:twoCellAnchor editAs="absolute">
    <xdr:from>
      <xdr:col>2</xdr:col>
      <xdr:colOff>15240</xdr:colOff>
      <xdr:row>3</xdr:row>
      <xdr:rowOff>30480</xdr:rowOff>
    </xdr:from>
    <xdr:to>
      <xdr:col>5</xdr:col>
      <xdr:colOff>0</xdr:colOff>
      <xdr:row>3</xdr:row>
      <xdr:rowOff>30480</xdr:rowOff>
    </xdr:to>
    <xdr:sp macro="" textlink="">
      <xdr:nvSpPr>
        <xdr:cNvPr id="3" name="Line 7">
          <a:extLst>
            <a:ext uri="{FF2B5EF4-FFF2-40B4-BE49-F238E27FC236}">
              <a16:creationId xmlns:a16="http://schemas.microsoft.com/office/drawing/2014/main" id="{00000000-0008-0000-0400-000003000000}"/>
            </a:ext>
          </a:extLst>
        </xdr:cNvPr>
        <xdr:cNvSpPr>
          <a:spLocks noChangeShapeType="1"/>
        </xdr:cNvSpPr>
      </xdr:nvSpPr>
      <xdr:spPr bwMode="auto">
        <a:xfrm flipH="1">
          <a:off x="205740" y="487680"/>
          <a:ext cx="8700135"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7620</xdr:colOff>
      <xdr:row>5</xdr:row>
      <xdr:rowOff>152400</xdr:rowOff>
    </xdr:from>
    <xdr:to>
      <xdr:col>5</xdr:col>
      <xdr:colOff>17145</xdr:colOff>
      <xdr:row>24</xdr:row>
      <xdr:rowOff>142875</xdr:rowOff>
    </xdr:to>
    <xdr:graphicFrame macro="">
      <xdr:nvGraphicFramePr>
        <xdr:cNvPr id="4" name="11 Gráfico">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38100</xdr:colOff>
      <xdr:row>1</xdr:row>
      <xdr:rowOff>133350</xdr:rowOff>
    </xdr:from>
    <xdr:to>
      <xdr:col>4</xdr:col>
      <xdr:colOff>133349</xdr:colOff>
      <xdr:row>2</xdr:row>
      <xdr:rowOff>84449</xdr:rowOff>
    </xdr:to>
    <xdr:pic>
      <xdr:nvPicPr>
        <xdr:cNvPr id="6" name="Imagen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2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c:userShapes xmlns:c="http://schemas.openxmlformats.org/drawingml/2006/chart">
  <cdr:relSizeAnchor xmlns:cdr="http://schemas.openxmlformats.org/drawingml/2006/chartDrawing">
    <cdr:from>
      <cdr:x>0.89217</cdr:x>
      <cdr:y>0.19797</cdr:y>
    </cdr:from>
    <cdr:to>
      <cdr:x>0.89253</cdr:x>
      <cdr:y>0.88352</cdr:y>
    </cdr:to>
    <cdr:cxnSp macro="">
      <cdr:nvCxnSpPr>
        <cdr:cNvPr id="6" name="Conector recto 5">
          <a:extLst xmlns:a="http://schemas.openxmlformats.org/drawingml/2006/main">
            <a:ext uri="{FF2B5EF4-FFF2-40B4-BE49-F238E27FC236}">
              <a16:creationId xmlns:a16="http://schemas.microsoft.com/office/drawing/2014/main" id="{A261F348-FFFD-4132-89C0-88830F2E56F0}"/>
            </a:ext>
          </a:extLst>
        </cdr:cNvPr>
        <cdr:cNvCxnSpPr/>
      </cdr:nvCxnSpPr>
      <cdr:spPr bwMode="auto">
        <a:xfrm xmlns:a="http://schemas.openxmlformats.org/drawingml/2006/main" flipH="1" flipV="1">
          <a:off x="6288318" y="605361"/>
          <a:ext cx="2537" cy="209630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0.04364</cdr:x>
      <cdr:y>0.10041</cdr:y>
    </cdr:from>
    <cdr:to>
      <cdr:x>0.08019</cdr:x>
      <cdr:y>0.17134</cdr:y>
    </cdr:to>
    <cdr:sp macro="" textlink="">
      <cdr:nvSpPr>
        <cdr:cNvPr id="3" name="CuadroTexto 5"/>
        <cdr:cNvSpPr txBox="1"/>
      </cdr:nvSpPr>
      <cdr:spPr>
        <a:xfrm xmlns:a="http://schemas.openxmlformats.org/drawingml/2006/main">
          <a:off x="307993" y="307974"/>
          <a:ext cx="257971" cy="21754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n-US" sz="800">
              <a:solidFill>
                <a:srgbClr val="004563"/>
              </a:solidFill>
            </a:rPr>
            <a:t>%</a:t>
          </a:r>
        </a:p>
      </cdr:txBody>
    </cdr:sp>
  </cdr:relSizeAnchor>
  <cdr:relSizeAnchor xmlns:cdr="http://schemas.openxmlformats.org/drawingml/2006/chartDrawing">
    <cdr:from>
      <cdr:x>0.89585</cdr:x>
      <cdr:y>0.92594</cdr:y>
    </cdr:from>
    <cdr:to>
      <cdr:x>0.97566</cdr:x>
      <cdr:y>0.98801</cdr:y>
    </cdr:to>
    <cdr:sp macro="" textlink="">
      <cdr:nvSpPr>
        <cdr:cNvPr id="5" name="CuadroTexto 1"/>
        <cdr:cNvSpPr txBox="1"/>
      </cdr:nvSpPr>
      <cdr:spPr>
        <a:xfrm xmlns:a="http://schemas.openxmlformats.org/drawingml/2006/main">
          <a:off x="6314240" y="2831384"/>
          <a:ext cx="562528" cy="189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2026</a:t>
          </a:r>
        </a:p>
      </cdr:txBody>
    </cdr:sp>
  </cdr:relSizeAnchor>
  <cdr:relSizeAnchor xmlns:cdr="http://schemas.openxmlformats.org/drawingml/2006/chartDrawing">
    <cdr:from>
      <cdr:x>0.00387</cdr:x>
      <cdr:y>0.93168</cdr:y>
    </cdr:from>
    <cdr:to>
      <cdr:x>0.13342</cdr:x>
      <cdr:y>1</cdr:y>
    </cdr:to>
    <cdr:sp macro="" textlink="">
      <cdr:nvSpPr>
        <cdr:cNvPr id="7" name="CuadroTexto 1"/>
        <cdr:cNvSpPr txBox="1"/>
      </cdr:nvSpPr>
      <cdr:spPr>
        <a:xfrm xmlns:a="http://schemas.openxmlformats.org/drawingml/2006/main">
          <a:off x="28575" y="2854551"/>
          <a:ext cx="955911" cy="20932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Fuente: OMIE</a:t>
          </a:r>
        </a:p>
      </cdr:txBody>
    </cdr:sp>
  </cdr:relSizeAnchor>
  <cdr:relSizeAnchor xmlns:cdr="http://schemas.openxmlformats.org/drawingml/2006/chartDrawing">
    <cdr:from>
      <cdr:x>0.45451</cdr:x>
      <cdr:y>0.92115</cdr:y>
    </cdr:from>
    <cdr:to>
      <cdr:x>0.53432</cdr:x>
      <cdr:y>0.98323</cdr:y>
    </cdr:to>
    <cdr:sp macro="" textlink="">
      <cdr:nvSpPr>
        <cdr:cNvPr id="2" name="CuadroTexto 1">
          <a:extLst xmlns:a="http://schemas.openxmlformats.org/drawingml/2006/main">
            <a:ext uri="{FF2B5EF4-FFF2-40B4-BE49-F238E27FC236}">
              <a16:creationId xmlns:a16="http://schemas.microsoft.com/office/drawing/2014/main" id="{AA5C2CE9-81A6-A4E1-7141-53FC662A9295}"/>
            </a:ext>
          </a:extLst>
        </cdr:cNvPr>
        <cdr:cNvSpPr txBox="1"/>
      </cdr:nvSpPr>
      <cdr:spPr>
        <a:xfrm xmlns:a="http://schemas.openxmlformats.org/drawingml/2006/main">
          <a:off x="3203506" y="2816737"/>
          <a:ext cx="562528" cy="18983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2</xdr:col>
      <xdr:colOff>15240</xdr:colOff>
      <xdr:row>3</xdr:row>
      <xdr:rowOff>30480</xdr:rowOff>
    </xdr:from>
    <xdr:to>
      <xdr:col>5</xdr:col>
      <xdr:colOff>0</xdr:colOff>
      <xdr:row>3</xdr:row>
      <xdr:rowOff>30480</xdr:rowOff>
    </xdr:to>
    <xdr:sp macro="" textlink="">
      <xdr:nvSpPr>
        <xdr:cNvPr id="27715036" name="Line 7">
          <a:extLst>
            <a:ext uri="{FF2B5EF4-FFF2-40B4-BE49-F238E27FC236}">
              <a16:creationId xmlns:a16="http://schemas.microsoft.com/office/drawing/2014/main" id="{00000000-0008-0000-0500-0000DCE5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477</xdr:colOff>
      <xdr:row>5</xdr:row>
      <xdr:rowOff>152400</xdr:rowOff>
    </xdr:from>
    <xdr:to>
      <xdr:col>5</xdr:col>
      <xdr:colOff>7620</xdr:colOff>
      <xdr:row>24</xdr:row>
      <xdr:rowOff>7620</xdr:rowOff>
    </xdr:to>
    <xdr:graphicFrame macro="">
      <xdr:nvGraphicFramePr>
        <xdr:cNvPr id="27715037" name="11 Gráfico">
          <a:extLst>
            <a:ext uri="{FF2B5EF4-FFF2-40B4-BE49-F238E27FC236}">
              <a16:creationId xmlns:a16="http://schemas.microsoft.com/office/drawing/2014/main" id="{00000000-0008-0000-0500-0000DDE5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123825</xdr:colOff>
      <xdr:row>7</xdr:row>
      <xdr:rowOff>0</xdr:rowOff>
    </xdr:from>
    <xdr:ext cx="509627" cy="210250"/>
    <xdr:sp macro="" textlink="">
      <xdr:nvSpPr>
        <xdr:cNvPr id="2" name="CuadroTexto 1">
          <a:extLst>
            <a:ext uri="{FF2B5EF4-FFF2-40B4-BE49-F238E27FC236}">
              <a16:creationId xmlns:a16="http://schemas.microsoft.com/office/drawing/2014/main" id="{00000000-0008-0000-0500-000002000000}"/>
            </a:ext>
          </a:extLst>
        </xdr:cNvPr>
        <xdr:cNvSpPr txBox="1"/>
      </xdr:nvSpPr>
      <xdr:spPr>
        <a:xfrm>
          <a:off x="1981200" y="1181100"/>
          <a:ext cx="509627" cy="210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indent="0" defTabSz="914400" rtl="0" eaLnBrk="1" fontAlgn="auto" latinLnBrk="0" hangingPunct="1">
            <a:lnSpc>
              <a:spcPct val="100000"/>
            </a:lnSpc>
            <a:spcBef>
              <a:spcPts val="0"/>
            </a:spcBef>
            <a:spcAft>
              <a:spcPts val="0"/>
            </a:spcAft>
            <a:buClrTx/>
            <a:buSzTx/>
            <a:buFontTx/>
            <a:buNone/>
            <a:tabLst/>
            <a:defRPr/>
          </a:pPr>
          <a:r>
            <a:rPr lang="es-ES" sz="800" b="0" i="0" baseline="0">
              <a:solidFill>
                <a:srgbClr val="004563"/>
              </a:solidFill>
              <a:effectLst/>
              <a:latin typeface="Arial" panose="020B0604020202020204" pitchFamily="34" charset="0"/>
              <a:ea typeface="+mn-ea"/>
              <a:cs typeface="Arial" panose="020B0604020202020204" pitchFamily="34" charset="0"/>
            </a:rPr>
            <a:t>€/MWh</a:t>
          </a:r>
          <a:endParaRPr lang="en-US" sz="800">
            <a:solidFill>
              <a:srgbClr val="004563"/>
            </a:solidFill>
            <a:effectLst/>
            <a:latin typeface="Arial" panose="020B0604020202020204" pitchFamily="34" charset="0"/>
            <a:cs typeface="Arial" panose="020B0604020202020204" pitchFamily="34" charset="0"/>
          </a:endParaRPr>
        </a:p>
      </xdr:txBody>
    </xdr:sp>
    <xdr:clientData/>
  </xdr:oneCellAnchor>
  <xdr:twoCellAnchor editAs="oneCell">
    <xdr:from>
      <xdr:col>2</xdr:col>
      <xdr:colOff>47625</xdr:colOff>
      <xdr:row>1</xdr:row>
      <xdr:rowOff>123825</xdr:rowOff>
    </xdr:from>
    <xdr:to>
      <xdr:col>4</xdr:col>
      <xdr:colOff>142874</xdr:colOff>
      <xdr:row>2</xdr:row>
      <xdr:rowOff>74924</xdr:rowOff>
    </xdr:to>
    <xdr:pic>
      <xdr:nvPicPr>
        <xdr:cNvPr id="6" name="Imagen 5">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7650" y="123825"/>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c:userShapes xmlns:c="http://schemas.openxmlformats.org/drawingml/2006/chart">
  <cdr:relSizeAnchor xmlns:cdr="http://schemas.openxmlformats.org/drawingml/2006/chartDrawing">
    <cdr:from>
      <cdr:x>0.4586</cdr:x>
      <cdr:y>0.90702</cdr:y>
    </cdr:from>
    <cdr:to>
      <cdr:x>0.5384</cdr:x>
      <cdr:y>0.97073</cdr:y>
    </cdr:to>
    <cdr:sp macro="" textlink="">
      <cdr:nvSpPr>
        <cdr:cNvPr id="4" name="CuadroTexto 1"/>
        <cdr:cNvSpPr txBox="1"/>
      </cdr:nvSpPr>
      <cdr:spPr>
        <a:xfrm xmlns:a="http://schemas.openxmlformats.org/drawingml/2006/main">
          <a:off x="3230076" y="2748471"/>
          <a:ext cx="562060" cy="1930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a:solidFill>
                <a:srgbClr val="004563"/>
              </a:solidFill>
              <a:latin typeface="Arial" panose="020B0604020202020204" pitchFamily="34" charset="0"/>
              <a:cs typeface="Arial" panose="020B0604020202020204" pitchFamily="34" charset="0"/>
            </a:rPr>
            <a:t>2025</a:t>
          </a:r>
        </a:p>
      </cdr:txBody>
    </cdr:sp>
  </cdr:relSizeAnchor>
  <cdr:relSizeAnchor xmlns:cdr="http://schemas.openxmlformats.org/drawingml/2006/chartDrawing">
    <cdr:from>
      <cdr:x>0.89001</cdr:x>
      <cdr:y>0.16444</cdr:y>
    </cdr:from>
    <cdr:to>
      <cdr:x>0.89285</cdr:x>
      <cdr:y>0.84756</cdr:y>
    </cdr:to>
    <cdr:cxnSp macro="">
      <cdr:nvCxnSpPr>
        <cdr:cNvPr id="6" name="Conector recto 5">
          <a:extLst xmlns:a="http://schemas.openxmlformats.org/drawingml/2006/main">
            <a:ext uri="{FF2B5EF4-FFF2-40B4-BE49-F238E27FC236}">
              <a16:creationId xmlns:a16="http://schemas.microsoft.com/office/drawing/2014/main" id="{56E16FCA-99CF-43B3-BB7A-1056A4EBE1B6}"/>
            </a:ext>
          </a:extLst>
        </cdr:cNvPr>
        <cdr:cNvCxnSpPr/>
      </cdr:nvCxnSpPr>
      <cdr:spPr bwMode="auto">
        <a:xfrm xmlns:a="http://schemas.openxmlformats.org/drawingml/2006/main" flipV="1">
          <a:off x="6268621" y="498290"/>
          <a:ext cx="20003" cy="2070003"/>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4563"/>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0.9005</cdr:x>
      <cdr:y>0.91137</cdr:y>
    </cdr:from>
    <cdr:to>
      <cdr:x>0.98031</cdr:x>
      <cdr:y>0.97487</cdr:y>
    </cdr:to>
    <cdr:sp macro="" textlink="">
      <cdr:nvSpPr>
        <cdr:cNvPr id="5" name="CuadroTexto 1"/>
        <cdr:cNvSpPr txBox="1"/>
      </cdr:nvSpPr>
      <cdr:spPr>
        <a:xfrm xmlns:a="http://schemas.openxmlformats.org/drawingml/2006/main">
          <a:off x="6342574" y="2761652"/>
          <a:ext cx="562130" cy="1924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BZ" sz="800">
              <a:solidFill>
                <a:srgbClr val="004563"/>
              </a:solidFill>
              <a:latin typeface="Arial" panose="020B0604020202020204" pitchFamily="34" charset="0"/>
              <a:cs typeface="Arial" panose="020B0604020202020204" pitchFamily="34" charset="0"/>
            </a:rPr>
            <a:t>202</a:t>
          </a:r>
          <a:r>
            <a:rPr lang="es-ES" sz="800">
              <a:solidFill>
                <a:srgbClr val="004563"/>
              </a:solidFill>
              <a:latin typeface="Arial" panose="020B0604020202020204" pitchFamily="34" charset="0"/>
              <a:cs typeface="Arial" panose="020B0604020202020204" pitchFamily="34" charset="0"/>
            </a:rPr>
            <a:t>6</a:t>
          </a:r>
        </a:p>
      </cdr:txBody>
    </cdr:sp>
  </cdr:relSizeAnchor>
</c:userShapes>
</file>

<file path=xl/drawings/drawing8.xml><?xml version="1.0" encoding="utf-8"?>
<xdr:wsDr xmlns:xdr="http://schemas.openxmlformats.org/drawingml/2006/spreadsheetDrawing" xmlns:a="http://schemas.openxmlformats.org/drawingml/2006/main">
  <xdr:twoCellAnchor editAs="absolute">
    <xdr:from>
      <xdr:col>1</xdr:col>
      <xdr:colOff>7619</xdr:colOff>
      <xdr:row>3</xdr:row>
      <xdr:rowOff>0</xdr:rowOff>
    </xdr:from>
    <xdr:to>
      <xdr:col>7</xdr:col>
      <xdr:colOff>647699</xdr:colOff>
      <xdr:row>3</xdr:row>
      <xdr:rowOff>3810</xdr:rowOff>
    </xdr:to>
    <xdr:sp macro="" textlink="">
      <xdr:nvSpPr>
        <xdr:cNvPr id="4" name="Line 7">
          <a:extLst>
            <a:ext uri="{FF2B5EF4-FFF2-40B4-BE49-F238E27FC236}">
              <a16:creationId xmlns:a16="http://schemas.microsoft.com/office/drawing/2014/main" id="{00000000-0008-0000-0600-000004000000}"/>
            </a:ext>
          </a:extLst>
        </xdr:cNvPr>
        <xdr:cNvSpPr>
          <a:spLocks noChangeShapeType="1"/>
        </xdr:cNvSpPr>
      </xdr:nvSpPr>
      <xdr:spPr bwMode="auto">
        <a:xfrm flipH="1">
          <a:off x="264794" y="485775"/>
          <a:ext cx="6136005" cy="381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1</xdr:col>
      <xdr:colOff>1533525</xdr:colOff>
      <xdr:row>3</xdr:row>
      <xdr:rowOff>109536</xdr:rowOff>
    </xdr:from>
    <xdr:to>
      <xdr:col>7</xdr:col>
      <xdr:colOff>695325</xdr:colOff>
      <xdr:row>24</xdr:row>
      <xdr:rowOff>104774</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206375</xdr:colOff>
      <xdr:row>4</xdr:row>
      <xdr:rowOff>82550</xdr:rowOff>
    </xdr:from>
    <xdr:to>
      <xdr:col>3</xdr:col>
      <xdr:colOff>463550</xdr:colOff>
      <xdr:row>6</xdr:row>
      <xdr:rowOff>15875</xdr:rowOff>
    </xdr:to>
    <xdr:sp macro="" textlink="$L$30">
      <xdr:nvSpPr>
        <xdr:cNvPr id="6" name="CuadroTexto 5">
          <a:extLst>
            <a:ext uri="{FF2B5EF4-FFF2-40B4-BE49-F238E27FC236}">
              <a16:creationId xmlns:a16="http://schemas.microsoft.com/office/drawing/2014/main" id="{00000000-0008-0000-0600-000006000000}"/>
            </a:ext>
          </a:extLst>
        </xdr:cNvPr>
        <xdr:cNvSpPr txBox="1"/>
      </xdr:nvSpPr>
      <xdr:spPr>
        <a:xfrm>
          <a:off x="2101850" y="730250"/>
          <a:ext cx="1057275" cy="257175"/>
        </a:xfrm>
        <a:prstGeom prst="rect">
          <a:avLst/>
        </a:prstGeom>
        <a:solidFill>
          <a:srgbClr val="F5F5F5"/>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ctr" anchorCtr="0"/>
        <a:lstStyle/>
        <a:p>
          <a:fld id="{8837D56B-7519-4B1D-AB16-B55BCB94499E}" type="TxLink">
            <a:rPr lang="en-US" sz="900" b="0" i="0" u="none" strike="noStrike">
              <a:solidFill>
                <a:srgbClr val="004563"/>
              </a:solidFill>
              <a:latin typeface="+mn-lt"/>
              <a:cs typeface="Arial"/>
            </a:rPr>
            <a:pPr/>
            <a:t> </a:t>
          </a:fld>
          <a:endParaRPr lang="es-ES" sz="900">
            <a:solidFill>
              <a:srgbClr val="004563"/>
            </a:solidFill>
            <a:latin typeface="+mn-lt"/>
          </a:endParaRPr>
        </a:p>
      </xdr:txBody>
    </xdr:sp>
    <xdr:clientData/>
  </xdr:twoCellAnchor>
  <xdr:twoCellAnchor editAs="oneCell">
    <xdr:from>
      <xdr:col>1</xdr:col>
      <xdr:colOff>28575</xdr:colOff>
      <xdr:row>0</xdr:row>
      <xdr:rowOff>133350</xdr:rowOff>
    </xdr:from>
    <xdr:to>
      <xdr:col>2</xdr:col>
      <xdr:colOff>209549</xdr:colOff>
      <xdr:row>2</xdr:row>
      <xdr:rowOff>27299</xdr:rowOff>
    </xdr:to>
    <xdr:pic>
      <xdr:nvPicPr>
        <xdr:cNvPr id="7" name="Imagen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622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3</xdr:col>
      <xdr:colOff>63976</xdr:colOff>
      <xdr:row>6</xdr:row>
      <xdr:rowOff>91440</xdr:rowOff>
    </xdr:from>
    <xdr:to>
      <xdr:col>5</xdr:col>
      <xdr:colOff>4987</xdr:colOff>
      <xdr:row>24</xdr:row>
      <xdr:rowOff>99060</xdr:rowOff>
    </xdr:to>
    <xdr:graphicFrame macro="">
      <xdr:nvGraphicFramePr>
        <xdr:cNvPr id="27717083" name="Chart 1">
          <a:extLst>
            <a:ext uri="{FF2B5EF4-FFF2-40B4-BE49-F238E27FC236}">
              <a16:creationId xmlns:a16="http://schemas.microsoft.com/office/drawing/2014/main" id="{00000000-0008-0000-0800-0000DBEDA6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15240</xdr:colOff>
      <xdr:row>3</xdr:row>
      <xdr:rowOff>30480</xdr:rowOff>
    </xdr:from>
    <xdr:to>
      <xdr:col>5</xdr:col>
      <xdr:colOff>0</xdr:colOff>
      <xdr:row>3</xdr:row>
      <xdr:rowOff>30480</xdr:rowOff>
    </xdr:to>
    <xdr:sp macro="" textlink="">
      <xdr:nvSpPr>
        <xdr:cNvPr id="27717085" name="Line 10">
          <a:extLst>
            <a:ext uri="{FF2B5EF4-FFF2-40B4-BE49-F238E27FC236}">
              <a16:creationId xmlns:a16="http://schemas.microsoft.com/office/drawing/2014/main" id="{00000000-0008-0000-0800-0000DDEDA601}"/>
            </a:ext>
          </a:extLst>
        </xdr:cNvPr>
        <xdr:cNvSpPr>
          <a:spLocks noChangeShapeType="1"/>
        </xdr:cNvSpPr>
      </xdr:nvSpPr>
      <xdr:spPr bwMode="auto">
        <a:xfrm flipH="1">
          <a:off x="205740" y="495300"/>
          <a:ext cx="8938260" cy="0"/>
        </a:xfrm>
        <a:prstGeom prst="line">
          <a:avLst/>
        </a:prstGeom>
        <a:noFill/>
        <a:ln w="3175">
          <a:solidFill>
            <a:srgbClr val="C0C0C0"/>
          </a:solidFill>
          <a:round/>
          <a:headEnd/>
          <a:tailEnd/>
        </a:ln>
        <a:effectLst>
          <a:prstShdw prst="shdw17" dist="17961" dir="2700000">
            <a:srgbClr val="737373"/>
          </a:prstShdw>
        </a:effectLst>
        <a:extLst>
          <a:ext uri="{909E8E84-426E-40DD-AFC4-6F175D3DCCD1}">
            <a14:hiddenFill xmlns:a14="http://schemas.microsoft.com/office/drawing/2010/main">
              <a:noFill/>
            </a14:hiddenFill>
          </a:ext>
        </a:extLst>
      </xdr:spPr>
    </xdr:sp>
    <xdr:clientData/>
  </xdr:twoCellAnchor>
  <xdr:twoCellAnchor>
    <xdr:from>
      <xdr:col>4</xdr:col>
      <xdr:colOff>6244978</xdr:colOff>
      <xdr:row>10</xdr:row>
      <xdr:rowOff>71336</xdr:rowOff>
    </xdr:from>
    <xdr:to>
      <xdr:col>4</xdr:col>
      <xdr:colOff>6249824</xdr:colOff>
      <xdr:row>22</xdr:row>
      <xdr:rowOff>48442</xdr:rowOff>
    </xdr:to>
    <xdr:cxnSp macro="">
      <xdr:nvCxnSpPr>
        <xdr:cNvPr id="3" name="Conector recto 2">
          <a:extLst>
            <a:ext uri="{FF2B5EF4-FFF2-40B4-BE49-F238E27FC236}">
              <a16:creationId xmlns:a16="http://schemas.microsoft.com/office/drawing/2014/main" id="{00000000-0008-0000-0800-000003000000}"/>
            </a:ext>
          </a:extLst>
        </xdr:cNvPr>
        <xdr:cNvCxnSpPr/>
      </xdr:nvCxnSpPr>
      <xdr:spPr bwMode="auto">
        <a:xfrm flipV="1">
          <a:off x="8114035" y="1742704"/>
          <a:ext cx="4846" cy="1918049"/>
        </a:xfrm>
        <a:prstGeom prst="line">
          <a:avLst/>
        </a:prstGeom>
        <a:solidFill>
          <a:srgbClr val="FFFFFF"/>
        </a:solidFill>
        <a:ln w="9525" cap="flat" cmpd="sng" algn="ctr">
          <a:solidFill>
            <a:srgbClr val="004563"/>
          </a:solidFill>
          <a:prstDash val="solid"/>
          <a:round/>
          <a:headEnd type="none" w="med" len="med"/>
          <a:tailEnd type="none" w="med" len="med"/>
        </a:ln>
        <a:effectLst/>
      </xdr:spPr>
    </xdr:cxnSp>
    <xdr:clientData/>
  </xdr:twoCellAnchor>
  <xdr:twoCellAnchor editAs="oneCell">
    <xdr:from>
      <xdr:col>2</xdr:col>
      <xdr:colOff>57150</xdr:colOff>
      <xdr:row>1</xdr:row>
      <xdr:rowOff>133350</xdr:rowOff>
    </xdr:from>
    <xdr:to>
      <xdr:col>4</xdr:col>
      <xdr:colOff>152399</xdr:colOff>
      <xdr:row>2</xdr:row>
      <xdr:rowOff>84449</xdr:rowOff>
    </xdr:to>
    <xdr:pic>
      <xdr:nvPicPr>
        <xdr:cNvPr id="6" name="Imagen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57175" y="133350"/>
          <a:ext cx="1762124" cy="2177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Madejon Concejal, Maria Sonsoles" id="{97FCDB15-5D3F-4A23-BBC4-64F5ED85D352}" userId="S::smadejon@redeia.com::d2e177a6-b674-4dc6-ad15-639f63b0f7a1"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43" dT="2026-01-07T20:12:08.62" personId="{97FCDB15-5D3F-4A23-BBC4-64F5ED85D352}" id="{F5421E1A-C75C-4E4D-9498-A8C701766122}">
    <text>Actualizar diciembre</text>
  </threadedComment>
</ThreadedComment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8"/>
  <dimension ref="A1:B15"/>
  <sheetViews>
    <sheetView workbookViewId="0"/>
  </sheetViews>
  <sheetFormatPr baseColWidth="10" defaultRowHeight="12.75"/>
  <sheetData>
    <row r="1" spans="1:2">
      <c r="A1">
        <v>14</v>
      </c>
      <c r="B1" s="112" t="s">
        <v>291</v>
      </c>
    </row>
    <row r="2" spans="1:2">
      <c r="A2" t="s">
        <v>285</v>
      </c>
    </row>
    <row r="3" spans="1:2">
      <c r="A3" t="s">
        <v>286</v>
      </c>
    </row>
    <row r="4" spans="1:2">
      <c r="A4" t="s">
        <v>236</v>
      </c>
    </row>
    <row r="5" spans="1:2">
      <c r="A5" t="s">
        <v>244</v>
      </c>
    </row>
    <row r="6" spans="1:2">
      <c r="A6" t="s">
        <v>283</v>
      </c>
    </row>
    <row r="7" spans="1:2">
      <c r="A7" t="s">
        <v>284</v>
      </c>
    </row>
    <row r="8" spans="1:2">
      <c r="A8" t="s">
        <v>238</v>
      </c>
    </row>
    <row r="9" spans="1:2">
      <c r="A9" t="s">
        <v>242</v>
      </c>
    </row>
    <row r="10" spans="1:2">
      <c r="A10" t="s">
        <v>287</v>
      </c>
    </row>
    <row r="11" spans="1:2">
      <c r="A11" t="s">
        <v>288</v>
      </c>
    </row>
    <row r="12" spans="1:2">
      <c r="A12" t="s">
        <v>240</v>
      </c>
    </row>
    <row r="13" spans="1:2">
      <c r="A13" t="s">
        <v>289</v>
      </c>
    </row>
    <row r="14" spans="1:2">
      <c r="A14" t="s">
        <v>290</v>
      </c>
    </row>
    <row r="15" spans="1:2">
      <c r="A15" t="s">
        <v>292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7">
    <pageSetUpPr autoPageBreaks="0" fitToPage="1"/>
  </sheetPr>
  <dimension ref="A1:AL72"/>
  <sheetViews>
    <sheetView showGridLines="0" showRowColHeaders="0" zoomScaleNormal="100" workbookViewId="0">
      <selection activeCell="H21" sqref="H21"/>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4" width="11.42578125" style="28"/>
    <col min="15" max="15" width="17" style="28" bestFit="1" customWidth="1"/>
    <col min="16" max="16384" width="11.42578125" style="28"/>
  </cols>
  <sheetData>
    <row r="1" spans="2:38">
      <c r="L1" s="17" t="s">
        <v>31</v>
      </c>
    </row>
    <row r="2" spans="2:38">
      <c r="L2" s="18" t="str">
        <f>Indice!E3</f>
        <v>Enero 2026</v>
      </c>
    </row>
    <row r="4" spans="2:38">
      <c r="B4" s="19" t="s">
        <v>30</v>
      </c>
      <c r="P4" s="63" t="s">
        <v>13</v>
      </c>
      <c r="Q4" s="63" t="s">
        <v>5</v>
      </c>
      <c r="R4" s="63" t="s">
        <v>6</v>
      </c>
      <c r="S4" s="63" t="s">
        <v>7</v>
      </c>
      <c r="T4" s="63" t="s">
        <v>8</v>
      </c>
      <c r="U4" s="63" t="s">
        <v>7</v>
      </c>
      <c r="V4" s="63" t="s">
        <v>9</v>
      </c>
      <c r="W4" s="63" t="s">
        <v>9</v>
      </c>
      <c r="X4" s="63" t="s">
        <v>8</v>
      </c>
      <c r="Y4" s="63" t="s">
        <v>10</v>
      </c>
      <c r="Z4" s="63" t="s">
        <v>11</v>
      </c>
      <c r="AA4" s="63" t="s">
        <v>12</v>
      </c>
      <c r="AB4" s="63" t="s">
        <v>13</v>
      </c>
    </row>
    <row r="5" spans="2:38" s="31" customFormat="1"/>
    <row r="6" spans="2:38" s="31" customFormat="1"/>
    <row r="7" spans="2:38" ht="12.75" customHeight="1">
      <c r="B7" s="229" t="s">
        <v>35</v>
      </c>
      <c r="F7" s="32"/>
      <c r="G7" s="32"/>
      <c r="H7" s="33"/>
      <c r="I7" s="33"/>
      <c r="J7" s="33"/>
      <c r="K7" s="33"/>
      <c r="L7" s="33"/>
      <c r="M7" s="33"/>
      <c r="AC7" s="33"/>
      <c r="AD7" s="33"/>
      <c r="AE7" s="33"/>
      <c r="AF7" s="33"/>
      <c r="AG7" s="33"/>
      <c r="AH7" s="33"/>
      <c r="AI7" s="33"/>
      <c r="AJ7" s="33"/>
      <c r="AK7" s="33"/>
      <c r="AL7" s="33"/>
    </row>
    <row r="8" spans="2:38">
      <c r="B8" s="229"/>
      <c r="F8" s="32"/>
      <c r="G8" s="32"/>
      <c r="H8" s="33"/>
      <c r="I8" s="33"/>
      <c r="J8" s="33"/>
      <c r="K8" s="33"/>
      <c r="L8" s="33"/>
      <c r="M8" s="33"/>
      <c r="AC8" s="33"/>
      <c r="AD8" s="33"/>
      <c r="AE8" s="33"/>
      <c r="AF8" s="33"/>
      <c r="AG8" s="33"/>
      <c r="AH8" s="33"/>
      <c r="AI8" s="33"/>
      <c r="AJ8" s="33"/>
      <c r="AK8" s="33"/>
      <c r="AL8" s="33"/>
    </row>
    <row r="9" spans="2:38">
      <c r="B9" s="47" t="s">
        <v>43</v>
      </c>
      <c r="F9" s="32"/>
      <c r="G9" s="32"/>
    </row>
    <row r="10" spans="2:38">
      <c r="B10" s="229"/>
      <c r="F10" s="32"/>
      <c r="G10" s="32"/>
    </row>
    <row r="11" spans="2:38">
      <c r="B11" s="229"/>
      <c r="F11" s="32"/>
      <c r="G11" s="32"/>
    </row>
    <row r="12" spans="2:38" s="31" customFormat="1">
      <c r="B12" s="229"/>
      <c r="F12" s="32"/>
      <c r="G12" s="32"/>
    </row>
    <row r="13" spans="2:38">
      <c r="B13" s="229"/>
      <c r="F13" s="32"/>
      <c r="G13" s="32"/>
      <c r="H13" s="33"/>
      <c r="I13" s="33"/>
      <c r="J13" s="33"/>
      <c r="K13" s="33"/>
      <c r="L13" s="33"/>
      <c r="M13" s="33"/>
      <c r="AC13" s="33"/>
      <c r="AD13" s="33"/>
      <c r="AE13" s="33"/>
      <c r="AF13" s="33"/>
      <c r="AG13" s="33"/>
      <c r="AH13" s="33"/>
      <c r="AI13" s="33"/>
      <c r="AJ13" s="33"/>
    </row>
    <row r="14" spans="2:38">
      <c r="F14" s="32"/>
      <c r="G14" s="32"/>
    </row>
    <row r="15" spans="2:38">
      <c r="F15" s="32"/>
      <c r="G15" s="32"/>
    </row>
    <row r="16" spans="2:38">
      <c r="F16" s="32"/>
      <c r="G16" s="32"/>
    </row>
    <row r="17" spans="6:7">
      <c r="F17" s="32"/>
      <c r="G17" s="32"/>
    </row>
    <row r="18" spans="6:7">
      <c r="F18" s="32"/>
      <c r="G18" s="32"/>
    </row>
    <row r="19" spans="6:7">
      <c r="F19" s="32"/>
      <c r="G19" s="32"/>
    </row>
    <row r="20" spans="6:7">
      <c r="F20" s="32"/>
      <c r="G20" s="32"/>
    </row>
    <row r="21" spans="6:7">
      <c r="F21" s="32"/>
      <c r="G21" s="32"/>
    </row>
    <row r="22" spans="6:7">
      <c r="F22" s="32"/>
      <c r="G22" s="32"/>
    </row>
    <row r="23" spans="6:7">
      <c r="F23" s="32"/>
      <c r="G23" s="32"/>
    </row>
    <row r="24" spans="6:7">
      <c r="F24" s="32"/>
      <c r="G24" s="32"/>
    </row>
    <row r="25" spans="6:7">
      <c r="F25" s="32"/>
      <c r="G25" s="32"/>
    </row>
    <row r="26" spans="6:7">
      <c r="F26" s="32"/>
      <c r="G26" s="32"/>
    </row>
    <row r="27" spans="6:7">
      <c r="F27" s="32"/>
      <c r="G27" s="32"/>
    </row>
    <row r="28" spans="6:7">
      <c r="F28" s="32"/>
      <c r="G28" s="32"/>
    </row>
    <row r="29" spans="6:7">
      <c r="F29" s="32"/>
      <c r="G29" s="32"/>
    </row>
    <row r="30" spans="6:7">
      <c r="F30" s="32"/>
      <c r="G30" s="32"/>
    </row>
    <row r="31" spans="6:7">
      <c r="F31" s="32"/>
      <c r="G31" s="32"/>
    </row>
    <row r="32" spans="6:7">
      <c r="F32" s="32"/>
      <c r="G32" s="32"/>
    </row>
    <row r="33" spans="1:7">
      <c r="F33" s="32"/>
      <c r="G33" s="32"/>
    </row>
    <row r="34" spans="1:7">
      <c r="F34" s="32"/>
      <c r="G34" s="32"/>
    </row>
    <row r="35" spans="1:7">
      <c r="F35" s="32"/>
      <c r="G35" s="32"/>
    </row>
    <row r="36" spans="1:7" ht="12.75" customHeight="1"/>
    <row r="40" spans="1:7" s="20" customFormat="1">
      <c r="A40" s="28"/>
      <c r="B40" s="28"/>
    </row>
    <row r="41" spans="1:7" s="20" customFormat="1">
      <c r="A41" s="28"/>
      <c r="B41" s="28"/>
    </row>
    <row r="42" spans="1:7" s="20" customFormat="1">
      <c r="A42" s="28"/>
      <c r="B42" s="28"/>
    </row>
    <row r="57" spans="10:16">
      <c r="J57" s="29"/>
      <c r="K57" s="35"/>
      <c r="L57" s="36"/>
      <c r="M57" s="36"/>
      <c r="N57" s="35"/>
      <c r="O57" s="35"/>
    </row>
    <row r="58" spans="10:16">
      <c r="K58" s="29"/>
      <c r="L58" s="35"/>
      <c r="M58" s="36"/>
      <c r="N58" s="36"/>
      <c r="O58" s="35"/>
      <c r="P58" s="35"/>
    </row>
    <row r="59" spans="10:16">
      <c r="K59" s="29"/>
      <c r="L59" s="35"/>
      <c r="M59" s="36"/>
      <c r="N59" s="36"/>
      <c r="O59" s="35"/>
      <c r="P59" s="35"/>
    </row>
    <row r="60" spans="10:16">
      <c r="K60" s="29"/>
      <c r="L60" s="35"/>
      <c r="M60" s="36"/>
      <c r="N60" s="36"/>
      <c r="O60" s="35"/>
      <c r="P60" s="35"/>
    </row>
    <row r="61" spans="10:16">
      <c r="K61" s="29"/>
      <c r="L61" s="35"/>
      <c r="M61" s="36"/>
      <c r="N61" s="36"/>
      <c r="O61" s="35"/>
      <c r="P61" s="35"/>
    </row>
    <row r="62" spans="10:16">
      <c r="K62" s="29"/>
      <c r="L62" s="35"/>
      <c r="M62" s="36"/>
      <c r="N62" s="36"/>
      <c r="O62" s="35"/>
      <c r="P62" s="35"/>
    </row>
    <row r="63" spans="10:16">
      <c r="K63" s="29"/>
      <c r="L63" s="35"/>
      <c r="M63" s="36"/>
      <c r="N63" s="36"/>
      <c r="O63" s="35"/>
      <c r="P63" s="35"/>
    </row>
    <row r="64" spans="10:16">
      <c r="K64" s="29"/>
      <c r="L64" s="35"/>
      <c r="M64" s="36"/>
      <c r="N64" s="36"/>
      <c r="O64" s="35"/>
      <c r="P64" s="35"/>
    </row>
    <row r="65" spans="1:16">
      <c r="K65" s="29"/>
      <c r="L65" s="35"/>
      <c r="M65" s="36"/>
      <c r="N65" s="36"/>
      <c r="O65" s="35"/>
      <c r="P65" s="35"/>
    </row>
    <row r="66" spans="1:16">
      <c r="K66" s="29"/>
      <c r="L66" s="35"/>
      <c r="M66" s="36"/>
      <c r="N66" s="36"/>
      <c r="O66" s="35"/>
      <c r="P66" s="35"/>
    </row>
    <row r="67" spans="1:16" s="20" customFormat="1">
      <c r="B67" s="28"/>
      <c r="C67" s="28"/>
      <c r="D67" s="28"/>
      <c r="E67" s="28"/>
      <c r="F67" s="28"/>
      <c r="G67" s="28"/>
      <c r="H67" s="28"/>
      <c r="I67" s="28"/>
      <c r="J67" s="28"/>
      <c r="K67" s="29"/>
      <c r="L67" s="35"/>
      <c r="M67" s="36"/>
      <c r="N67" s="37"/>
      <c r="O67" s="35"/>
      <c r="P67" s="35"/>
    </row>
    <row r="68" spans="1:16" s="20" customFormat="1">
      <c r="B68" s="28"/>
      <c r="C68" s="28"/>
      <c r="D68" s="28"/>
      <c r="E68" s="28"/>
      <c r="F68" s="28"/>
      <c r="G68" s="28"/>
      <c r="H68" s="28"/>
      <c r="I68" s="28"/>
      <c r="J68" s="28"/>
      <c r="K68" s="28"/>
      <c r="L68" s="35"/>
      <c r="M68" s="37"/>
      <c r="N68" s="37"/>
      <c r="O68" s="35"/>
      <c r="P68" s="35"/>
    </row>
    <row r="69" spans="1:16">
      <c r="A69" s="20"/>
      <c r="K69" s="30"/>
      <c r="M69" s="36"/>
      <c r="N69" s="36"/>
      <c r="O69" s="35"/>
      <c r="P69" s="35"/>
    </row>
    <row r="70" spans="1:16">
      <c r="A70" s="20"/>
      <c r="B70" s="20"/>
      <c r="C70" s="20"/>
      <c r="D70" s="37"/>
      <c r="E70" s="37"/>
      <c r="F70" s="37"/>
      <c r="G70" s="37"/>
      <c r="H70" s="37"/>
      <c r="J70" s="34"/>
    </row>
    <row r="71" spans="1:16">
      <c r="J71" s="34"/>
    </row>
    <row r="72" spans="1:16">
      <c r="F72" s="32"/>
      <c r="G72" s="32"/>
      <c r="J72" s="34"/>
    </row>
  </sheetData>
  <mergeCells count="2">
    <mergeCell ref="B7:B8"/>
    <mergeCell ref="B10:B13"/>
  </mergeCells>
  <conditionalFormatting sqref="K69">
    <cfRule type="cellIs" dxfId="7"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8">
    <pageSetUpPr autoPageBreaks="0" fitToPage="1"/>
  </sheetPr>
  <dimension ref="A1:AK70"/>
  <sheetViews>
    <sheetView showGridLines="0" showRowColHeaders="0" zoomScaleNormal="100" workbookViewId="0">
      <selection activeCell="H21" sqref="H21"/>
    </sheetView>
  </sheetViews>
  <sheetFormatPr baseColWidth="10" defaultColWidth="11.42578125" defaultRowHeight="12.75"/>
  <cols>
    <col min="1" max="1" width="2.5703125" style="28" customWidth="1"/>
    <col min="2" max="2" width="21.5703125" style="28" customWidth="1"/>
    <col min="3" max="3" width="11.42578125" style="28" customWidth="1"/>
    <col min="4" max="8" width="11.42578125" style="28"/>
    <col min="9" max="9" width="11.5703125" style="28" bestFit="1" customWidth="1"/>
    <col min="10" max="13" width="11.42578125" style="28"/>
    <col min="14" max="14" width="15.5703125" style="28" customWidth="1"/>
    <col min="15" max="16384" width="11.42578125" style="28"/>
  </cols>
  <sheetData>
    <row r="1" spans="2:37">
      <c r="L1" s="17" t="s">
        <v>31</v>
      </c>
    </row>
    <row r="2" spans="2:37">
      <c r="L2" s="18" t="str">
        <f>Indice!E3</f>
        <v>Enero 2026</v>
      </c>
    </row>
    <row r="4" spans="2:37">
      <c r="B4" s="19" t="s">
        <v>30</v>
      </c>
      <c r="O4" s="63" t="s">
        <v>9</v>
      </c>
      <c r="P4" s="63" t="s">
        <v>13</v>
      </c>
      <c r="Q4" s="63" t="s">
        <v>5</v>
      </c>
      <c r="R4" s="63" t="s">
        <v>6</v>
      </c>
      <c r="S4" s="63" t="s">
        <v>7</v>
      </c>
      <c r="T4" s="63" t="s">
        <v>8</v>
      </c>
      <c r="U4" s="63" t="s">
        <v>7</v>
      </c>
      <c r="V4" s="63" t="s">
        <v>9</v>
      </c>
      <c r="W4" s="63" t="s">
        <v>9</v>
      </c>
      <c r="X4" s="63" t="s">
        <v>8</v>
      </c>
      <c r="Y4" s="63" t="s">
        <v>10</v>
      </c>
      <c r="Z4" s="63" t="s">
        <v>11</v>
      </c>
      <c r="AA4" s="63" t="s">
        <v>12</v>
      </c>
    </row>
    <row r="5" spans="2:37" s="31" customFormat="1"/>
    <row r="6" spans="2:37" s="31" customFormat="1"/>
    <row r="7" spans="2:37" ht="12.75" customHeight="1">
      <c r="B7" s="229" t="s">
        <v>207</v>
      </c>
      <c r="F7" s="32"/>
      <c r="G7" s="32"/>
      <c r="H7" s="33"/>
      <c r="I7" s="33"/>
      <c r="J7" s="33"/>
      <c r="K7" s="33"/>
      <c r="L7" s="33"/>
      <c r="M7" s="33"/>
      <c r="AB7" s="33"/>
      <c r="AC7" s="33"/>
      <c r="AD7" s="33"/>
      <c r="AE7" s="33"/>
      <c r="AF7" s="33"/>
      <c r="AG7" s="33"/>
      <c r="AH7" s="33"/>
      <c r="AI7" s="33"/>
      <c r="AJ7" s="33"/>
      <c r="AK7" s="33"/>
    </row>
    <row r="8" spans="2:37">
      <c r="B8" s="229"/>
      <c r="F8" s="32"/>
      <c r="G8" s="32"/>
      <c r="H8" s="33"/>
      <c r="I8" s="33"/>
      <c r="J8" s="33"/>
      <c r="K8" s="33"/>
      <c r="L8" s="33"/>
      <c r="M8" s="33"/>
      <c r="AB8" s="33"/>
      <c r="AC8" s="33"/>
      <c r="AD8" s="33"/>
      <c r="AE8" s="33"/>
      <c r="AF8" s="33"/>
      <c r="AG8" s="33"/>
      <c r="AH8" s="33"/>
      <c r="AI8" s="33"/>
      <c r="AJ8" s="33"/>
      <c r="AK8" s="33"/>
    </row>
    <row r="9" spans="2:37">
      <c r="B9" s="47" t="s">
        <v>130</v>
      </c>
      <c r="F9" s="32"/>
      <c r="G9" s="32"/>
    </row>
    <row r="10" spans="2:37">
      <c r="B10" s="229"/>
      <c r="F10" s="32"/>
      <c r="G10" s="32"/>
    </row>
    <row r="11" spans="2:37" s="31" customFormat="1">
      <c r="B11" s="229"/>
      <c r="F11" s="32"/>
      <c r="G11" s="32"/>
    </row>
    <row r="12" spans="2:37">
      <c r="B12" s="229"/>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7">
      <c r="F17" s="32"/>
      <c r="G17" s="32"/>
    </row>
    <row r="18" spans="6:7">
      <c r="F18" s="32"/>
      <c r="G18" s="32"/>
    </row>
    <row r="19" spans="6:7">
      <c r="F19" s="32"/>
      <c r="G19" s="32"/>
    </row>
    <row r="20" spans="6:7">
      <c r="F20" s="32"/>
      <c r="G20" s="32"/>
    </row>
    <row r="21" spans="6:7">
      <c r="F21" s="32"/>
      <c r="G21" s="32"/>
    </row>
    <row r="22" spans="6:7">
      <c r="F22" s="32"/>
      <c r="G22" s="32"/>
    </row>
    <row r="23" spans="6:7">
      <c r="F23" s="32"/>
      <c r="G23" s="32"/>
    </row>
    <row r="24" spans="6:7">
      <c r="F24" s="32"/>
      <c r="G24" s="32"/>
    </row>
    <row r="25" spans="6:7">
      <c r="F25" s="32"/>
      <c r="G25" s="32"/>
    </row>
    <row r="26" spans="6:7">
      <c r="F26" s="32"/>
      <c r="G26" s="32"/>
    </row>
    <row r="27" spans="6:7">
      <c r="F27" s="32"/>
      <c r="G27" s="32"/>
    </row>
    <row r="28" spans="6:7">
      <c r="F28" s="32"/>
      <c r="G28" s="32"/>
    </row>
    <row r="29" spans="6:7">
      <c r="F29" s="32"/>
      <c r="G29" s="32"/>
    </row>
    <row r="30" spans="6:7">
      <c r="F30" s="32"/>
      <c r="G30" s="32"/>
    </row>
    <row r="31" spans="6:7">
      <c r="F31" s="32"/>
      <c r="G31" s="32"/>
    </row>
    <row r="32" spans="6:7">
      <c r="F32" s="32"/>
      <c r="G32" s="32"/>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2">
    <mergeCell ref="B7:B8"/>
    <mergeCell ref="B10:B12"/>
  </mergeCells>
  <conditionalFormatting sqref="K67">
    <cfRule type="cellIs" dxfId="6"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0">
    <pageSetUpPr autoPageBreaks="0" fitToPage="1"/>
  </sheetPr>
  <dimension ref="A1:AK70"/>
  <sheetViews>
    <sheetView showGridLines="0" showRowColHeaders="0" zoomScale="93" zoomScaleNormal="93" workbookViewId="0">
      <selection activeCell="U21" sqref="U21"/>
    </sheetView>
  </sheetViews>
  <sheetFormatPr baseColWidth="10" defaultColWidth="11.42578125" defaultRowHeight="12.75"/>
  <cols>
    <col min="1" max="1" width="2.5703125" style="28" customWidth="1"/>
    <col min="2" max="2" width="21.5703125" style="28" customWidth="1"/>
    <col min="3" max="3" width="11.42578125" style="28" customWidth="1"/>
    <col min="4" max="8" width="11.42578125" style="28"/>
    <col min="9" max="9" width="11.5703125" style="28" bestFit="1" customWidth="1"/>
    <col min="10" max="13" width="11.42578125" style="28"/>
    <col min="14" max="14" width="15.5703125" style="28" customWidth="1"/>
    <col min="15" max="25" width="8.42578125" style="28" customWidth="1"/>
    <col min="26" max="26" width="8.5703125" style="28" customWidth="1"/>
    <col min="27" max="27" width="11.42578125" style="28" customWidth="1"/>
    <col min="28" max="16384" width="11.42578125" style="28"/>
  </cols>
  <sheetData>
    <row r="1" spans="2:37">
      <c r="L1" s="17" t="s">
        <v>31</v>
      </c>
    </row>
    <row r="2" spans="2:37">
      <c r="L2" s="18" t="str">
        <f>Indice!E3</f>
        <v>Enero 2026</v>
      </c>
    </row>
    <row r="4" spans="2:37">
      <c r="B4" s="19" t="s">
        <v>30</v>
      </c>
      <c r="O4" s="63" t="s">
        <v>13</v>
      </c>
      <c r="P4" s="63" t="s">
        <v>5</v>
      </c>
      <c r="Q4" s="63" t="s">
        <v>6</v>
      </c>
      <c r="R4" s="63" t="s">
        <v>7</v>
      </c>
      <c r="S4" s="63" t="s">
        <v>8</v>
      </c>
      <c r="T4" s="63" t="s">
        <v>7</v>
      </c>
      <c r="U4" s="63" t="s">
        <v>9</v>
      </c>
      <c r="V4" s="63" t="s">
        <v>9</v>
      </c>
      <c r="W4" s="63" t="s">
        <v>8</v>
      </c>
      <c r="X4" s="63" t="s">
        <v>10</v>
      </c>
      <c r="Y4" s="63" t="s">
        <v>11</v>
      </c>
      <c r="Z4" s="63" t="s">
        <v>12</v>
      </c>
      <c r="AA4" s="63" t="s">
        <v>13</v>
      </c>
    </row>
    <row r="5" spans="2:37" s="31" customFormat="1"/>
    <row r="6" spans="2:37" s="31" customFormat="1"/>
    <row r="7" spans="2:37" ht="12.75" customHeight="1">
      <c r="B7" s="229" t="s">
        <v>64</v>
      </c>
      <c r="F7" s="32"/>
      <c r="G7" s="32"/>
      <c r="H7" s="33"/>
      <c r="I7" s="33"/>
      <c r="J7" s="33"/>
      <c r="K7" s="33"/>
      <c r="L7" s="33"/>
      <c r="M7" s="33"/>
      <c r="AB7" s="33"/>
      <c r="AC7" s="33"/>
      <c r="AD7" s="33"/>
      <c r="AE7" s="33"/>
      <c r="AF7" s="33"/>
      <c r="AG7" s="33"/>
      <c r="AH7" s="33"/>
      <c r="AI7" s="33"/>
      <c r="AJ7" s="33"/>
      <c r="AK7" s="33"/>
    </row>
    <row r="8" spans="2:37">
      <c r="B8" s="229"/>
      <c r="F8" s="32"/>
      <c r="G8" s="32"/>
      <c r="H8" s="33"/>
      <c r="I8" s="33"/>
      <c r="J8" s="33"/>
      <c r="K8" s="33"/>
      <c r="L8" s="33"/>
      <c r="M8" s="33"/>
      <c r="AB8" s="33"/>
      <c r="AC8" s="33"/>
      <c r="AD8" s="33"/>
      <c r="AE8" s="33"/>
      <c r="AF8" s="33"/>
      <c r="AG8" s="33"/>
      <c r="AH8" s="33"/>
      <c r="AI8" s="33"/>
      <c r="AJ8" s="33"/>
      <c r="AK8" s="33"/>
    </row>
    <row r="9" spans="2:37">
      <c r="B9" s="47" t="s">
        <v>43</v>
      </c>
      <c r="F9" s="32"/>
      <c r="G9" s="32"/>
    </row>
    <row r="10" spans="2:37">
      <c r="B10" s="229"/>
      <c r="F10" s="32"/>
      <c r="G10" s="32"/>
    </row>
    <row r="11" spans="2:37" s="31" customFormat="1">
      <c r="B11" s="229"/>
      <c r="F11" s="32"/>
      <c r="G11" s="32"/>
    </row>
    <row r="12" spans="2:37">
      <c r="B12" s="229"/>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14">
      <c r="F17" s="32"/>
      <c r="G17" s="32"/>
    </row>
    <row r="18" spans="6:14">
      <c r="F18" s="32"/>
      <c r="G18" s="32"/>
    </row>
    <row r="19" spans="6:14">
      <c r="F19" s="32"/>
      <c r="G19" s="32"/>
    </row>
    <row r="20" spans="6:14" ht="15">
      <c r="F20" s="32"/>
      <c r="G20" s="32"/>
      <c r="N20" s="68"/>
    </row>
    <row r="21" spans="6:14">
      <c r="F21" s="32"/>
      <c r="G21" s="32"/>
      <c r="N21" s="67"/>
    </row>
    <row r="22" spans="6:14">
      <c r="F22" s="32"/>
      <c r="G22" s="32"/>
    </row>
    <row r="23" spans="6:14">
      <c r="F23" s="32"/>
      <c r="G23" s="32"/>
    </row>
    <row r="24" spans="6:14">
      <c r="F24" s="32"/>
      <c r="G24" s="32"/>
    </row>
    <row r="25" spans="6:14">
      <c r="F25" s="32"/>
      <c r="G25" s="32"/>
    </row>
    <row r="26" spans="6:14">
      <c r="F26" s="32"/>
      <c r="G26" s="32"/>
    </row>
    <row r="27" spans="6:14">
      <c r="F27" s="32"/>
      <c r="G27" s="32"/>
    </row>
    <row r="28" spans="6:14">
      <c r="F28" s="32"/>
      <c r="G28" s="32"/>
    </row>
    <row r="29" spans="6:14">
      <c r="F29" s="32"/>
      <c r="G29" s="32"/>
    </row>
    <row r="30" spans="6:14">
      <c r="F30" s="32"/>
      <c r="G30" s="32"/>
    </row>
    <row r="31" spans="6:14">
      <c r="F31" s="32"/>
      <c r="G31" s="32"/>
    </row>
    <row r="32" spans="6:14">
      <c r="F32" s="32"/>
      <c r="G32" s="32"/>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2">
    <mergeCell ref="B7:B8"/>
    <mergeCell ref="B10:B12"/>
  </mergeCells>
  <conditionalFormatting sqref="K67">
    <cfRule type="cellIs" dxfId="5"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47" orientation="landscape" horizontalDpi="355" verticalDpi="355"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1">
    <pageSetUpPr autoPageBreaks="0" fitToPage="1"/>
  </sheetPr>
  <dimension ref="A1:AL70"/>
  <sheetViews>
    <sheetView showGridLines="0" showRowColHeaders="0" zoomScale="98" zoomScaleNormal="98" workbookViewId="0">
      <selection activeCell="P27" sqref="P27"/>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6384" width="11.42578125" style="28"/>
  </cols>
  <sheetData>
    <row r="1" spans="2:38">
      <c r="L1" s="17" t="s">
        <v>31</v>
      </c>
    </row>
    <row r="2" spans="2:38">
      <c r="L2" s="18" t="str">
        <f>Indice!E3</f>
        <v>Enero 2026</v>
      </c>
    </row>
    <row r="4" spans="2:38">
      <c r="B4" s="19" t="s">
        <v>30</v>
      </c>
      <c r="P4" s="63" t="s">
        <v>9</v>
      </c>
      <c r="Q4" s="63" t="s">
        <v>8</v>
      </c>
      <c r="R4" s="63" t="s">
        <v>10</v>
      </c>
      <c r="S4" s="63" t="s">
        <v>11</v>
      </c>
      <c r="T4" s="63" t="s">
        <v>12</v>
      </c>
      <c r="U4" s="63" t="s">
        <v>13</v>
      </c>
      <c r="V4" s="63" t="s">
        <v>5</v>
      </c>
      <c r="W4" s="63" t="s">
        <v>6</v>
      </c>
      <c r="X4" s="63" t="s">
        <v>7</v>
      </c>
      <c r="Y4" s="63" t="s">
        <v>8</v>
      </c>
      <c r="Z4" s="63" t="s">
        <v>7</v>
      </c>
      <c r="AA4" s="63" t="s">
        <v>9</v>
      </c>
      <c r="AB4" s="63" t="s">
        <v>9</v>
      </c>
    </row>
    <row r="5" spans="2:38" s="31" customFormat="1"/>
    <row r="6" spans="2:38" s="31" customFormat="1"/>
    <row r="7" spans="2:38" ht="12.75" customHeight="1">
      <c r="B7" s="47" t="s">
        <v>3</v>
      </c>
      <c r="F7" s="32"/>
      <c r="G7" s="32"/>
      <c r="H7" s="33"/>
      <c r="I7" s="33"/>
      <c r="J7" s="33"/>
      <c r="K7" s="33"/>
      <c r="L7" s="33"/>
      <c r="M7" s="33"/>
      <c r="AC7" s="33"/>
      <c r="AD7" s="33"/>
      <c r="AE7" s="33"/>
      <c r="AF7" s="33"/>
      <c r="AG7" s="33"/>
      <c r="AH7" s="33"/>
      <c r="AI7" s="33"/>
      <c r="AJ7" s="33"/>
      <c r="AK7" s="33"/>
      <c r="AL7" s="33"/>
    </row>
    <row r="8" spans="2:38">
      <c r="B8" s="47" t="s">
        <v>43</v>
      </c>
      <c r="F8" s="32"/>
      <c r="G8" s="32"/>
      <c r="H8" s="33"/>
      <c r="I8" s="33"/>
      <c r="J8" s="33"/>
      <c r="K8" s="33"/>
      <c r="L8" s="33"/>
      <c r="M8" s="33"/>
      <c r="AC8" s="33"/>
      <c r="AD8" s="33"/>
      <c r="AE8" s="33"/>
      <c r="AF8" s="33"/>
      <c r="AG8" s="33"/>
      <c r="AH8" s="33"/>
      <c r="AI8" s="33"/>
      <c r="AJ8" s="33"/>
      <c r="AK8" s="33"/>
      <c r="AL8" s="33"/>
    </row>
    <row r="9" spans="2:38" ht="12.75" customHeight="1">
      <c r="B9" s="47"/>
      <c r="F9" s="32"/>
      <c r="G9" s="32"/>
    </row>
    <row r="10" spans="2:38" ht="12.75" customHeight="1">
      <c r="B10" s="229"/>
      <c r="F10" s="32"/>
      <c r="G10" s="32"/>
    </row>
    <row r="11" spans="2:38" s="31" customFormat="1" ht="12.75" customHeight="1">
      <c r="B11" s="229"/>
      <c r="F11" s="32"/>
      <c r="G11" s="32"/>
    </row>
    <row r="12" spans="2:38" ht="12.75" customHeight="1">
      <c r="B12" s="229"/>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7" ht="12.75" customHeight="1">
      <c r="F33" s="32"/>
      <c r="G33" s="32"/>
    </row>
    <row r="34" spans="1:7" ht="12.75" customHeight="1"/>
    <row r="35" spans="1:7" ht="12.75" customHeight="1"/>
    <row r="36" spans="1:7" ht="12.75" customHeight="1"/>
    <row r="37" spans="1:7" ht="12.75" customHeight="1"/>
    <row r="38" spans="1:7" s="20" customFormat="1" ht="12.75" customHeight="1">
      <c r="A38" s="28"/>
      <c r="B38" s="28"/>
    </row>
    <row r="39" spans="1:7" s="20" customFormat="1" ht="12.75" customHeight="1">
      <c r="A39" s="28"/>
      <c r="B39" s="28"/>
    </row>
    <row r="40" spans="1:7" s="20" customFormat="1" ht="12.75" customHeight="1">
      <c r="A40" s="28"/>
      <c r="B40" s="28"/>
    </row>
    <row r="41" spans="1:7" ht="12.75" customHeight="1"/>
    <row r="55" spans="10:16">
      <c r="J55" s="29"/>
      <c r="K55" s="35"/>
      <c r="L55" s="36"/>
      <c r="M55" s="36"/>
      <c r="N55" s="35"/>
      <c r="O55" s="35"/>
    </row>
    <row r="56" spans="10:16">
      <c r="K56" s="29"/>
      <c r="L56" s="35"/>
      <c r="M56" s="36"/>
      <c r="N56" s="36"/>
      <c r="O56" s="35"/>
      <c r="P56" s="35"/>
    </row>
    <row r="57" spans="10:16">
      <c r="K57" s="29"/>
      <c r="L57" s="35"/>
      <c r="M57" s="36"/>
      <c r="N57" s="36"/>
      <c r="O57" s="35"/>
      <c r="P57" s="35"/>
    </row>
    <row r="58" spans="10:16">
      <c r="K58" s="29"/>
      <c r="L58" s="35"/>
      <c r="M58" s="36"/>
      <c r="N58" s="36"/>
      <c r="O58" s="35"/>
      <c r="P58" s="35"/>
    </row>
    <row r="59" spans="10:16">
      <c r="K59" s="29"/>
      <c r="L59" s="35"/>
      <c r="M59" s="36"/>
      <c r="N59" s="36"/>
      <c r="O59" s="35"/>
      <c r="P59" s="35"/>
    </row>
    <row r="60" spans="10:16">
      <c r="K60" s="29"/>
      <c r="L60" s="35"/>
      <c r="M60" s="36"/>
      <c r="N60" s="36"/>
      <c r="O60" s="35"/>
      <c r="P60" s="35"/>
    </row>
    <row r="61" spans="10:16">
      <c r="K61" s="29"/>
      <c r="L61" s="35"/>
      <c r="M61" s="36"/>
      <c r="N61" s="36"/>
      <c r="O61" s="35"/>
      <c r="P61" s="35"/>
    </row>
    <row r="62" spans="10:16">
      <c r="K62" s="29"/>
      <c r="L62" s="35"/>
      <c r="M62" s="36"/>
      <c r="N62" s="36"/>
      <c r="O62" s="35"/>
      <c r="P62" s="35"/>
    </row>
    <row r="63" spans="10:16">
      <c r="K63" s="29"/>
      <c r="L63" s="35"/>
      <c r="M63" s="36"/>
      <c r="N63" s="36"/>
      <c r="O63" s="35"/>
      <c r="P63" s="35"/>
    </row>
    <row r="64" spans="10:16">
      <c r="K64" s="29"/>
      <c r="L64" s="35"/>
      <c r="M64" s="36"/>
      <c r="N64" s="36"/>
      <c r="O64" s="35"/>
      <c r="P64" s="35"/>
    </row>
    <row r="65" spans="1:16" s="20" customFormat="1">
      <c r="B65" s="28"/>
      <c r="C65" s="28"/>
      <c r="D65" s="28"/>
      <c r="E65" s="28"/>
      <c r="F65" s="28"/>
      <c r="G65" s="28"/>
      <c r="H65" s="28"/>
      <c r="I65" s="28"/>
      <c r="J65" s="28"/>
      <c r="K65" s="29"/>
      <c r="L65" s="35"/>
      <c r="M65" s="36"/>
      <c r="N65" s="37"/>
      <c r="O65" s="35"/>
      <c r="P65" s="35"/>
    </row>
    <row r="66" spans="1:16" s="20" customFormat="1">
      <c r="B66" s="28"/>
      <c r="C66" s="28"/>
      <c r="D66" s="28"/>
      <c r="E66" s="28"/>
      <c r="F66" s="28"/>
      <c r="G66" s="28"/>
      <c r="H66" s="28"/>
      <c r="I66" s="28"/>
      <c r="J66" s="28"/>
      <c r="K66" s="28"/>
      <c r="L66" s="35"/>
      <c r="M66" s="37"/>
      <c r="N66" s="37"/>
      <c r="O66" s="35"/>
      <c r="P66" s="35"/>
    </row>
    <row r="67" spans="1:16">
      <c r="A67" s="20"/>
      <c r="K67" s="30"/>
      <c r="M67" s="36"/>
      <c r="N67" s="36"/>
      <c r="O67" s="35"/>
      <c r="P67" s="35"/>
    </row>
    <row r="68" spans="1:16">
      <c r="A68" s="20"/>
      <c r="B68" s="20"/>
      <c r="C68" s="20"/>
      <c r="D68" s="37"/>
      <c r="E68" s="37"/>
      <c r="F68" s="37"/>
      <c r="G68" s="37"/>
      <c r="H68" s="37"/>
      <c r="J68" s="34"/>
    </row>
    <row r="69" spans="1:16">
      <c r="J69" s="34"/>
    </row>
    <row r="70" spans="1:16">
      <c r="F70" s="32"/>
      <c r="G70" s="32"/>
      <c r="J70" s="34"/>
    </row>
  </sheetData>
  <mergeCells count="1">
    <mergeCell ref="B10:B12"/>
  </mergeCells>
  <conditionalFormatting sqref="K67">
    <cfRule type="cellIs" dxfId="4"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2">
    <pageSetUpPr autoPageBreaks="0" fitToPage="1"/>
  </sheetPr>
  <dimension ref="A1:AL70"/>
  <sheetViews>
    <sheetView showGridLines="0" showRowColHeaders="0" zoomScale="98" zoomScaleNormal="98" workbookViewId="0">
      <selection activeCell="Q6" sqref="Q6"/>
    </sheetView>
  </sheetViews>
  <sheetFormatPr baseColWidth="10" defaultColWidth="11.42578125" defaultRowHeight="12.75"/>
  <cols>
    <col min="1" max="1" width="2.5703125" style="28" customWidth="1"/>
    <col min="2" max="2" width="23.5703125" style="28" customWidth="1"/>
    <col min="3" max="3" width="11.42578125" style="28" customWidth="1"/>
    <col min="4" max="8" width="11.42578125" style="28"/>
    <col min="9" max="9" width="11.5703125" style="28" bestFit="1" customWidth="1"/>
    <col min="10" max="16384" width="11.42578125" style="28"/>
  </cols>
  <sheetData>
    <row r="1" spans="2:38">
      <c r="L1" s="17" t="s">
        <v>31</v>
      </c>
    </row>
    <row r="2" spans="2:38">
      <c r="L2" s="18" t="str">
        <f>Indice!E3</f>
        <v>Enero 2026</v>
      </c>
    </row>
    <row r="4" spans="2:38">
      <c r="B4" s="19" t="s">
        <v>30</v>
      </c>
      <c r="P4" s="63" t="s">
        <v>9</v>
      </c>
      <c r="Q4" s="63" t="s">
        <v>8</v>
      </c>
      <c r="R4" s="63" t="s">
        <v>10</v>
      </c>
      <c r="S4" s="63" t="s">
        <v>11</v>
      </c>
      <c r="T4" s="63" t="s">
        <v>12</v>
      </c>
      <c r="U4" s="63" t="s">
        <v>13</v>
      </c>
      <c r="V4" s="63" t="s">
        <v>5</v>
      </c>
      <c r="W4" s="63" t="s">
        <v>6</v>
      </c>
      <c r="X4" s="63" t="s">
        <v>7</v>
      </c>
      <c r="Y4" s="63" t="s">
        <v>8</v>
      </c>
      <c r="Z4" s="63" t="s">
        <v>7</v>
      </c>
      <c r="AA4" s="63" t="s">
        <v>9</v>
      </c>
      <c r="AB4" s="63" t="s">
        <v>9</v>
      </c>
    </row>
    <row r="5" spans="2:38" s="31" customFormat="1"/>
    <row r="6" spans="2:38" s="31" customFormat="1"/>
    <row r="7" spans="2:38" ht="12.75" customHeight="1">
      <c r="B7" s="229" t="s">
        <v>145</v>
      </c>
      <c r="F7" s="32"/>
      <c r="G7" s="32"/>
      <c r="H7" s="33"/>
      <c r="I7" s="33"/>
      <c r="J7" s="33"/>
      <c r="K7" s="33"/>
      <c r="L7" s="33"/>
      <c r="M7" s="33"/>
      <c r="AC7" s="33"/>
      <c r="AD7" s="33"/>
      <c r="AE7" s="33"/>
      <c r="AF7" s="33"/>
      <c r="AG7" s="33"/>
      <c r="AH7" s="33"/>
      <c r="AI7" s="33"/>
      <c r="AJ7" s="33"/>
      <c r="AK7" s="33"/>
      <c r="AL7" s="33"/>
    </row>
    <row r="8" spans="2:38">
      <c r="B8" s="229"/>
      <c r="F8" s="32"/>
      <c r="G8" s="32"/>
      <c r="H8" s="33"/>
      <c r="I8" s="33"/>
      <c r="J8" s="33"/>
      <c r="K8" s="33"/>
      <c r="L8" s="33"/>
      <c r="M8" s="33"/>
      <c r="AC8" s="33"/>
      <c r="AD8" s="33"/>
      <c r="AE8" s="33"/>
      <c r="AF8" s="33"/>
      <c r="AG8" s="33"/>
      <c r="AH8" s="33"/>
      <c r="AI8" s="33"/>
      <c r="AJ8" s="33"/>
      <c r="AK8" s="33"/>
      <c r="AL8" s="33"/>
    </row>
    <row r="9" spans="2:38" ht="12.75" customHeight="1">
      <c r="B9" s="47" t="s">
        <v>43</v>
      </c>
      <c r="F9" s="32"/>
      <c r="G9" s="32"/>
    </row>
    <row r="10" spans="2:38" ht="12.75" customHeight="1">
      <c r="B10" s="229"/>
      <c r="F10" s="32"/>
      <c r="G10" s="32"/>
    </row>
    <row r="11" spans="2:38" s="31" customFormat="1" ht="12.75" customHeight="1">
      <c r="B11" s="229"/>
      <c r="F11" s="32"/>
      <c r="G11" s="32"/>
    </row>
    <row r="12" spans="2:38" ht="12.75" customHeight="1">
      <c r="B12" s="229"/>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28" ht="12.75" customHeight="1">
      <c r="F33" s="32"/>
      <c r="G33" s="32"/>
    </row>
    <row r="34" spans="1:28" ht="12.75" customHeight="1"/>
    <row r="35" spans="1:28" ht="15">
      <c r="N35" s="64"/>
      <c r="O35" s="64"/>
      <c r="P35" s="65"/>
      <c r="Q35" s="65"/>
      <c r="R35" s="65"/>
      <c r="S35" s="65"/>
      <c r="T35" s="65"/>
      <c r="U35" s="65"/>
      <c r="V35" s="65"/>
      <c r="W35" s="65"/>
      <c r="X35" s="65"/>
      <c r="Y35" s="65"/>
      <c r="Z35" s="65"/>
      <c r="AA35" s="65"/>
      <c r="AB35" s="65"/>
    </row>
    <row r="36" spans="1:28" ht="12.75" customHeight="1">
      <c r="N36" s="64"/>
    </row>
    <row r="37" spans="1:28" ht="15">
      <c r="N37" s="64"/>
      <c r="Z37" s="64"/>
      <c r="AA37" s="64"/>
      <c r="AB37" s="71"/>
    </row>
    <row r="38" spans="1:28" s="20" customFormat="1" ht="15">
      <c r="A38" s="28"/>
      <c r="B38" s="28"/>
      <c r="N38" s="64"/>
      <c r="O38" s="28"/>
      <c r="P38" s="28"/>
      <c r="Q38" s="28"/>
      <c r="R38" s="28"/>
      <c r="S38" s="28"/>
      <c r="T38" s="28"/>
      <c r="U38" s="28"/>
      <c r="V38" s="28"/>
      <c r="W38" s="28"/>
      <c r="X38" s="28"/>
      <c r="Y38" s="28"/>
      <c r="Z38" s="64"/>
      <c r="AA38" s="64"/>
      <c r="AB38" s="69"/>
    </row>
    <row r="39" spans="1:28" s="20" customFormat="1" ht="15">
      <c r="A39" s="28"/>
      <c r="B39" s="28"/>
      <c r="N39" s="64"/>
      <c r="O39" s="28"/>
      <c r="P39" s="28"/>
      <c r="Q39" s="28"/>
      <c r="R39" s="28"/>
      <c r="S39" s="28"/>
      <c r="T39" s="28"/>
      <c r="U39" s="28"/>
      <c r="V39" s="28"/>
      <c r="W39" s="28"/>
      <c r="X39" s="28"/>
      <c r="Y39" s="28"/>
      <c r="Z39" s="64"/>
      <c r="AA39" s="64"/>
      <c r="AB39" s="69"/>
    </row>
    <row r="40" spans="1:28" s="20" customFormat="1" ht="15">
      <c r="A40" s="28"/>
      <c r="B40" s="28"/>
      <c r="N40" s="64"/>
      <c r="O40" s="28"/>
      <c r="P40" s="28"/>
      <c r="Q40" s="28"/>
      <c r="R40" s="28"/>
      <c r="S40" s="28"/>
      <c r="T40" s="28"/>
      <c r="U40" s="28"/>
      <c r="V40" s="28"/>
      <c r="W40" s="28"/>
      <c r="X40" s="28"/>
      <c r="Y40" s="28"/>
      <c r="Z40" s="64"/>
      <c r="AA40" s="64"/>
      <c r="AB40" s="69"/>
    </row>
    <row r="41" spans="1:28" ht="14.85" customHeight="1">
      <c r="C41" s="232" t="s">
        <v>149</v>
      </c>
      <c r="D41" s="232"/>
      <c r="E41" s="232"/>
      <c r="F41" s="232"/>
      <c r="G41" s="232"/>
      <c r="H41" s="232"/>
      <c r="I41" s="232"/>
      <c r="J41" s="232"/>
      <c r="K41" s="232"/>
      <c r="L41" s="232"/>
      <c r="N41" s="64"/>
      <c r="Z41" s="64"/>
      <c r="AA41" s="64"/>
      <c r="AB41" s="69"/>
    </row>
    <row r="42" spans="1:28" ht="15">
      <c r="C42" s="232"/>
      <c r="D42" s="232"/>
      <c r="E42" s="232"/>
      <c r="F42" s="232"/>
      <c r="G42" s="232"/>
      <c r="H42" s="232"/>
      <c r="I42" s="232"/>
      <c r="J42" s="232"/>
      <c r="K42" s="232"/>
      <c r="L42" s="232"/>
      <c r="N42" s="64"/>
      <c r="Z42" s="64"/>
      <c r="AA42" s="64"/>
      <c r="AB42" s="69"/>
    </row>
    <row r="43" spans="1:28" ht="15">
      <c r="C43" s="133"/>
      <c r="D43" s="133"/>
      <c r="E43" s="133"/>
      <c r="F43" s="133"/>
      <c r="G43" s="133"/>
      <c r="H43" s="133"/>
      <c r="I43" s="133"/>
      <c r="J43" s="133"/>
      <c r="K43" s="133"/>
      <c r="L43" s="133"/>
      <c r="N43" s="64"/>
    </row>
    <row r="47" spans="1:28">
      <c r="O47" s="35"/>
    </row>
    <row r="48" spans="1:28">
      <c r="O48" s="35"/>
      <c r="P48" s="35"/>
    </row>
    <row r="49" spans="10:28">
      <c r="O49" s="35"/>
      <c r="P49" s="35"/>
    </row>
    <row r="50" spans="10:28">
      <c r="O50" s="35"/>
      <c r="P50" s="35"/>
    </row>
    <row r="51" spans="10:28">
      <c r="O51" s="35"/>
      <c r="P51" s="35"/>
    </row>
    <row r="52" spans="10:28">
      <c r="O52" s="35"/>
      <c r="P52" s="35"/>
    </row>
    <row r="53" spans="10:28">
      <c r="O53" s="35"/>
      <c r="P53" s="35"/>
    </row>
    <row r="54" spans="10:28">
      <c r="O54" s="35"/>
      <c r="P54" s="35"/>
    </row>
    <row r="55" spans="10:28">
      <c r="J55" s="29"/>
      <c r="K55" s="35"/>
      <c r="L55" s="36"/>
      <c r="M55" s="36"/>
      <c r="N55" s="35"/>
      <c r="O55" s="35"/>
      <c r="P55" s="35"/>
    </row>
    <row r="56" spans="10:28">
      <c r="K56" s="29"/>
      <c r="L56" s="35"/>
      <c r="M56" s="36"/>
      <c r="N56" s="36"/>
      <c r="O56" s="35"/>
      <c r="P56" s="35"/>
    </row>
    <row r="57" spans="10:28">
      <c r="K57" s="29"/>
      <c r="L57" s="35"/>
      <c r="M57" s="36"/>
      <c r="N57" s="36"/>
      <c r="O57" s="35"/>
      <c r="P57" s="35"/>
      <c r="Q57" s="20"/>
      <c r="R57" s="20"/>
      <c r="S57" s="20"/>
      <c r="T57" s="20"/>
      <c r="U57" s="20"/>
      <c r="V57" s="20"/>
      <c r="W57" s="20"/>
      <c r="X57" s="20"/>
      <c r="Y57" s="20"/>
      <c r="Z57" s="20"/>
      <c r="AA57" s="20"/>
      <c r="AB57" s="20"/>
    </row>
    <row r="58" spans="10:28">
      <c r="K58" s="29"/>
      <c r="L58" s="35"/>
      <c r="M58" s="36"/>
      <c r="N58" s="36"/>
      <c r="O58" s="35"/>
      <c r="P58" s="35"/>
      <c r="Q58" s="20"/>
      <c r="R58" s="20"/>
      <c r="S58" s="20"/>
      <c r="T58" s="20"/>
      <c r="U58" s="20"/>
      <c r="V58" s="20"/>
      <c r="W58" s="20"/>
      <c r="X58" s="20"/>
      <c r="Y58" s="20"/>
      <c r="Z58" s="20"/>
      <c r="AA58" s="20"/>
      <c r="AB58" s="20"/>
    </row>
    <row r="59" spans="10:28">
      <c r="K59" s="29"/>
      <c r="L59" s="35"/>
      <c r="M59" s="36"/>
      <c r="N59" s="36"/>
      <c r="O59" s="35"/>
      <c r="P59" s="35"/>
    </row>
    <row r="60" spans="10:28">
      <c r="K60" s="29"/>
      <c r="L60" s="35"/>
      <c r="M60" s="36"/>
      <c r="N60" s="36"/>
    </row>
    <row r="61" spans="10:28">
      <c r="K61" s="29"/>
      <c r="L61" s="35"/>
      <c r="M61" s="36"/>
      <c r="N61" s="36"/>
    </row>
    <row r="62" spans="10:28">
      <c r="K62" s="29"/>
      <c r="L62" s="35"/>
      <c r="M62" s="36"/>
      <c r="N62" s="36"/>
    </row>
    <row r="63" spans="10:28">
      <c r="K63" s="29"/>
      <c r="L63" s="35"/>
      <c r="M63" s="36"/>
      <c r="N63" s="36"/>
    </row>
    <row r="64" spans="10:28">
      <c r="K64" s="29"/>
      <c r="L64" s="35"/>
      <c r="M64" s="36"/>
      <c r="N64" s="36"/>
    </row>
    <row r="65" spans="1:28" s="20" customFormat="1">
      <c r="B65" s="28"/>
      <c r="C65" s="28"/>
      <c r="D65" s="28"/>
      <c r="E65" s="28"/>
      <c r="F65" s="28"/>
      <c r="G65" s="28"/>
      <c r="H65" s="28"/>
      <c r="I65" s="28"/>
      <c r="J65" s="28"/>
      <c r="K65" s="29"/>
      <c r="L65" s="35"/>
      <c r="M65" s="36"/>
      <c r="N65" s="37"/>
      <c r="O65" s="28"/>
      <c r="P65" s="28"/>
      <c r="Q65" s="28"/>
      <c r="R65" s="28"/>
      <c r="S65" s="28"/>
      <c r="T65" s="28"/>
      <c r="U65" s="28"/>
      <c r="V65" s="28"/>
      <c r="W65" s="28"/>
      <c r="X65" s="28"/>
      <c r="Y65" s="28"/>
      <c r="Z65" s="28"/>
      <c r="AA65" s="28"/>
      <c r="AB65" s="28"/>
    </row>
    <row r="66" spans="1:28" s="20" customFormat="1">
      <c r="B66" s="28"/>
      <c r="C66" s="28"/>
      <c r="D66" s="28"/>
      <c r="E66" s="28"/>
      <c r="F66" s="28"/>
      <c r="G66" s="28"/>
      <c r="H66" s="28"/>
      <c r="I66" s="28"/>
      <c r="J66" s="28"/>
      <c r="K66" s="28"/>
      <c r="L66" s="35"/>
      <c r="M66" s="37"/>
      <c r="N66" s="37"/>
      <c r="O66" s="28"/>
      <c r="P66" s="28"/>
      <c r="Q66" s="28"/>
      <c r="R66" s="28"/>
      <c r="S66" s="28"/>
      <c r="T66" s="28"/>
      <c r="U66" s="28"/>
      <c r="V66" s="28"/>
      <c r="W66" s="28"/>
      <c r="X66" s="28"/>
      <c r="Y66" s="28"/>
      <c r="Z66" s="28"/>
      <c r="AA66" s="28"/>
      <c r="AB66" s="28"/>
    </row>
    <row r="67" spans="1:28">
      <c r="A67" s="20"/>
      <c r="K67" s="30"/>
      <c r="M67" s="36"/>
      <c r="N67" s="36"/>
    </row>
    <row r="68" spans="1:28">
      <c r="A68" s="20"/>
      <c r="B68" s="20"/>
      <c r="C68" s="20"/>
      <c r="D68" s="37"/>
      <c r="E68" s="37"/>
      <c r="F68" s="37"/>
      <c r="G68" s="37"/>
      <c r="H68" s="37"/>
      <c r="J68" s="34"/>
    </row>
    <row r="69" spans="1:28">
      <c r="J69" s="34"/>
    </row>
    <row r="70" spans="1:28">
      <c r="F70" s="32"/>
      <c r="G70" s="32"/>
      <c r="J70" s="34"/>
    </row>
  </sheetData>
  <mergeCells count="3">
    <mergeCell ref="B10:B12"/>
    <mergeCell ref="B7:B8"/>
    <mergeCell ref="C41:L42"/>
  </mergeCells>
  <conditionalFormatting sqref="K67">
    <cfRule type="cellIs" dxfId="3"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5">
    <pageSetUpPr autoPageBreaks="0" fitToPage="1"/>
  </sheetPr>
  <dimension ref="A1:AK70"/>
  <sheetViews>
    <sheetView showGridLines="0" showRowColHeaders="0" zoomScaleNormal="100" workbookViewId="0">
      <selection activeCell="O22" sqref="O22"/>
    </sheetView>
  </sheetViews>
  <sheetFormatPr baseColWidth="10" defaultColWidth="11.42578125" defaultRowHeight="12.75"/>
  <cols>
    <col min="1" max="1" width="2.5703125" style="28" customWidth="1"/>
    <col min="2" max="2" width="22.42578125" style="28" customWidth="1"/>
    <col min="3" max="3" width="11.42578125" style="28" customWidth="1"/>
    <col min="4" max="8" width="11.42578125" style="28"/>
    <col min="9" max="9" width="11.5703125" style="28" bestFit="1" customWidth="1"/>
    <col min="10" max="16384" width="11.42578125" style="28"/>
  </cols>
  <sheetData>
    <row r="1" spans="2:37">
      <c r="L1" s="17" t="s">
        <v>31</v>
      </c>
    </row>
    <row r="2" spans="2:37">
      <c r="L2" s="18" t="str">
        <f>Indice!E3</f>
        <v>Enero 2026</v>
      </c>
    </row>
    <row r="4" spans="2:37">
      <c r="B4" s="19" t="s">
        <v>30</v>
      </c>
      <c r="O4" s="63" t="s">
        <v>6</v>
      </c>
      <c r="P4" s="63" t="s">
        <v>7</v>
      </c>
      <c r="Q4" s="63" t="s">
        <v>8</v>
      </c>
      <c r="R4" s="63" t="s">
        <v>7</v>
      </c>
      <c r="S4" s="63" t="s">
        <v>9</v>
      </c>
      <c r="T4" s="63" t="s">
        <v>9</v>
      </c>
      <c r="U4" s="63" t="s">
        <v>8</v>
      </c>
      <c r="V4" s="63" t="s">
        <v>10</v>
      </c>
      <c r="W4" s="63" t="s">
        <v>11</v>
      </c>
      <c r="X4" s="63" t="s">
        <v>12</v>
      </c>
      <c r="Y4" s="63" t="s">
        <v>13</v>
      </c>
      <c r="Z4" s="63" t="s">
        <v>5</v>
      </c>
      <c r="AA4" s="63" t="s">
        <v>6</v>
      </c>
    </row>
    <row r="5" spans="2:37" s="31" customFormat="1"/>
    <row r="6" spans="2:37" s="31" customFormat="1"/>
    <row r="7" spans="2:37" ht="12.75" customHeight="1">
      <c r="B7" s="229" t="s">
        <v>146</v>
      </c>
      <c r="F7" s="32"/>
      <c r="G7" s="32"/>
      <c r="H7" s="33"/>
      <c r="I7" s="33"/>
      <c r="J7" s="33"/>
      <c r="K7" s="33"/>
      <c r="L7" s="33"/>
      <c r="M7" s="33"/>
      <c r="AB7" s="33"/>
      <c r="AC7" s="33"/>
      <c r="AD7" s="33"/>
      <c r="AE7" s="33"/>
      <c r="AF7" s="33"/>
      <c r="AG7" s="33"/>
      <c r="AH7" s="33"/>
      <c r="AI7" s="33"/>
      <c r="AJ7" s="33"/>
      <c r="AK7" s="33"/>
    </row>
    <row r="8" spans="2:37">
      <c r="B8" s="229"/>
      <c r="F8" s="32"/>
      <c r="G8" s="32"/>
      <c r="H8" s="33"/>
      <c r="I8" s="33"/>
      <c r="J8" s="33"/>
      <c r="K8" s="33"/>
      <c r="L8" s="33"/>
      <c r="M8" s="33"/>
      <c r="AB8" s="33"/>
      <c r="AC8" s="33"/>
      <c r="AD8" s="33"/>
      <c r="AE8" s="33"/>
      <c r="AF8" s="33"/>
      <c r="AG8" s="33"/>
      <c r="AH8" s="33"/>
      <c r="AI8" s="33"/>
      <c r="AJ8" s="33"/>
      <c r="AK8" s="33"/>
    </row>
    <row r="9" spans="2:37">
      <c r="B9" s="229"/>
      <c r="F9" s="32"/>
      <c r="G9" s="32"/>
    </row>
    <row r="10" spans="2:37" ht="16.5" customHeight="1">
      <c r="B10" s="229"/>
      <c r="F10" s="32"/>
      <c r="G10" s="32"/>
    </row>
    <row r="11" spans="2:37" s="31" customFormat="1">
      <c r="B11" s="47" t="s">
        <v>144</v>
      </c>
      <c r="F11" s="32"/>
      <c r="G11" s="32"/>
    </row>
    <row r="12" spans="2:37">
      <c r="B12" s="47"/>
      <c r="F12" s="32"/>
      <c r="G12" s="32"/>
      <c r="H12" s="33"/>
      <c r="I12" s="33"/>
      <c r="J12" s="33"/>
      <c r="K12" s="33"/>
      <c r="L12" s="33"/>
      <c r="M12" s="33"/>
      <c r="AB12" s="33"/>
      <c r="AC12" s="33"/>
      <c r="AD12" s="33"/>
      <c r="AE12" s="33"/>
      <c r="AF12" s="33"/>
      <c r="AG12" s="33"/>
      <c r="AH12" s="33"/>
      <c r="AI12" s="33"/>
    </row>
    <row r="13" spans="2:37">
      <c r="F13" s="32"/>
      <c r="G13" s="32"/>
    </row>
    <row r="14" spans="2:37">
      <c r="F14" s="32"/>
      <c r="G14" s="32"/>
    </row>
    <row r="15" spans="2:37">
      <c r="F15" s="32"/>
      <c r="G15" s="32"/>
    </row>
    <row r="16" spans="2:37">
      <c r="F16" s="32"/>
      <c r="G16" s="32"/>
    </row>
    <row r="17" spans="6:27">
      <c r="F17" s="32"/>
      <c r="G17" s="32"/>
    </row>
    <row r="18" spans="6:27">
      <c r="F18" s="32"/>
      <c r="G18" s="32"/>
    </row>
    <row r="19" spans="6:27">
      <c r="F19" s="32"/>
      <c r="G19" s="32"/>
    </row>
    <row r="20" spans="6:27">
      <c r="F20" s="32"/>
      <c r="G20" s="32"/>
    </row>
    <row r="21" spans="6:27">
      <c r="F21" s="32"/>
      <c r="G21" s="32"/>
    </row>
    <row r="22" spans="6:27">
      <c r="F22" s="32"/>
      <c r="G22" s="32"/>
    </row>
    <row r="23" spans="6:27">
      <c r="F23" s="32"/>
      <c r="G23" s="32"/>
    </row>
    <row r="24" spans="6:27">
      <c r="F24" s="32"/>
      <c r="G24" s="32"/>
    </row>
    <row r="25" spans="6:27">
      <c r="F25" s="32"/>
      <c r="G25" s="32"/>
      <c r="O25" s="62"/>
      <c r="P25" s="62"/>
      <c r="Q25" s="62"/>
      <c r="R25" s="62"/>
      <c r="S25" s="62"/>
      <c r="T25" s="62"/>
      <c r="U25" s="62"/>
      <c r="V25" s="62"/>
      <c r="W25" s="62"/>
      <c r="X25" s="62"/>
      <c r="Y25" s="62"/>
      <c r="Z25" s="62"/>
      <c r="AA25" s="62"/>
    </row>
    <row r="26" spans="6:27">
      <c r="F26" s="32"/>
      <c r="G26" s="32"/>
    </row>
    <row r="27" spans="6:27">
      <c r="F27" s="32"/>
      <c r="G27" s="32"/>
    </row>
    <row r="28" spans="6:27">
      <c r="F28" s="32"/>
      <c r="G28" s="32"/>
      <c r="P28" s="66"/>
    </row>
    <row r="29" spans="6:27">
      <c r="F29" s="32"/>
      <c r="G29" s="32"/>
      <c r="P29" s="66"/>
    </row>
    <row r="30" spans="6:27">
      <c r="F30" s="32"/>
      <c r="G30" s="32"/>
      <c r="P30" s="66"/>
    </row>
    <row r="31" spans="6:27">
      <c r="F31" s="32"/>
      <c r="G31" s="32"/>
      <c r="P31" s="66"/>
    </row>
    <row r="32" spans="6:27">
      <c r="F32" s="32"/>
      <c r="G32" s="32"/>
      <c r="P32" s="66"/>
    </row>
    <row r="33" spans="1:7">
      <c r="F33" s="32"/>
      <c r="G33" s="32"/>
    </row>
    <row r="34" spans="1:7" ht="12.75" customHeight="1"/>
    <row r="38" spans="1:7" s="20" customFormat="1">
      <c r="A38" s="28"/>
      <c r="B38" s="28"/>
    </row>
    <row r="39" spans="1:7" s="20" customFormat="1">
      <c r="A39" s="28"/>
      <c r="B39" s="28"/>
    </row>
    <row r="40" spans="1:7" s="20" customFormat="1">
      <c r="A40" s="28"/>
      <c r="B40" s="28"/>
    </row>
    <row r="55" spans="10:15">
      <c r="J55" s="29"/>
      <c r="K55" s="35"/>
      <c r="L55" s="36"/>
      <c r="M55" s="36"/>
      <c r="N55" s="35"/>
    </row>
    <row r="56" spans="10:15">
      <c r="K56" s="29"/>
      <c r="L56" s="35"/>
      <c r="M56" s="36"/>
      <c r="N56" s="35"/>
      <c r="O56" s="35"/>
    </row>
    <row r="57" spans="10:15">
      <c r="K57" s="29"/>
      <c r="L57" s="35"/>
      <c r="M57" s="36"/>
      <c r="N57" s="35"/>
      <c r="O57" s="35"/>
    </row>
    <row r="58" spans="10:15">
      <c r="K58" s="29"/>
      <c r="L58" s="35"/>
      <c r="M58" s="36"/>
      <c r="N58" s="35"/>
      <c r="O58" s="35"/>
    </row>
    <row r="59" spans="10:15">
      <c r="K59" s="29"/>
      <c r="L59" s="35"/>
      <c r="M59" s="36"/>
      <c r="N59" s="35"/>
      <c r="O59" s="35"/>
    </row>
    <row r="60" spans="10:15">
      <c r="K60" s="29"/>
      <c r="L60" s="35"/>
      <c r="M60" s="36"/>
      <c r="N60" s="35"/>
      <c r="O60" s="35"/>
    </row>
    <row r="61" spans="10:15">
      <c r="K61" s="29"/>
      <c r="L61" s="35"/>
      <c r="M61" s="36"/>
      <c r="N61" s="35"/>
      <c r="O61" s="35"/>
    </row>
    <row r="62" spans="10:15">
      <c r="K62" s="29"/>
      <c r="L62" s="35"/>
      <c r="M62" s="36"/>
      <c r="N62" s="35"/>
      <c r="O62" s="35"/>
    </row>
    <row r="63" spans="10:15">
      <c r="K63" s="29"/>
      <c r="L63" s="35"/>
      <c r="M63" s="36"/>
      <c r="N63" s="35"/>
      <c r="O63" s="35"/>
    </row>
    <row r="64" spans="10:15">
      <c r="K64" s="29"/>
      <c r="L64" s="35"/>
      <c r="M64" s="36"/>
      <c r="N64" s="35"/>
      <c r="O64" s="35"/>
    </row>
    <row r="65" spans="1:15" s="20" customFormat="1">
      <c r="B65" s="28"/>
      <c r="C65" s="28"/>
      <c r="D65" s="28"/>
      <c r="E65" s="28"/>
      <c r="F65" s="28"/>
      <c r="G65" s="28"/>
      <c r="H65" s="28"/>
      <c r="I65" s="28"/>
      <c r="J65" s="28"/>
      <c r="K65" s="29"/>
      <c r="L65" s="35"/>
      <c r="M65" s="36"/>
      <c r="N65" s="35"/>
      <c r="O65" s="35"/>
    </row>
    <row r="66" spans="1:15" s="20" customFormat="1">
      <c r="B66" s="28"/>
      <c r="C66" s="28"/>
      <c r="D66" s="28"/>
      <c r="E66" s="28"/>
      <c r="F66" s="28"/>
      <c r="G66" s="28"/>
      <c r="H66" s="28"/>
      <c r="I66" s="28"/>
      <c r="J66" s="28"/>
      <c r="K66" s="28"/>
      <c r="L66" s="35"/>
      <c r="M66" s="37"/>
      <c r="N66" s="35"/>
      <c r="O66" s="35"/>
    </row>
    <row r="67" spans="1:15">
      <c r="A67" s="20"/>
      <c r="K67" s="30"/>
      <c r="M67" s="36"/>
      <c r="N67" s="35"/>
      <c r="O67" s="35"/>
    </row>
    <row r="68" spans="1:15">
      <c r="A68" s="20"/>
      <c r="B68" s="20"/>
      <c r="C68" s="20"/>
      <c r="D68" s="37"/>
      <c r="E68" s="37"/>
      <c r="F68" s="37"/>
      <c r="G68" s="37"/>
      <c r="H68" s="37"/>
      <c r="J68" s="34"/>
    </row>
    <row r="69" spans="1:15">
      <c r="J69" s="34"/>
    </row>
    <row r="70" spans="1:15">
      <c r="F70" s="32"/>
      <c r="G70" s="32"/>
      <c r="J70" s="34"/>
    </row>
  </sheetData>
  <mergeCells count="1">
    <mergeCell ref="B7:B10"/>
  </mergeCells>
  <conditionalFormatting sqref="K67">
    <cfRule type="cellIs" dxfId="2"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55" orientation="landscape" horizontalDpi="355" verticalDpi="355"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3">
    <pageSetUpPr autoPageBreaks="0" fitToPage="1"/>
  </sheetPr>
  <dimension ref="A1:AL70"/>
  <sheetViews>
    <sheetView showGridLines="0" showRowColHeaders="0" zoomScale="106" zoomScaleNormal="106" workbookViewId="0">
      <selection activeCell="N20" sqref="N20"/>
    </sheetView>
  </sheetViews>
  <sheetFormatPr baseColWidth="10" defaultColWidth="11.42578125" defaultRowHeight="12.75"/>
  <cols>
    <col min="1" max="1" width="2.5703125" style="28" customWidth="1"/>
    <col min="2" max="2" width="21.42578125" style="28" customWidth="1"/>
    <col min="3" max="3" width="11.42578125" style="28" customWidth="1"/>
    <col min="4" max="8" width="11.42578125" style="28"/>
    <col min="9" max="9" width="11.5703125" style="28" bestFit="1" customWidth="1"/>
    <col min="10" max="13" width="11.42578125" style="28"/>
    <col min="14" max="14" width="15.5703125" style="28" customWidth="1"/>
    <col min="15" max="16384" width="11.42578125" style="28"/>
  </cols>
  <sheetData>
    <row r="1" spans="2:38">
      <c r="L1" s="17" t="s">
        <v>31</v>
      </c>
    </row>
    <row r="2" spans="2:38">
      <c r="L2" s="18" t="str">
        <f>Indice!E3</f>
        <v>Enero 2026</v>
      </c>
    </row>
    <row r="4" spans="2:38">
      <c r="B4" s="19" t="s">
        <v>30</v>
      </c>
      <c r="P4" s="63"/>
      <c r="Q4" s="63"/>
      <c r="R4" s="63"/>
      <c r="S4" s="63"/>
      <c r="T4" s="63"/>
      <c r="U4" s="63"/>
      <c r="V4" s="63"/>
      <c r="W4" s="63"/>
      <c r="X4" s="63"/>
      <c r="Y4" s="63"/>
      <c r="Z4" s="63"/>
      <c r="AA4" s="63"/>
    </row>
    <row r="5" spans="2:38" s="31" customFormat="1"/>
    <row r="6" spans="2:38" s="31" customFormat="1"/>
    <row r="7" spans="2:38" ht="12.75" customHeight="1">
      <c r="B7" s="229" t="s">
        <v>24</v>
      </c>
      <c r="F7" s="32"/>
      <c r="G7" s="32"/>
      <c r="H7" s="33"/>
      <c r="I7" s="33"/>
      <c r="J7" s="33"/>
      <c r="K7" s="33"/>
      <c r="L7" s="33"/>
      <c r="M7" s="33"/>
      <c r="AC7" s="33"/>
      <c r="AD7" s="33"/>
      <c r="AE7" s="33"/>
      <c r="AF7" s="33"/>
      <c r="AG7" s="33"/>
      <c r="AH7" s="33"/>
      <c r="AI7" s="33"/>
      <c r="AJ7" s="33"/>
      <c r="AK7" s="33"/>
      <c r="AL7" s="33"/>
    </row>
    <row r="8" spans="2:38">
      <c r="B8" s="229"/>
      <c r="F8" s="32"/>
      <c r="G8" s="32"/>
      <c r="H8" s="33"/>
      <c r="I8" s="33"/>
      <c r="J8" s="33"/>
      <c r="K8" s="33"/>
      <c r="L8" s="33"/>
      <c r="M8" s="33"/>
      <c r="AC8" s="33"/>
      <c r="AD8" s="33"/>
      <c r="AE8" s="33"/>
      <c r="AF8" s="33"/>
      <c r="AG8" s="33"/>
      <c r="AH8" s="33"/>
      <c r="AI8" s="33"/>
      <c r="AJ8" s="33"/>
      <c r="AK8" s="33"/>
      <c r="AL8" s="33"/>
    </row>
    <row r="9" spans="2:38" ht="12.75" customHeight="1">
      <c r="B9" s="47" t="s">
        <v>43</v>
      </c>
      <c r="F9" s="32"/>
      <c r="G9" s="32"/>
    </row>
    <row r="10" spans="2:38" ht="12.75" customHeight="1">
      <c r="B10" s="229"/>
      <c r="F10" s="32"/>
      <c r="G10" s="32"/>
    </row>
    <row r="11" spans="2:38" s="31" customFormat="1" ht="12.75" customHeight="1">
      <c r="B11" s="229"/>
      <c r="F11" s="32"/>
      <c r="G11" s="32"/>
    </row>
    <row r="12" spans="2:38" ht="12.75" customHeight="1">
      <c r="B12" s="229"/>
      <c r="F12" s="32"/>
      <c r="G12" s="32"/>
      <c r="H12" s="33"/>
      <c r="I12" s="33"/>
      <c r="J12" s="33"/>
      <c r="K12" s="33"/>
      <c r="L12" s="33"/>
      <c r="M12" s="33"/>
      <c r="AC12" s="33"/>
      <c r="AD12" s="33"/>
      <c r="AE12" s="33"/>
      <c r="AF12" s="33"/>
      <c r="AG12" s="33"/>
      <c r="AH12" s="33"/>
      <c r="AI12" s="33"/>
      <c r="AJ12" s="33"/>
    </row>
    <row r="13" spans="2:38" ht="12.75" customHeight="1">
      <c r="F13" s="32"/>
      <c r="G13" s="32"/>
    </row>
    <row r="14" spans="2:38" ht="12.75" customHeight="1">
      <c r="F14" s="32"/>
      <c r="G14" s="32"/>
    </row>
    <row r="15" spans="2:38" ht="12.75" customHeight="1">
      <c r="F15" s="32"/>
      <c r="G15" s="32"/>
    </row>
    <row r="16" spans="2:38" ht="12.75" customHeight="1">
      <c r="F16" s="32"/>
      <c r="G16" s="32"/>
    </row>
    <row r="17" spans="6:7" ht="12.75" customHeight="1">
      <c r="F17" s="32"/>
      <c r="G17" s="32"/>
    </row>
    <row r="18" spans="6:7" ht="12.75" customHeight="1">
      <c r="F18" s="32"/>
      <c r="G18" s="32"/>
    </row>
    <row r="19" spans="6:7" ht="12.75" customHeight="1">
      <c r="F19" s="32"/>
      <c r="G19" s="32"/>
    </row>
    <row r="20" spans="6:7" ht="12.75" customHeight="1">
      <c r="F20" s="32"/>
      <c r="G20" s="32"/>
    </row>
    <row r="21" spans="6:7" ht="12.75" customHeight="1">
      <c r="F21" s="32"/>
      <c r="G21" s="32"/>
    </row>
    <row r="22" spans="6:7" ht="12.75" customHeight="1">
      <c r="F22" s="32"/>
      <c r="G22" s="32"/>
    </row>
    <row r="23" spans="6:7" ht="12.75" customHeight="1">
      <c r="F23" s="32"/>
      <c r="G23" s="32"/>
    </row>
    <row r="24" spans="6:7" ht="12.75" customHeight="1">
      <c r="F24" s="32"/>
      <c r="G24" s="32"/>
    </row>
    <row r="25" spans="6:7">
      <c r="F25" s="32"/>
      <c r="G25" s="32"/>
    </row>
    <row r="26" spans="6:7" ht="12.75" customHeight="1">
      <c r="F26" s="32"/>
      <c r="G26" s="32"/>
    </row>
    <row r="27" spans="6:7" ht="12.75" customHeight="1">
      <c r="F27" s="32"/>
      <c r="G27" s="32"/>
    </row>
    <row r="28" spans="6:7" ht="12.75" customHeight="1">
      <c r="F28" s="32"/>
      <c r="G28" s="32"/>
    </row>
    <row r="29" spans="6:7" ht="12.75" customHeight="1">
      <c r="F29" s="32"/>
      <c r="G29" s="32"/>
    </row>
    <row r="30" spans="6:7" ht="12.75" customHeight="1">
      <c r="F30" s="32"/>
      <c r="G30" s="32"/>
    </row>
    <row r="31" spans="6:7" ht="12.75" customHeight="1">
      <c r="F31" s="32"/>
      <c r="G31" s="32"/>
    </row>
    <row r="32" spans="6:7" ht="12.75" customHeight="1">
      <c r="F32" s="32"/>
      <c r="G32" s="32"/>
    </row>
    <row r="33" spans="1:28" ht="12.75" customHeight="1">
      <c r="F33" s="32"/>
      <c r="G33" s="32"/>
    </row>
    <row r="34" spans="1:28" ht="12.75" customHeight="1"/>
    <row r="35" spans="1:28" ht="12.75" customHeight="1"/>
    <row r="36" spans="1:28" ht="12.75" customHeight="1"/>
    <row r="37" spans="1:28" ht="12.75" customHeight="1"/>
    <row r="38" spans="1:28" s="20" customFormat="1" ht="12.75" customHeight="1">
      <c r="A38" s="28"/>
      <c r="B38" s="28"/>
      <c r="M38" s="28"/>
    </row>
    <row r="39" spans="1:28" s="20" customFormat="1" ht="12.75" customHeight="1">
      <c r="A39" s="28"/>
      <c r="B39" s="28"/>
      <c r="M39" s="28"/>
    </row>
    <row r="40" spans="1:28" s="20" customFormat="1" ht="12.75" customHeight="1">
      <c r="A40" s="28"/>
      <c r="B40" s="28"/>
      <c r="M40" s="28"/>
    </row>
    <row r="41" spans="1:28" ht="12.75" customHeight="1"/>
    <row r="48" spans="1:28" ht="15">
      <c r="Z48" s="64"/>
      <c r="AA48" s="64"/>
      <c r="AB48" s="69"/>
    </row>
    <row r="49" spans="10:28" ht="15">
      <c r="Z49" s="64"/>
      <c r="AA49" s="64"/>
      <c r="AB49" s="69"/>
    </row>
    <row r="50" spans="10:28" ht="15">
      <c r="Z50" s="64"/>
      <c r="AA50" s="64"/>
      <c r="AB50" s="69"/>
    </row>
    <row r="55" spans="10:28">
      <c r="J55" s="29"/>
      <c r="K55" s="35"/>
      <c r="L55" s="36"/>
      <c r="M55" s="36"/>
      <c r="N55" s="35"/>
      <c r="O55" s="35"/>
    </row>
    <row r="56" spans="10:28">
      <c r="K56" s="29"/>
      <c r="L56" s="35"/>
      <c r="M56" s="36"/>
      <c r="N56" s="36"/>
      <c r="O56" s="35"/>
      <c r="P56" s="35"/>
    </row>
    <row r="57" spans="10:28">
      <c r="K57" s="29"/>
      <c r="L57" s="35"/>
      <c r="M57" s="36"/>
      <c r="N57" s="36"/>
      <c r="O57" s="35"/>
      <c r="P57" s="35"/>
    </row>
    <row r="58" spans="10:28">
      <c r="K58" s="29"/>
      <c r="L58" s="35"/>
      <c r="M58" s="36"/>
      <c r="N58" s="36"/>
      <c r="O58" s="35"/>
      <c r="P58" s="35"/>
    </row>
    <row r="59" spans="10:28">
      <c r="K59" s="29"/>
      <c r="L59" s="35"/>
      <c r="M59" s="36"/>
      <c r="N59" s="36"/>
      <c r="O59" s="35"/>
      <c r="P59" s="35"/>
    </row>
    <row r="60" spans="10:28">
      <c r="K60" s="29"/>
      <c r="L60" s="35"/>
      <c r="M60" s="36"/>
      <c r="N60" s="36"/>
      <c r="O60" s="35"/>
      <c r="P60" s="35"/>
    </row>
    <row r="61" spans="10:28">
      <c r="K61" s="29"/>
      <c r="L61" s="35"/>
      <c r="M61" s="36"/>
      <c r="N61" s="36"/>
      <c r="O61" s="35"/>
      <c r="P61" s="35"/>
    </row>
    <row r="62" spans="10:28">
      <c r="K62" s="29"/>
      <c r="L62" s="35"/>
      <c r="M62" s="36"/>
      <c r="N62" s="36"/>
      <c r="O62" s="35"/>
      <c r="P62" s="35"/>
    </row>
    <row r="63" spans="10:28">
      <c r="K63" s="29"/>
      <c r="L63" s="35"/>
      <c r="M63" s="36"/>
      <c r="N63" s="36"/>
      <c r="O63" s="35"/>
      <c r="P63" s="35"/>
    </row>
    <row r="64" spans="10:28">
      <c r="K64" s="29"/>
      <c r="L64" s="35"/>
      <c r="M64" s="36"/>
      <c r="N64" s="36"/>
      <c r="O64" s="35"/>
      <c r="P64" s="35"/>
    </row>
    <row r="65" spans="1:16" s="20" customFormat="1">
      <c r="B65" s="28"/>
      <c r="C65" s="28"/>
      <c r="D65" s="28"/>
      <c r="E65" s="28"/>
      <c r="F65" s="28"/>
      <c r="G65" s="28"/>
      <c r="H65" s="28"/>
      <c r="I65" s="28"/>
      <c r="J65" s="28"/>
      <c r="K65" s="29"/>
      <c r="L65" s="35"/>
      <c r="M65" s="36"/>
      <c r="N65" s="37"/>
      <c r="O65" s="35"/>
      <c r="P65" s="35"/>
    </row>
    <row r="66" spans="1:16" s="20" customFormat="1">
      <c r="B66" s="28"/>
      <c r="C66" s="28"/>
      <c r="D66" s="28"/>
      <c r="E66" s="28"/>
      <c r="F66" s="28"/>
      <c r="G66" s="28"/>
      <c r="H66" s="28"/>
      <c r="I66" s="28"/>
      <c r="J66" s="28"/>
      <c r="K66" s="28"/>
      <c r="L66" s="35"/>
      <c r="M66" s="37"/>
      <c r="N66" s="37"/>
      <c r="O66" s="35"/>
      <c r="P66" s="35"/>
    </row>
    <row r="67" spans="1:16">
      <c r="A67" s="20"/>
      <c r="K67" s="30"/>
      <c r="M67" s="36"/>
      <c r="N67" s="36"/>
      <c r="O67" s="35"/>
      <c r="P67" s="35"/>
    </row>
    <row r="68" spans="1:16">
      <c r="A68" s="20"/>
      <c r="B68" s="20"/>
      <c r="C68" s="20"/>
      <c r="D68" s="37"/>
      <c r="E68" s="37"/>
      <c r="F68" s="37"/>
      <c r="G68" s="37"/>
      <c r="H68" s="37"/>
      <c r="J68" s="34"/>
    </row>
    <row r="69" spans="1:16">
      <c r="J69" s="34"/>
    </row>
    <row r="70" spans="1:16">
      <c r="F70" s="32"/>
      <c r="G70" s="32"/>
      <c r="J70" s="34"/>
    </row>
  </sheetData>
  <mergeCells count="2">
    <mergeCell ref="B10:B12"/>
    <mergeCell ref="B7:B8"/>
  </mergeCells>
  <conditionalFormatting sqref="K67">
    <cfRule type="cellIs" dxfId="1" priority="1" operator="notBetween">
      <formula>0.001</formula>
      <formula>-0.001</formula>
    </cfRule>
  </conditionalFormatting>
  <printOptions horizontalCentered="1" verticalCentered="1"/>
  <pageMargins left="0.78740157480314965" right="0.78740157480314965" top="0.98425196850393704" bottom="0.98425196850393704" header="0" footer="0"/>
  <pageSetup paperSize="9" scale="86" orientation="landscape" horizontalDpi="355" verticalDpi="355" r:id="rId1"/>
  <headerFooter alignWithMargins="0"/>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dimension ref="A1:AQ740"/>
  <sheetViews>
    <sheetView topLeftCell="W1" zoomScale="98" zoomScaleNormal="98" workbookViewId="0">
      <selection activeCell="AG15" sqref="AG15"/>
    </sheetView>
  </sheetViews>
  <sheetFormatPr baseColWidth="10" defaultColWidth="16.28515625" defaultRowHeight="12.75"/>
  <cols>
    <col min="1" max="15" width="15.7109375" customWidth="1"/>
    <col min="16" max="16" width="10.42578125" bestFit="1" customWidth="1"/>
    <col min="17" max="17" width="7" bestFit="1" customWidth="1"/>
    <col min="18" max="25" width="5.7109375" bestFit="1" customWidth="1"/>
    <col min="26" max="26" width="6.85546875" bestFit="1" customWidth="1"/>
    <col min="27" max="27" width="7.140625" bestFit="1" customWidth="1"/>
    <col min="28" max="29" width="8.85546875" bestFit="1" customWidth="1"/>
    <col min="30" max="30" width="21.140625" bestFit="1" customWidth="1"/>
    <col min="31" max="32" width="7" bestFit="1" customWidth="1"/>
    <col min="33" max="33" width="31.85546875" bestFit="1" customWidth="1"/>
    <col min="35" max="35" width="19.5703125" bestFit="1" customWidth="1"/>
    <col min="37" max="37" width="32.7109375" bestFit="1" customWidth="1"/>
    <col min="39" max="39" width="20.140625" bestFit="1" customWidth="1"/>
    <col min="40" max="40" width="7.5703125" bestFit="1" customWidth="1"/>
    <col min="43" max="43" width="3" bestFit="1" customWidth="1"/>
  </cols>
  <sheetData>
    <row r="1" spans="1:43" ht="14.25">
      <c r="A1" s="113" t="s">
        <v>122</v>
      </c>
    </row>
    <row r="2" spans="1:43" ht="14.25">
      <c r="A2" s="117" t="str">
        <f>MID(B5,6,LEN(B5))&amp;" "&amp;MID(B5,1,4)</f>
        <v>Enero 2026</v>
      </c>
      <c r="D2" s="62"/>
    </row>
    <row r="4" spans="1:43">
      <c r="A4" s="122" t="s">
        <v>27</v>
      </c>
      <c r="B4" s="235" t="s">
        <v>87</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row>
    <row r="5" spans="1:43">
      <c r="A5" s="122" t="s">
        <v>86</v>
      </c>
      <c r="B5" s="258" t="s">
        <v>282</v>
      </c>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row>
    <row r="6" spans="1:43">
      <c r="A6" s="122" t="s">
        <v>114</v>
      </c>
      <c r="B6" s="145" t="s">
        <v>90</v>
      </c>
      <c r="C6" s="145" t="s">
        <v>91</v>
      </c>
      <c r="D6" s="145" t="s">
        <v>92</v>
      </c>
      <c r="E6" s="145" t="s">
        <v>93</v>
      </c>
      <c r="F6" s="145" t="s">
        <v>94</v>
      </c>
      <c r="G6" s="145" t="s">
        <v>95</v>
      </c>
      <c r="H6" s="145" t="s">
        <v>96</v>
      </c>
      <c r="I6" s="145" t="s">
        <v>97</v>
      </c>
      <c r="J6" s="145" t="s">
        <v>98</v>
      </c>
      <c r="K6" s="145" t="s">
        <v>99</v>
      </c>
      <c r="L6" s="145" t="s">
        <v>100</v>
      </c>
      <c r="M6" s="145" t="s">
        <v>101</v>
      </c>
      <c r="N6" s="145" t="s">
        <v>102</v>
      </c>
      <c r="O6" s="145" t="s">
        <v>103</v>
      </c>
      <c r="P6" s="145" t="s">
        <v>104</v>
      </c>
      <c r="Q6" s="145" t="s">
        <v>105</v>
      </c>
      <c r="R6" s="145" t="s">
        <v>106</v>
      </c>
      <c r="S6" s="145" t="s">
        <v>107</v>
      </c>
      <c r="T6" s="145" t="s">
        <v>108</v>
      </c>
      <c r="U6" s="145" t="s">
        <v>109</v>
      </c>
      <c r="V6" s="145" t="s">
        <v>110</v>
      </c>
      <c r="W6" s="145" t="s">
        <v>111</v>
      </c>
      <c r="X6" s="145" t="s">
        <v>112</v>
      </c>
      <c r="Y6" s="145" t="s">
        <v>113</v>
      </c>
      <c r="Z6" s="217">
        <v>25</v>
      </c>
      <c r="AA6" s="217" t="s">
        <v>88</v>
      </c>
      <c r="AB6" s="217" t="s">
        <v>89</v>
      </c>
      <c r="AC6" s="217" t="s">
        <v>189</v>
      </c>
    </row>
    <row r="7" spans="1:43">
      <c r="A7" s="122" t="s">
        <v>123</v>
      </c>
      <c r="B7" s="143"/>
      <c r="C7" s="143"/>
      <c r="D7" s="143"/>
      <c r="E7" s="143"/>
      <c r="F7" s="143"/>
      <c r="G7" s="143"/>
      <c r="H7" s="143"/>
      <c r="I7" s="143"/>
      <c r="J7" s="143"/>
      <c r="K7" s="143"/>
      <c r="L7" s="143"/>
      <c r="M7" s="143"/>
      <c r="N7" s="143"/>
      <c r="O7" s="143"/>
      <c r="P7" s="143"/>
      <c r="Q7" s="143"/>
      <c r="R7" s="143"/>
      <c r="S7" s="143"/>
      <c r="T7" s="143"/>
      <c r="U7" s="143"/>
      <c r="V7" s="143"/>
      <c r="W7" s="143"/>
      <c r="X7" s="143"/>
      <c r="Y7" s="143"/>
      <c r="Z7" s="218"/>
      <c r="AA7" s="218"/>
      <c r="AB7" s="218"/>
      <c r="AC7" s="218"/>
      <c r="AD7" t="s">
        <v>167</v>
      </c>
      <c r="AG7" t="s">
        <v>176</v>
      </c>
      <c r="AI7" t="s">
        <v>177</v>
      </c>
      <c r="AK7" t="s">
        <v>180</v>
      </c>
      <c r="AM7" t="s">
        <v>181</v>
      </c>
      <c r="AN7" t="s">
        <v>226</v>
      </c>
    </row>
    <row r="8" spans="1:43">
      <c r="A8" s="124" t="s">
        <v>251</v>
      </c>
      <c r="B8" s="219">
        <v>108.9042751242</v>
      </c>
      <c r="C8" s="219">
        <v>103.6241802015</v>
      </c>
      <c r="D8" s="219">
        <v>99.359341800999999</v>
      </c>
      <c r="E8" s="219">
        <v>88.522663755500005</v>
      </c>
      <c r="F8" s="219">
        <v>78.914217245700002</v>
      </c>
      <c r="G8" s="219">
        <v>71.414868399900001</v>
      </c>
      <c r="H8" s="219">
        <v>71.204370941899995</v>
      </c>
      <c r="I8" s="219">
        <v>75</v>
      </c>
      <c r="J8" s="219">
        <v>67.877295787099996</v>
      </c>
      <c r="K8" s="219">
        <v>61.409906405199997</v>
      </c>
      <c r="L8" s="219">
        <v>56.4790876924</v>
      </c>
      <c r="M8" s="219">
        <v>52.784745150100001</v>
      </c>
      <c r="N8" s="219">
        <v>54.249524658299997</v>
      </c>
      <c r="O8" s="219">
        <v>57.544662200700003</v>
      </c>
      <c r="P8" s="219">
        <v>61.3947501938</v>
      </c>
      <c r="Q8" s="219">
        <v>64.904004800500005</v>
      </c>
      <c r="R8" s="219">
        <v>77.051660044399995</v>
      </c>
      <c r="S8" s="219">
        <v>93.8967387892</v>
      </c>
      <c r="T8" s="219">
        <v>101.231336044</v>
      </c>
      <c r="U8" s="219">
        <v>104.7174035435</v>
      </c>
      <c r="V8" s="219">
        <v>106.78177865249999</v>
      </c>
      <c r="W8" s="219">
        <v>106.3568349807</v>
      </c>
      <c r="X8" s="219">
        <v>104.1930085325</v>
      </c>
      <c r="Y8" s="219">
        <v>96.865297131800006</v>
      </c>
      <c r="Z8" s="227"/>
      <c r="AA8" s="220">
        <v>52.784745150100001</v>
      </c>
      <c r="AB8" s="220">
        <v>108.9042751242</v>
      </c>
      <c r="AC8" s="220">
        <v>80.7615387699</v>
      </c>
      <c r="AD8" s="158">
        <v>71.67210349462367</v>
      </c>
      <c r="AE8" s="171"/>
      <c r="AF8" s="169"/>
      <c r="AG8" s="165">
        <v>96.689838709677403</v>
      </c>
      <c r="AI8" s="169">
        <f>AD8/AG8-1</f>
        <v>-0.25874213411579283</v>
      </c>
      <c r="AK8" s="165">
        <v>77.905099462365555</v>
      </c>
      <c r="AM8" s="169">
        <f>AD8/AK8-1</f>
        <v>-8.0007547782580346E-2</v>
      </c>
      <c r="AN8" s="62">
        <f>AB8-AA8</f>
        <v>56.119529974099997</v>
      </c>
      <c r="AQ8" s="119">
        <v>1</v>
      </c>
    </row>
    <row r="9" spans="1:43">
      <c r="A9" s="124" t="s">
        <v>252</v>
      </c>
      <c r="B9" s="219">
        <v>80.553189374300004</v>
      </c>
      <c r="C9" s="219">
        <v>63.551465489500004</v>
      </c>
      <c r="D9" s="219">
        <v>59.1087352893</v>
      </c>
      <c r="E9" s="219">
        <v>56.3319342777</v>
      </c>
      <c r="F9" s="219">
        <v>55.01</v>
      </c>
      <c r="G9" s="219">
        <v>55.368098979300001</v>
      </c>
      <c r="H9" s="219">
        <v>61.274596338099997</v>
      </c>
      <c r="I9" s="219">
        <v>77.181810451700002</v>
      </c>
      <c r="J9" s="219">
        <v>84.898487573400004</v>
      </c>
      <c r="K9" s="219">
        <v>89.372145044299998</v>
      </c>
      <c r="L9" s="219">
        <v>88.659522926799994</v>
      </c>
      <c r="M9" s="219">
        <v>84.615937010400003</v>
      </c>
      <c r="N9" s="219">
        <v>80.159988079900003</v>
      </c>
      <c r="O9" s="219">
        <v>74.384353519699999</v>
      </c>
      <c r="P9" s="219">
        <v>77.886254745200006</v>
      </c>
      <c r="Q9" s="219">
        <v>85.060188213900005</v>
      </c>
      <c r="R9" s="219">
        <v>95.282908393</v>
      </c>
      <c r="S9" s="219">
        <v>99.8602312772</v>
      </c>
      <c r="T9" s="219">
        <v>103.62557893250001</v>
      </c>
      <c r="U9" s="219">
        <v>103.16209819060001</v>
      </c>
      <c r="V9" s="219">
        <v>106.61213030970001</v>
      </c>
      <c r="W9" s="219">
        <v>107.0389535763</v>
      </c>
      <c r="X9" s="219">
        <v>103.68666479629999</v>
      </c>
      <c r="Y9" s="219">
        <v>97.849086002600004</v>
      </c>
      <c r="Z9" s="227"/>
      <c r="AA9" s="220">
        <v>55.01</v>
      </c>
      <c r="AB9" s="220">
        <v>107.0389535763</v>
      </c>
      <c r="AC9" s="220">
        <v>84.051031403899998</v>
      </c>
      <c r="AD9" s="62"/>
      <c r="AN9" s="62">
        <f t="shared" ref="AN9:AN37" si="0">AB9-AA9</f>
        <v>52.028953576300005</v>
      </c>
      <c r="AQ9" s="119">
        <v>2</v>
      </c>
    </row>
    <row r="10" spans="1:43">
      <c r="A10" s="124" t="s">
        <v>253</v>
      </c>
      <c r="B10" s="219">
        <v>80.438517419199997</v>
      </c>
      <c r="C10" s="219">
        <v>78.678115579999996</v>
      </c>
      <c r="D10" s="219">
        <v>76.8189911698</v>
      </c>
      <c r="E10" s="219">
        <v>75.872449017099996</v>
      </c>
      <c r="F10" s="219">
        <v>73.9401345088</v>
      </c>
      <c r="G10" s="219">
        <v>75.266903018600004</v>
      </c>
      <c r="H10" s="219">
        <v>76.582478994799999</v>
      </c>
      <c r="I10" s="219">
        <v>79.740774824100001</v>
      </c>
      <c r="J10" s="219">
        <v>90.723832861299996</v>
      </c>
      <c r="K10" s="219">
        <v>94.033341051199997</v>
      </c>
      <c r="L10" s="219">
        <v>93.207376250400003</v>
      </c>
      <c r="M10" s="219">
        <v>88.663401583999999</v>
      </c>
      <c r="N10" s="219">
        <v>87.411212020899995</v>
      </c>
      <c r="O10" s="219">
        <v>86.605553161200007</v>
      </c>
      <c r="P10" s="219">
        <v>89.732595992399993</v>
      </c>
      <c r="Q10" s="219">
        <v>95.034010659200007</v>
      </c>
      <c r="R10" s="219">
        <v>100.261955628</v>
      </c>
      <c r="S10" s="219">
        <v>108.0669872543</v>
      </c>
      <c r="T10" s="219">
        <v>103.7758481332</v>
      </c>
      <c r="U10" s="219">
        <v>101.02221281200001</v>
      </c>
      <c r="V10" s="219">
        <v>98.073296628899996</v>
      </c>
      <c r="W10" s="219">
        <v>91.705624268500003</v>
      </c>
      <c r="X10" s="219">
        <v>90.375470900799996</v>
      </c>
      <c r="Y10" s="219">
        <v>85.889388280899993</v>
      </c>
      <c r="Z10" s="227"/>
      <c r="AA10" s="220">
        <v>73.9401345088</v>
      </c>
      <c r="AB10" s="220">
        <v>108.0669872543</v>
      </c>
      <c r="AC10" s="220">
        <v>89.559846007700003</v>
      </c>
      <c r="AN10" s="62">
        <f t="shared" si="0"/>
        <v>34.126852745500003</v>
      </c>
      <c r="AQ10" s="119">
        <v>3</v>
      </c>
    </row>
    <row r="11" spans="1:43">
      <c r="A11" s="124" t="s">
        <v>254</v>
      </c>
      <c r="B11" s="219">
        <v>87.667517857600004</v>
      </c>
      <c r="C11" s="219">
        <v>65.773139332599996</v>
      </c>
      <c r="D11" s="219">
        <v>60.1072748566</v>
      </c>
      <c r="E11" s="219">
        <v>57.562827872299998</v>
      </c>
      <c r="F11" s="219">
        <v>53.374807930000003</v>
      </c>
      <c r="G11" s="219">
        <v>50.428821178699998</v>
      </c>
      <c r="H11" s="219">
        <v>54.390453549500002</v>
      </c>
      <c r="I11" s="219">
        <v>56.756221637499998</v>
      </c>
      <c r="J11" s="219">
        <v>57.7854755647</v>
      </c>
      <c r="K11" s="219">
        <v>55.955903600299997</v>
      </c>
      <c r="L11" s="219">
        <v>55.524473067300001</v>
      </c>
      <c r="M11" s="219">
        <v>57.979229863</v>
      </c>
      <c r="N11" s="219">
        <v>58.110146480399997</v>
      </c>
      <c r="O11" s="219">
        <v>60.086060560999996</v>
      </c>
      <c r="P11" s="219">
        <v>61.240308076799998</v>
      </c>
      <c r="Q11" s="219">
        <v>61.002768125999999</v>
      </c>
      <c r="R11" s="219">
        <v>62.574904510400003</v>
      </c>
      <c r="S11" s="219">
        <v>67.822594100000003</v>
      </c>
      <c r="T11" s="219">
        <v>80.820719771900002</v>
      </c>
      <c r="U11" s="219">
        <v>84.563458241199996</v>
      </c>
      <c r="V11" s="219">
        <v>88.180425412700004</v>
      </c>
      <c r="W11" s="219">
        <v>97.692713283000003</v>
      </c>
      <c r="X11" s="219">
        <v>87.8559935416</v>
      </c>
      <c r="Y11" s="219">
        <v>78.567129160099995</v>
      </c>
      <c r="Z11" s="227"/>
      <c r="AA11" s="220">
        <v>50.428821178699998</v>
      </c>
      <c r="AB11" s="220">
        <v>97.692713283000003</v>
      </c>
      <c r="AC11" s="220">
        <v>66.326763978700001</v>
      </c>
      <c r="AN11" s="62">
        <f t="shared" si="0"/>
        <v>47.263892104300005</v>
      </c>
      <c r="AQ11" s="119">
        <v>4</v>
      </c>
    </row>
    <row r="12" spans="1:43">
      <c r="A12" s="124" t="s">
        <v>255</v>
      </c>
      <c r="B12" s="219">
        <v>88.070873656000003</v>
      </c>
      <c r="C12" s="219">
        <v>71.663199612900002</v>
      </c>
      <c r="D12" s="219">
        <v>62.9864744797</v>
      </c>
      <c r="E12" s="219">
        <v>61.932675293800003</v>
      </c>
      <c r="F12" s="219">
        <v>61.931974718699998</v>
      </c>
      <c r="G12" s="219">
        <v>64.193731622499996</v>
      </c>
      <c r="H12" s="219">
        <v>77.3169197088</v>
      </c>
      <c r="I12" s="219">
        <v>94.0794096706</v>
      </c>
      <c r="J12" s="219">
        <v>102.97544087919999</v>
      </c>
      <c r="K12" s="219">
        <v>107.90387360770001</v>
      </c>
      <c r="L12" s="219">
        <v>104.2419040772</v>
      </c>
      <c r="M12" s="219">
        <v>100.5270814627</v>
      </c>
      <c r="N12" s="219">
        <v>97.707688583999996</v>
      </c>
      <c r="O12" s="219">
        <v>98.0374661906</v>
      </c>
      <c r="P12" s="219">
        <v>97.98</v>
      </c>
      <c r="Q12" s="219">
        <v>97.594556582899997</v>
      </c>
      <c r="R12" s="219">
        <v>102.9277338733</v>
      </c>
      <c r="S12" s="219">
        <v>114.9961645943</v>
      </c>
      <c r="T12" s="219">
        <v>123.69562772170001</v>
      </c>
      <c r="U12" s="219">
        <v>116.90588776440001</v>
      </c>
      <c r="V12" s="219">
        <v>116.72130080150001</v>
      </c>
      <c r="W12" s="219">
        <v>113.0677850247</v>
      </c>
      <c r="X12" s="219">
        <v>109.75159260300001</v>
      </c>
      <c r="Y12" s="219">
        <v>103.3191399344</v>
      </c>
      <c r="Z12" s="227"/>
      <c r="AA12" s="220">
        <v>61.931974718699998</v>
      </c>
      <c r="AB12" s="220">
        <v>123.69562772170001</v>
      </c>
      <c r="AC12" s="220">
        <v>96.389938464099998</v>
      </c>
      <c r="AN12" s="62">
        <f t="shared" si="0"/>
        <v>61.763653003000009</v>
      </c>
      <c r="AQ12" s="119">
        <v>5</v>
      </c>
    </row>
    <row r="13" spans="1:43">
      <c r="A13" s="124" t="s">
        <v>256</v>
      </c>
      <c r="B13" s="219">
        <v>100.5512698206</v>
      </c>
      <c r="C13" s="219">
        <v>81.803264047400006</v>
      </c>
      <c r="D13" s="219">
        <v>70.549431903599995</v>
      </c>
      <c r="E13" s="219">
        <v>68.330250467900001</v>
      </c>
      <c r="F13" s="219">
        <v>65.467973844200003</v>
      </c>
      <c r="G13" s="219">
        <v>64.272269271100001</v>
      </c>
      <c r="H13" s="219">
        <v>64.192606174100007</v>
      </c>
      <c r="I13" s="219">
        <v>67.550023504799995</v>
      </c>
      <c r="J13" s="219">
        <v>71.375084158700005</v>
      </c>
      <c r="K13" s="219">
        <v>64.839950900600002</v>
      </c>
      <c r="L13" s="221">
        <v>11.7511603983</v>
      </c>
      <c r="M13" s="221">
        <v>1.6535330568</v>
      </c>
      <c r="N13" s="221">
        <v>0.91500265810000003</v>
      </c>
      <c r="O13" s="221">
        <v>0.98751085770000002</v>
      </c>
      <c r="P13" s="221">
        <v>0.97518153910000005</v>
      </c>
      <c r="Q13" s="222">
        <v>0</v>
      </c>
      <c r="R13" s="221">
        <v>19.375299141199999</v>
      </c>
      <c r="S13" s="219">
        <v>89.048046789200001</v>
      </c>
      <c r="T13" s="219">
        <v>111.45183417</v>
      </c>
      <c r="U13" s="219">
        <v>114.7828145993</v>
      </c>
      <c r="V13" s="219">
        <v>117.96857347700001</v>
      </c>
      <c r="W13" s="219">
        <v>112.62945269319999</v>
      </c>
      <c r="X13" s="219">
        <v>107.9676120541</v>
      </c>
      <c r="Y13" s="219">
        <v>98.248430851999998</v>
      </c>
      <c r="Z13" s="227"/>
      <c r="AA13" s="220">
        <v>0</v>
      </c>
      <c r="AB13" s="220">
        <v>117.96857347700001</v>
      </c>
      <c r="AC13" s="220">
        <v>55.537017585299999</v>
      </c>
      <c r="AN13" s="62">
        <f t="shared" si="0"/>
        <v>117.96857347700001</v>
      </c>
      <c r="AQ13" s="119">
        <v>6</v>
      </c>
    </row>
    <row r="14" spans="1:43">
      <c r="A14" s="124" t="s">
        <v>257</v>
      </c>
      <c r="B14" s="219">
        <v>95.6805683993</v>
      </c>
      <c r="C14" s="219">
        <v>90.373709644300007</v>
      </c>
      <c r="D14" s="219">
        <v>86.525113464</v>
      </c>
      <c r="E14" s="219">
        <v>82.387356500500005</v>
      </c>
      <c r="F14" s="219">
        <v>81.959687656100002</v>
      </c>
      <c r="G14" s="219">
        <v>87.821094711300006</v>
      </c>
      <c r="H14" s="219">
        <v>95.928699853200001</v>
      </c>
      <c r="I14" s="219">
        <v>110.6845375768</v>
      </c>
      <c r="J14" s="219">
        <v>116.5278058758</v>
      </c>
      <c r="K14" s="219">
        <v>112.4873724624</v>
      </c>
      <c r="L14" s="219">
        <v>103.7946002763</v>
      </c>
      <c r="M14" s="219">
        <v>101.45509888239999</v>
      </c>
      <c r="N14" s="219">
        <v>96.144490622800006</v>
      </c>
      <c r="O14" s="219">
        <v>94.310488318099999</v>
      </c>
      <c r="P14" s="219">
        <v>90.572399791300001</v>
      </c>
      <c r="Q14" s="219">
        <v>97.968251156299999</v>
      </c>
      <c r="R14" s="219">
        <v>106.10152881499999</v>
      </c>
      <c r="S14" s="219">
        <v>115.43224549830001</v>
      </c>
      <c r="T14" s="219">
        <v>134.92896344549999</v>
      </c>
      <c r="U14" s="219">
        <v>132.06496153169999</v>
      </c>
      <c r="V14" s="219">
        <v>119.7844292167</v>
      </c>
      <c r="W14" s="219">
        <v>109.62943831539999</v>
      </c>
      <c r="X14" s="219">
        <v>103.05832304979999</v>
      </c>
      <c r="Y14" s="219">
        <v>90.421721929</v>
      </c>
      <c r="Z14" s="227"/>
      <c r="AA14" s="220">
        <v>81.959687656100002</v>
      </c>
      <c r="AB14" s="220">
        <v>134.92896344549999</v>
      </c>
      <c r="AC14" s="220">
        <v>103.52590344550001</v>
      </c>
      <c r="AN14" s="62">
        <f t="shared" si="0"/>
        <v>52.969275789399987</v>
      </c>
      <c r="AQ14" s="119">
        <v>7</v>
      </c>
    </row>
    <row r="15" spans="1:43">
      <c r="A15" s="124" t="s">
        <v>258</v>
      </c>
      <c r="B15" s="219">
        <v>84.783324547299998</v>
      </c>
      <c r="C15" s="219">
        <v>83.578496956199999</v>
      </c>
      <c r="D15" s="219">
        <v>82.176871329899996</v>
      </c>
      <c r="E15" s="219">
        <v>79.063732774000002</v>
      </c>
      <c r="F15" s="219">
        <v>74.464225855799995</v>
      </c>
      <c r="G15" s="219">
        <v>77.970307276900002</v>
      </c>
      <c r="H15" s="219">
        <v>81.012379404599997</v>
      </c>
      <c r="I15" s="219">
        <v>95.763681501099995</v>
      </c>
      <c r="J15" s="219">
        <v>107.3832529714</v>
      </c>
      <c r="K15" s="219">
        <v>95.302297113400002</v>
      </c>
      <c r="L15" s="219">
        <v>73.240488506700004</v>
      </c>
      <c r="M15" s="219">
        <v>68.787977931900002</v>
      </c>
      <c r="N15" s="219">
        <v>65.729046885499997</v>
      </c>
      <c r="O15" s="219">
        <v>63.5449592497</v>
      </c>
      <c r="P15" s="219">
        <v>60.082410597500001</v>
      </c>
      <c r="Q15" s="219">
        <v>63.367686280400001</v>
      </c>
      <c r="R15" s="219">
        <v>76.275694432899996</v>
      </c>
      <c r="S15" s="219">
        <v>85.432277855699994</v>
      </c>
      <c r="T15" s="219">
        <v>97.855734452799993</v>
      </c>
      <c r="U15" s="219">
        <v>98.737603715199995</v>
      </c>
      <c r="V15" s="219">
        <v>93.548869428100005</v>
      </c>
      <c r="W15" s="219">
        <v>86.731090876500005</v>
      </c>
      <c r="X15" s="219">
        <v>82.973413224699996</v>
      </c>
      <c r="Y15" s="219">
        <v>73.483494547000006</v>
      </c>
      <c r="Z15" s="227"/>
      <c r="AA15" s="220">
        <v>60.082410597500001</v>
      </c>
      <c r="AB15" s="220">
        <v>107.3832529714</v>
      </c>
      <c r="AC15" s="220">
        <v>80.092615788800003</v>
      </c>
      <c r="AN15" s="62">
        <f t="shared" si="0"/>
        <v>47.300842373899997</v>
      </c>
      <c r="AQ15" s="119">
        <v>8</v>
      </c>
    </row>
    <row r="16" spans="1:43">
      <c r="A16" s="124" t="s">
        <v>259</v>
      </c>
      <c r="B16" s="219">
        <v>61.646686770599999</v>
      </c>
      <c r="C16" s="184">
        <v>44.364962649799999</v>
      </c>
      <c r="D16" s="184">
        <v>38.246938940200003</v>
      </c>
      <c r="E16" s="184">
        <v>25.042136639599999</v>
      </c>
      <c r="F16" s="221">
        <v>20.000408755999999</v>
      </c>
      <c r="G16" s="184">
        <v>35.729234551899999</v>
      </c>
      <c r="H16" s="219">
        <v>49.469553728800001</v>
      </c>
      <c r="I16" s="219">
        <v>70.113322533499996</v>
      </c>
      <c r="J16" s="219">
        <v>78.586132723399999</v>
      </c>
      <c r="K16" s="219">
        <v>67.637046943399994</v>
      </c>
      <c r="L16" s="219">
        <v>55.614445982100001</v>
      </c>
      <c r="M16" s="184">
        <v>42.485032434899999</v>
      </c>
      <c r="N16" s="184">
        <v>26.051694589299998</v>
      </c>
      <c r="O16" s="221">
        <v>16.252117567900001</v>
      </c>
      <c r="P16" s="221">
        <v>6.5002692876000001</v>
      </c>
      <c r="Q16" s="221">
        <v>14.917090257</v>
      </c>
      <c r="R16" s="219">
        <v>47.738964617599997</v>
      </c>
      <c r="S16" s="219">
        <v>70.465692677899995</v>
      </c>
      <c r="T16" s="219">
        <v>85.0277422124</v>
      </c>
      <c r="U16" s="219">
        <v>91.247239075400003</v>
      </c>
      <c r="V16" s="219">
        <v>87.596265983099997</v>
      </c>
      <c r="W16" s="219">
        <v>84.1009947071</v>
      </c>
      <c r="X16" s="219">
        <v>83.030917865299998</v>
      </c>
      <c r="Y16" s="219">
        <v>77.227200575799998</v>
      </c>
      <c r="Z16" s="227"/>
      <c r="AA16" s="220">
        <v>6.5002692876000001</v>
      </c>
      <c r="AB16" s="220">
        <v>91.247239075400003</v>
      </c>
      <c r="AC16" s="220">
        <v>50.129476558999997</v>
      </c>
      <c r="AN16" s="62">
        <f t="shared" si="0"/>
        <v>84.746969787799998</v>
      </c>
      <c r="AQ16" s="119">
        <v>9</v>
      </c>
    </row>
    <row r="17" spans="1:43">
      <c r="A17" s="124" t="s">
        <v>260</v>
      </c>
      <c r="B17" s="219">
        <v>75.156439168600002</v>
      </c>
      <c r="C17" s="219">
        <v>70.103408450800003</v>
      </c>
      <c r="D17" s="219">
        <v>65.180523669500005</v>
      </c>
      <c r="E17" s="219">
        <v>59.9170968898</v>
      </c>
      <c r="F17" s="219">
        <v>55</v>
      </c>
      <c r="G17" s="219">
        <v>54.271510940500001</v>
      </c>
      <c r="H17" s="219">
        <v>62.718963762100003</v>
      </c>
      <c r="I17" s="219">
        <v>70.172520318699995</v>
      </c>
      <c r="J17" s="219">
        <v>80.469164592300004</v>
      </c>
      <c r="K17" s="219">
        <v>82.813432386900004</v>
      </c>
      <c r="L17" s="219">
        <v>64.846713085499999</v>
      </c>
      <c r="M17" s="219">
        <v>47.080984695700003</v>
      </c>
      <c r="N17" s="184">
        <v>28.757379639100002</v>
      </c>
      <c r="O17" s="184">
        <v>30.781302829000001</v>
      </c>
      <c r="P17" s="184">
        <v>36.822404993600003</v>
      </c>
      <c r="Q17" s="219">
        <v>48.117382675599998</v>
      </c>
      <c r="R17" s="219">
        <v>70.122346753599999</v>
      </c>
      <c r="S17" s="219">
        <v>95.830173695599996</v>
      </c>
      <c r="T17" s="219">
        <v>118.72974925770001</v>
      </c>
      <c r="U17" s="219">
        <v>126.2799167817</v>
      </c>
      <c r="V17" s="219">
        <v>112.2743922233</v>
      </c>
      <c r="W17" s="219">
        <v>101.18634528450001</v>
      </c>
      <c r="X17" s="219">
        <v>100.4403302346</v>
      </c>
      <c r="Y17" s="219">
        <v>98.186912435599993</v>
      </c>
      <c r="Z17" s="227"/>
      <c r="AA17" s="220">
        <v>28.757379639100002</v>
      </c>
      <c r="AB17" s="220">
        <v>126.2799167817</v>
      </c>
      <c r="AC17" s="220">
        <v>69.059946008799997</v>
      </c>
      <c r="AN17" s="62">
        <f t="shared" si="0"/>
        <v>97.522537142599987</v>
      </c>
      <c r="AQ17" s="119">
        <v>10</v>
      </c>
    </row>
    <row r="18" spans="1:43">
      <c r="A18" s="124" t="s">
        <v>261</v>
      </c>
      <c r="B18" s="219">
        <v>96.956886606799998</v>
      </c>
      <c r="C18" s="219">
        <v>85.698404821699995</v>
      </c>
      <c r="D18" s="219">
        <v>81.561986247899995</v>
      </c>
      <c r="E18" s="219">
        <v>82.587278061000006</v>
      </c>
      <c r="F18" s="219">
        <v>81.5629859907</v>
      </c>
      <c r="G18" s="219">
        <v>82.271186569999998</v>
      </c>
      <c r="H18" s="219">
        <v>81.596726058599998</v>
      </c>
      <c r="I18" s="219">
        <v>84.253707771899997</v>
      </c>
      <c r="J18" s="219">
        <v>90.671213979499996</v>
      </c>
      <c r="K18" s="219">
        <v>83.204224703500003</v>
      </c>
      <c r="L18" s="219">
        <v>69.310856025999996</v>
      </c>
      <c r="M18" s="219">
        <v>53.997780891399998</v>
      </c>
      <c r="N18" s="219">
        <v>50.465381618000002</v>
      </c>
      <c r="O18" s="219">
        <v>53.047920161699999</v>
      </c>
      <c r="P18" s="219">
        <v>55.102596707899998</v>
      </c>
      <c r="Q18" s="219">
        <v>58.0458385393</v>
      </c>
      <c r="R18" s="219">
        <v>76.015089123400003</v>
      </c>
      <c r="S18" s="219">
        <v>92.302775399200002</v>
      </c>
      <c r="T18" s="219">
        <v>103.18430281889999</v>
      </c>
      <c r="U18" s="219">
        <v>102.1309448037</v>
      </c>
      <c r="V18" s="219">
        <v>99.006497709000001</v>
      </c>
      <c r="W18" s="219">
        <v>96.5328420747</v>
      </c>
      <c r="X18" s="219">
        <v>92.542935123299998</v>
      </c>
      <c r="Y18" s="219">
        <v>80.965447748700001</v>
      </c>
      <c r="Z18" s="227"/>
      <c r="AA18" s="220">
        <v>50.465381618000002</v>
      </c>
      <c r="AB18" s="220">
        <v>103.18430281889999</v>
      </c>
      <c r="AC18" s="220">
        <v>77.837112332800004</v>
      </c>
      <c r="AN18" s="62">
        <f t="shared" si="0"/>
        <v>52.718921200899992</v>
      </c>
      <c r="AQ18" s="119">
        <v>11</v>
      </c>
    </row>
    <row r="19" spans="1:43">
      <c r="A19" s="124" t="s">
        <v>262</v>
      </c>
      <c r="B19" s="219">
        <v>77.441461777599997</v>
      </c>
      <c r="C19" s="219">
        <v>77.782087481000005</v>
      </c>
      <c r="D19" s="219">
        <v>72.863939317000003</v>
      </c>
      <c r="E19" s="219">
        <v>63.429689484999997</v>
      </c>
      <c r="F19" s="219">
        <v>60.126288385800002</v>
      </c>
      <c r="G19" s="219">
        <v>67.732223487300004</v>
      </c>
      <c r="H19" s="219">
        <v>82.565729549799997</v>
      </c>
      <c r="I19" s="219">
        <v>97.288175610799996</v>
      </c>
      <c r="J19" s="219">
        <v>104.6562643255</v>
      </c>
      <c r="K19" s="219">
        <v>101.10540482010001</v>
      </c>
      <c r="L19" s="219">
        <v>88.947076151600001</v>
      </c>
      <c r="M19" s="219">
        <v>78.656484079899997</v>
      </c>
      <c r="N19" s="219">
        <v>76.372246567299996</v>
      </c>
      <c r="O19" s="219">
        <v>76.8705677544</v>
      </c>
      <c r="P19" s="219">
        <v>77.330495994299994</v>
      </c>
      <c r="Q19" s="219">
        <v>75.917401378400001</v>
      </c>
      <c r="R19" s="219">
        <v>85.261648414899994</v>
      </c>
      <c r="S19" s="219">
        <v>102.90630087700001</v>
      </c>
      <c r="T19" s="219">
        <v>116.50426613899999</v>
      </c>
      <c r="U19" s="219">
        <v>115.6700447716</v>
      </c>
      <c r="V19" s="219">
        <v>119.6407887605</v>
      </c>
      <c r="W19" s="219">
        <v>118.49481790580001</v>
      </c>
      <c r="X19" s="219">
        <v>99.385047785099999</v>
      </c>
      <c r="Y19" s="219">
        <v>86.395776701399996</v>
      </c>
      <c r="Z19" s="227"/>
      <c r="AA19" s="220">
        <v>60.126288385800002</v>
      </c>
      <c r="AB19" s="220">
        <v>119.6407887605</v>
      </c>
      <c r="AC19" s="220">
        <v>88.866544541400003</v>
      </c>
      <c r="AN19" s="62">
        <f t="shared" si="0"/>
        <v>59.514500374699999</v>
      </c>
      <c r="AQ19" s="119">
        <v>12</v>
      </c>
    </row>
    <row r="20" spans="1:43">
      <c r="A20" s="124" t="s">
        <v>263</v>
      </c>
      <c r="B20" s="219">
        <v>83.401000667700004</v>
      </c>
      <c r="C20" s="219">
        <v>80.043594511099997</v>
      </c>
      <c r="D20" s="219">
        <v>78.462772358600006</v>
      </c>
      <c r="E20" s="219">
        <v>75.884735485600004</v>
      </c>
      <c r="F20" s="219">
        <v>74.657446135200004</v>
      </c>
      <c r="G20" s="219">
        <v>77.033174967500003</v>
      </c>
      <c r="H20" s="219">
        <v>86.819502845299994</v>
      </c>
      <c r="I20" s="219">
        <v>97.611914760800005</v>
      </c>
      <c r="J20" s="219">
        <v>106.58851963399999</v>
      </c>
      <c r="K20" s="219">
        <v>101.6355697546</v>
      </c>
      <c r="L20" s="219">
        <v>94.958903969199994</v>
      </c>
      <c r="M20" s="219">
        <v>87.263347242699993</v>
      </c>
      <c r="N20" s="219">
        <v>80.665926006999996</v>
      </c>
      <c r="O20" s="219">
        <v>76.764269926099999</v>
      </c>
      <c r="P20" s="219">
        <v>78.516943270900001</v>
      </c>
      <c r="Q20" s="219">
        <v>87.560995584899999</v>
      </c>
      <c r="R20" s="219">
        <v>92.189359166499997</v>
      </c>
      <c r="S20" s="219">
        <v>102.622534397</v>
      </c>
      <c r="T20" s="219">
        <v>114.2032530012</v>
      </c>
      <c r="U20" s="219">
        <v>116.73642212039999</v>
      </c>
      <c r="V20" s="219">
        <v>140.65504860909999</v>
      </c>
      <c r="W20" s="219">
        <v>135.65763237179999</v>
      </c>
      <c r="X20" s="219">
        <v>117.1296795067</v>
      </c>
      <c r="Y20" s="219">
        <v>109.4120005912</v>
      </c>
      <c r="Z20" s="227"/>
      <c r="AA20" s="220">
        <v>74.657446135200004</v>
      </c>
      <c r="AB20" s="220">
        <v>140.65504860909999</v>
      </c>
      <c r="AC20" s="220">
        <v>96.477812082400007</v>
      </c>
      <c r="AN20" s="62">
        <f t="shared" si="0"/>
        <v>65.997602473899988</v>
      </c>
      <c r="AQ20" s="119">
        <v>13</v>
      </c>
    </row>
    <row r="21" spans="1:43">
      <c r="A21" s="124" t="s">
        <v>264</v>
      </c>
      <c r="B21" s="219">
        <v>103.0039099745</v>
      </c>
      <c r="C21" s="219">
        <v>95.853108294799995</v>
      </c>
      <c r="D21" s="219">
        <v>88.882870019799995</v>
      </c>
      <c r="E21" s="219">
        <v>88.965868962200005</v>
      </c>
      <c r="F21" s="219">
        <v>89.651977100799996</v>
      </c>
      <c r="G21" s="219">
        <v>96.489931352400006</v>
      </c>
      <c r="H21" s="219">
        <v>100.45753998249999</v>
      </c>
      <c r="I21" s="219">
        <v>125.6983628899</v>
      </c>
      <c r="J21" s="219">
        <v>134.52274086860001</v>
      </c>
      <c r="K21" s="219">
        <v>136.3919192182</v>
      </c>
      <c r="L21" s="219">
        <v>121.35993705440001</v>
      </c>
      <c r="M21" s="219">
        <v>112.8436239155</v>
      </c>
      <c r="N21" s="219">
        <v>108.2770132002</v>
      </c>
      <c r="O21" s="219">
        <v>103.2734756669</v>
      </c>
      <c r="P21" s="219">
        <v>107.21548820859999</v>
      </c>
      <c r="Q21" s="219">
        <v>111.9652515639</v>
      </c>
      <c r="R21" s="219">
        <v>126.01983673860001</v>
      </c>
      <c r="S21" s="219">
        <v>138.21563353720001</v>
      </c>
      <c r="T21" s="219">
        <v>166.14497781349999</v>
      </c>
      <c r="U21" s="219">
        <v>154.5597351772</v>
      </c>
      <c r="V21" s="219">
        <v>143.8721233551</v>
      </c>
      <c r="W21" s="219">
        <v>124.6524997591</v>
      </c>
      <c r="X21" s="219">
        <v>105.05378685709999</v>
      </c>
      <c r="Y21" s="219">
        <v>90.4120092677</v>
      </c>
      <c r="Z21" s="227"/>
      <c r="AA21" s="220">
        <v>88.882870019799995</v>
      </c>
      <c r="AB21" s="220">
        <v>166.14497781349999</v>
      </c>
      <c r="AC21" s="220">
        <v>117.2481616047</v>
      </c>
      <c r="AN21" s="62">
        <f t="shared" si="0"/>
        <v>77.262107793699997</v>
      </c>
      <c r="AQ21" s="119">
        <v>14</v>
      </c>
    </row>
    <row r="22" spans="1:43">
      <c r="A22" s="124" t="s">
        <v>265</v>
      </c>
      <c r="B22" s="219">
        <v>119.1263355387</v>
      </c>
      <c r="C22" s="219">
        <v>107.5959857548</v>
      </c>
      <c r="D22" s="219">
        <v>101.38866203480001</v>
      </c>
      <c r="E22" s="219">
        <v>94.824087791400004</v>
      </c>
      <c r="F22" s="219">
        <v>87.025375625099997</v>
      </c>
      <c r="G22" s="219">
        <v>86.314958107199999</v>
      </c>
      <c r="H22" s="219">
        <v>98.983549103000001</v>
      </c>
      <c r="I22" s="219">
        <v>112.74762687170001</v>
      </c>
      <c r="J22" s="219">
        <v>114.6879688121</v>
      </c>
      <c r="K22" s="219">
        <v>105.3733127708</v>
      </c>
      <c r="L22" s="219">
        <v>98.465414096200007</v>
      </c>
      <c r="M22" s="219">
        <v>94.860201142199998</v>
      </c>
      <c r="N22" s="219">
        <v>92.195789085599998</v>
      </c>
      <c r="O22" s="219">
        <v>86.666464954199995</v>
      </c>
      <c r="P22" s="219">
        <v>89.802338639599995</v>
      </c>
      <c r="Q22" s="219">
        <v>94.419921486700005</v>
      </c>
      <c r="R22" s="219">
        <v>105.00493546360001</v>
      </c>
      <c r="S22" s="219">
        <v>113.0975031314</v>
      </c>
      <c r="T22" s="219">
        <v>116.68885776809999</v>
      </c>
      <c r="U22" s="219">
        <v>120.7305612083</v>
      </c>
      <c r="V22" s="219">
        <v>133.06849407070001</v>
      </c>
      <c r="W22" s="219">
        <v>138.22207271939999</v>
      </c>
      <c r="X22" s="219">
        <v>128.736776873</v>
      </c>
      <c r="Y22" s="219">
        <v>113.943195816</v>
      </c>
      <c r="Z22" s="227"/>
      <c r="AA22" s="220">
        <v>86.314958107199999</v>
      </c>
      <c r="AB22" s="220">
        <v>138.22207271939999</v>
      </c>
      <c r="AC22" s="220">
        <v>106.6628760479</v>
      </c>
      <c r="AN22" s="62">
        <f t="shared" si="0"/>
        <v>51.90711461219999</v>
      </c>
      <c r="AQ22" s="119">
        <v>15</v>
      </c>
    </row>
    <row r="23" spans="1:43">
      <c r="A23" s="124" t="s">
        <v>266</v>
      </c>
      <c r="B23" s="219">
        <v>100.9261678238</v>
      </c>
      <c r="C23" s="219">
        <v>95.039825942600004</v>
      </c>
      <c r="D23" s="219">
        <v>94.753069618400005</v>
      </c>
      <c r="E23" s="219">
        <v>94.947560076399995</v>
      </c>
      <c r="F23" s="219">
        <v>94.752305801700004</v>
      </c>
      <c r="G23" s="219">
        <v>95.4120007673</v>
      </c>
      <c r="H23" s="219">
        <v>103.0256832168</v>
      </c>
      <c r="I23" s="219">
        <v>122.0419092596</v>
      </c>
      <c r="J23" s="219">
        <v>133.62437872090001</v>
      </c>
      <c r="K23" s="219">
        <v>130.244894045</v>
      </c>
      <c r="L23" s="219">
        <v>118.25978884209999</v>
      </c>
      <c r="M23" s="219">
        <v>111.2855542117</v>
      </c>
      <c r="N23" s="219">
        <v>109.83691412749999</v>
      </c>
      <c r="O23" s="219">
        <v>108.1532699317</v>
      </c>
      <c r="P23" s="219">
        <v>116.0261239774</v>
      </c>
      <c r="Q23" s="219">
        <v>124.3480927307</v>
      </c>
      <c r="R23" s="219">
        <v>127.64011307139999</v>
      </c>
      <c r="S23" s="219">
        <v>147.53334108269999</v>
      </c>
      <c r="T23" s="219">
        <v>156.86039873249999</v>
      </c>
      <c r="U23" s="219">
        <v>152.73655612850001</v>
      </c>
      <c r="V23" s="219">
        <v>136.9933913946</v>
      </c>
      <c r="W23" s="219">
        <v>132.04747281569999</v>
      </c>
      <c r="X23" s="219">
        <v>126.736725519</v>
      </c>
      <c r="Y23" s="219">
        <v>122.6250615057</v>
      </c>
      <c r="Z23" s="227"/>
      <c r="AA23" s="220">
        <v>94.752305801700004</v>
      </c>
      <c r="AB23" s="220">
        <v>156.86039873249999</v>
      </c>
      <c r="AC23" s="220">
        <v>120.1438208008</v>
      </c>
      <c r="AN23" s="62">
        <f t="shared" si="0"/>
        <v>62.108092930799984</v>
      </c>
      <c r="AQ23" s="119">
        <v>16</v>
      </c>
    </row>
    <row r="24" spans="1:43">
      <c r="A24" s="124" t="s">
        <v>267</v>
      </c>
      <c r="B24" s="219">
        <v>135.63435885120001</v>
      </c>
      <c r="C24" s="219">
        <v>126.8465708195</v>
      </c>
      <c r="D24" s="219">
        <v>122.91627948830001</v>
      </c>
      <c r="E24" s="219">
        <v>119.8382586835</v>
      </c>
      <c r="F24" s="219">
        <v>119.14</v>
      </c>
      <c r="G24" s="219">
        <v>118.837491542</v>
      </c>
      <c r="H24" s="219">
        <v>120.35293446590001</v>
      </c>
      <c r="I24" s="219">
        <v>123.1386327953</v>
      </c>
      <c r="J24" s="219">
        <v>126.87123165689999</v>
      </c>
      <c r="K24" s="219">
        <v>121.91399618200001</v>
      </c>
      <c r="L24" s="219">
        <v>118.0907015753</v>
      </c>
      <c r="M24" s="219">
        <v>117.98949820129999</v>
      </c>
      <c r="N24" s="219">
        <v>116.69764875929999</v>
      </c>
      <c r="O24" s="219">
        <v>112.05889700909999</v>
      </c>
      <c r="P24" s="219">
        <v>115.77761700640001</v>
      </c>
      <c r="Q24" s="219">
        <v>120.24221989519999</v>
      </c>
      <c r="R24" s="219">
        <v>124.31179066590001</v>
      </c>
      <c r="S24" s="219">
        <v>135.98698947400001</v>
      </c>
      <c r="T24" s="219">
        <v>142.88016157749999</v>
      </c>
      <c r="U24" s="219">
        <v>140.90522227</v>
      </c>
      <c r="V24" s="219">
        <v>155.22570903869999</v>
      </c>
      <c r="W24" s="219">
        <v>154.7318435807</v>
      </c>
      <c r="X24" s="219">
        <v>130.11816929540001</v>
      </c>
      <c r="Y24" s="219">
        <v>133.14413679</v>
      </c>
      <c r="Z24" s="227"/>
      <c r="AA24" s="220">
        <v>112.05889700909999</v>
      </c>
      <c r="AB24" s="220">
        <v>155.22570903869999</v>
      </c>
      <c r="AC24" s="220">
        <v>127.6647540766</v>
      </c>
      <c r="AN24" s="62">
        <f t="shared" si="0"/>
        <v>43.166812029599996</v>
      </c>
      <c r="AQ24" s="119">
        <v>17</v>
      </c>
    </row>
    <row r="25" spans="1:43">
      <c r="A25" s="124" t="s">
        <v>268</v>
      </c>
      <c r="B25" s="219">
        <v>132.17860558059999</v>
      </c>
      <c r="C25" s="219">
        <v>120.0534232161</v>
      </c>
      <c r="D25" s="219">
        <v>109.63997484790001</v>
      </c>
      <c r="E25" s="219">
        <v>102.54370725930001</v>
      </c>
      <c r="F25" s="219">
        <v>102.23823654589999</v>
      </c>
      <c r="G25" s="219">
        <v>102.07238474890001</v>
      </c>
      <c r="H25" s="219">
        <v>101.1808923082</v>
      </c>
      <c r="I25" s="219">
        <v>101.6193890909</v>
      </c>
      <c r="J25" s="219">
        <v>106.3271074532</v>
      </c>
      <c r="K25" s="219">
        <v>107.16499189619999</v>
      </c>
      <c r="L25" s="219">
        <v>101.8464114943</v>
      </c>
      <c r="M25" s="219">
        <v>98.863335587799995</v>
      </c>
      <c r="N25" s="219">
        <v>96.852853274599994</v>
      </c>
      <c r="O25" s="219">
        <v>96.961822505000001</v>
      </c>
      <c r="P25" s="219">
        <v>100.98770439019999</v>
      </c>
      <c r="Q25" s="219">
        <v>104.8048224721</v>
      </c>
      <c r="R25" s="219">
        <v>110.7836735198</v>
      </c>
      <c r="S25" s="219">
        <v>131.20493315269999</v>
      </c>
      <c r="T25" s="219">
        <v>145.3198979268</v>
      </c>
      <c r="U25" s="219">
        <v>152.48540128549999</v>
      </c>
      <c r="V25" s="219">
        <v>177.30405922630001</v>
      </c>
      <c r="W25" s="219">
        <v>166.58722808510001</v>
      </c>
      <c r="X25" s="219">
        <v>142.87069101969999</v>
      </c>
      <c r="Y25" s="219">
        <v>129.43682956379999</v>
      </c>
      <c r="Z25" s="227"/>
      <c r="AA25" s="220">
        <v>96.852853274599994</v>
      </c>
      <c r="AB25" s="220">
        <v>177.30405922630001</v>
      </c>
      <c r="AC25" s="220">
        <v>119.411771277</v>
      </c>
      <c r="AN25" s="62">
        <f t="shared" si="0"/>
        <v>80.451205951700018</v>
      </c>
      <c r="AQ25" s="119">
        <v>18</v>
      </c>
    </row>
    <row r="26" spans="1:43">
      <c r="A26" s="124" t="s">
        <v>269</v>
      </c>
      <c r="B26" s="219">
        <v>119.361008705</v>
      </c>
      <c r="C26" s="219">
        <v>109.9837977375</v>
      </c>
      <c r="D26" s="219">
        <v>102.2089297715</v>
      </c>
      <c r="E26" s="219">
        <v>100.4375642256</v>
      </c>
      <c r="F26" s="219">
        <v>100.1348031153</v>
      </c>
      <c r="G26" s="219">
        <v>102.8810798729</v>
      </c>
      <c r="H26" s="219">
        <v>127.49083146869999</v>
      </c>
      <c r="I26" s="219">
        <v>159.06046027229999</v>
      </c>
      <c r="J26" s="219">
        <v>174.18935916379999</v>
      </c>
      <c r="K26" s="219">
        <v>151.0160435777</v>
      </c>
      <c r="L26" s="219">
        <v>132.3436026439</v>
      </c>
      <c r="M26" s="219">
        <v>121.8988317723</v>
      </c>
      <c r="N26" s="219">
        <v>119.2354285163</v>
      </c>
      <c r="O26" s="219">
        <v>118.98526478159999</v>
      </c>
      <c r="P26" s="219">
        <v>111.96171675630001</v>
      </c>
      <c r="Q26" s="219">
        <v>115.4224088342</v>
      </c>
      <c r="R26" s="219">
        <v>122.9431000392</v>
      </c>
      <c r="S26" s="219">
        <v>139.03192573059999</v>
      </c>
      <c r="T26" s="219">
        <v>183.14022456180001</v>
      </c>
      <c r="U26" s="219">
        <v>181.71542139650001</v>
      </c>
      <c r="V26" s="219">
        <v>149.5580806456</v>
      </c>
      <c r="W26" s="219">
        <v>135.307973957</v>
      </c>
      <c r="X26" s="219">
        <v>126.5952219374</v>
      </c>
      <c r="Y26" s="219">
        <v>112.6549459272</v>
      </c>
      <c r="Z26" s="227"/>
      <c r="AA26" s="220">
        <v>100.1348031153</v>
      </c>
      <c r="AB26" s="220">
        <v>183.14022456180001</v>
      </c>
      <c r="AC26" s="220">
        <v>131.81146444199999</v>
      </c>
      <c r="AN26" s="62">
        <f t="shared" si="0"/>
        <v>83.005421446500009</v>
      </c>
      <c r="AQ26" s="119">
        <v>19</v>
      </c>
    </row>
    <row r="27" spans="1:43">
      <c r="A27" s="124" t="s">
        <v>270</v>
      </c>
      <c r="B27" s="219">
        <v>103.7159909066</v>
      </c>
      <c r="C27" s="219">
        <v>98.086424061000002</v>
      </c>
      <c r="D27" s="219">
        <v>90.291602986699999</v>
      </c>
      <c r="E27" s="219">
        <v>86.268767957199998</v>
      </c>
      <c r="F27" s="219">
        <v>83.820191770500003</v>
      </c>
      <c r="G27" s="219">
        <v>87.508635526800006</v>
      </c>
      <c r="H27" s="219">
        <v>96.902245414899994</v>
      </c>
      <c r="I27" s="219">
        <v>110.0055007607</v>
      </c>
      <c r="J27" s="219">
        <v>123.859148323</v>
      </c>
      <c r="K27" s="219">
        <v>117.91164587590001</v>
      </c>
      <c r="L27" s="219">
        <v>97.920459938600004</v>
      </c>
      <c r="M27" s="219">
        <v>94.440794519600004</v>
      </c>
      <c r="N27" s="219">
        <v>93.549033146599996</v>
      </c>
      <c r="O27" s="219">
        <v>86.144526600399999</v>
      </c>
      <c r="P27" s="219">
        <v>86.044584681200007</v>
      </c>
      <c r="Q27" s="219">
        <v>86.9611633807</v>
      </c>
      <c r="R27" s="219">
        <v>91.872289063799997</v>
      </c>
      <c r="S27" s="219">
        <v>108.545988698</v>
      </c>
      <c r="T27" s="219">
        <v>125.1416174857</v>
      </c>
      <c r="U27" s="219">
        <v>127.2543601742</v>
      </c>
      <c r="V27" s="219">
        <v>127.0095375267</v>
      </c>
      <c r="W27" s="219">
        <v>120.8590439072</v>
      </c>
      <c r="X27" s="219">
        <v>108.3502401013</v>
      </c>
      <c r="Y27" s="219">
        <v>97.416305832500001</v>
      </c>
      <c r="Z27" s="227"/>
      <c r="AA27" s="220">
        <v>83.820191770500003</v>
      </c>
      <c r="AB27" s="220">
        <v>127.2543601742</v>
      </c>
      <c r="AC27" s="220">
        <v>101.9527109383</v>
      </c>
      <c r="AN27" s="62">
        <f t="shared" si="0"/>
        <v>43.434168403699999</v>
      </c>
      <c r="AQ27" s="119">
        <v>20</v>
      </c>
    </row>
    <row r="28" spans="1:43">
      <c r="A28" s="124" t="s">
        <v>271</v>
      </c>
      <c r="B28" s="219">
        <v>87.271826742399995</v>
      </c>
      <c r="C28" s="219">
        <v>79.538926260300002</v>
      </c>
      <c r="D28" s="219">
        <v>73.689483676600005</v>
      </c>
      <c r="E28" s="219">
        <v>65.830906189800004</v>
      </c>
      <c r="F28" s="219">
        <v>64.624762302400001</v>
      </c>
      <c r="G28" s="219">
        <v>69.683264154699998</v>
      </c>
      <c r="H28" s="219">
        <v>84.6109346171</v>
      </c>
      <c r="I28" s="219">
        <v>96.809062562899996</v>
      </c>
      <c r="J28" s="219">
        <v>97.010071729399996</v>
      </c>
      <c r="K28" s="219">
        <v>94.367493311299995</v>
      </c>
      <c r="L28" s="219">
        <v>88.613983266800005</v>
      </c>
      <c r="M28" s="219">
        <v>80.821929794900001</v>
      </c>
      <c r="N28" s="219">
        <v>70.584586663799996</v>
      </c>
      <c r="O28" s="219">
        <v>69.520545075100003</v>
      </c>
      <c r="P28" s="219">
        <v>74.852305188299994</v>
      </c>
      <c r="Q28" s="219">
        <v>80.748517443300003</v>
      </c>
      <c r="R28" s="219">
        <v>80.971964711799998</v>
      </c>
      <c r="S28" s="219">
        <v>81.886787171899996</v>
      </c>
      <c r="T28" s="219">
        <v>80.912554475700006</v>
      </c>
      <c r="U28" s="219">
        <v>92.607359414800001</v>
      </c>
      <c r="V28" s="219">
        <v>99.220175147899994</v>
      </c>
      <c r="W28" s="219">
        <v>95.418036749799995</v>
      </c>
      <c r="X28" s="219">
        <v>93.130336374799995</v>
      </c>
      <c r="Y28" s="219">
        <v>78.795853550499999</v>
      </c>
      <c r="Z28" s="227"/>
      <c r="AA28" s="220">
        <v>64.624762302400001</v>
      </c>
      <c r="AB28" s="220">
        <v>99.220175147899994</v>
      </c>
      <c r="AC28" s="220">
        <v>82.999293949899993</v>
      </c>
      <c r="AN28" s="62">
        <f t="shared" si="0"/>
        <v>34.595412845499993</v>
      </c>
      <c r="AQ28" s="119">
        <v>21</v>
      </c>
    </row>
    <row r="29" spans="1:43">
      <c r="A29" s="124" t="s">
        <v>272</v>
      </c>
      <c r="B29" s="184">
        <v>40.3043604613</v>
      </c>
      <c r="C29" s="184">
        <v>33.719488478499997</v>
      </c>
      <c r="D29" s="184">
        <v>44.402269675399999</v>
      </c>
      <c r="E29" s="184">
        <v>34.361532674499998</v>
      </c>
      <c r="F29" s="184">
        <v>30.637786243899999</v>
      </c>
      <c r="G29" s="184">
        <v>43.441405336800003</v>
      </c>
      <c r="H29" s="219">
        <v>47.722029041600003</v>
      </c>
      <c r="I29" s="219">
        <v>56.1859163317</v>
      </c>
      <c r="J29" s="219">
        <v>75.606076446599999</v>
      </c>
      <c r="K29" s="219">
        <v>81.965764762500001</v>
      </c>
      <c r="L29" s="219">
        <v>74.013611098499993</v>
      </c>
      <c r="M29" s="219">
        <v>56.681841286800001</v>
      </c>
      <c r="N29" s="219">
        <v>53.307172831000003</v>
      </c>
      <c r="O29" s="219">
        <v>53.339725522000002</v>
      </c>
      <c r="P29" s="219">
        <v>55.038601028400002</v>
      </c>
      <c r="Q29" s="219">
        <v>63.857054825799999</v>
      </c>
      <c r="R29" s="219">
        <v>68.633144561700007</v>
      </c>
      <c r="S29" s="219">
        <v>78.570411875000005</v>
      </c>
      <c r="T29" s="219">
        <v>80.769363160599994</v>
      </c>
      <c r="U29" s="219">
        <v>81.8245121084</v>
      </c>
      <c r="V29" s="219">
        <v>80.977359529599994</v>
      </c>
      <c r="W29" s="219">
        <v>77.963014213099996</v>
      </c>
      <c r="X29" s="219">
        <v>65.836435824800006</v>
      </c>
      <c r="Y29" s="219">
        <v>54.693929990999997</v>
      </c>
      <c r="Z29" s="227"/>
      <c r="AA29" s="220">
        <v>30.637786243899999</v>
      </c>
      <c r="AB29" s="220">
        <v>81.965764762500001</v>
      </c>
      <c r="AC29" s="220">
        <v>60.208077373999998</v>
      </c>
      <c r="AN29" s="62">
        <f t="shared" si="0"/>
        <v>51.327978518600005</v>
      </c>
      <c r="AQ29" s="119">
        <v>22</v>
      </c>
    </row>
    <row r="30" spans="1:43">
      <c r="A30" s="124" t="s">
        <v>273</v>
      </c>
      <c r="B30" s="184">
        <v>31.505618758299999</v>
      </c>
      <c r="C30" s="221">
        <v>23.735268591699999</v>
      </c>
      <c r="D30" s="221">
        <v>20.5683109428</v>
      </c>
      <c r="E30" s="221">
        <v>15.911251415900001</v>
      </c>
      <c r="F30" s="221">
        <v>15.884968128400001</v>
      </c>
      <c r="G30" s="221">
        <v>24.9084311678</v>
      </c>
      <c r="H30" s="184">
        <v>35.482791453499999</v>
      </c>
      <c r="I30" s="219">
        <v>58.389435036400002</v>
      </c>
      <c r="J30" s="219">
        <v>56.8407661886</v>
      </c>
      <c r="K30" s="184">
        <v>30.998084335200002</v>
      </c>
      <c r="L30" s="221">
        <v>6.4722868034000003</v>
      </c>
      <c r="M30" s="221">
        <v>1.0609876742</v>
      </c>
      <c r="N30" s="221">
        <v>0.91249593839999998</v>
      </c>
      <c r="O30" s="221">
        <v>0.92</v>
      </c>
      <c r="P30" s="221">
        <v>2.0116488895</v>
      </c>
      <c r="Q30" s="221">
        <v>4.2168000867000002</v>
      </c>
      <c r="R30" s="221">
        <v>13.996265854400001</v>
      </c>
      <c r="S30" s="184">
        <v>43.221040697299998</v>
      </c>
      <c r="T30" s="219">
        <v>80.562545225099996</v>
      </c>
      <c r="U30" s="219">
        <v>100.96822275869999</v>
      </c>
      <c r="V30" s="219">
        <v>107.119141164</v>
      </c>
      <c r="W30" s="219">
        <v>100.2424144308</v>
      </c>
      <c r="X30" s="219">
        <v>81.926816766800002</v>
      </c>
      <c r="Y30" s="219">
        <v>61.707576665600001</v>
      </c>
      <c r="Z30" s="227"/>
      <c r="AA30" s="220">
        <v>0.91249593839999998</v>
      </c>
      <c r="AB30" s="220">
        <v>107.119141164</v>
      </c>
      <c r="AC30" s="220">
        <v>35.221737892100002</v>
      </c>
      <c r="AN30" s="62">
        <f t="shared" si="0"/>
        <v>106.2066452256</v>
      </c>
      <c r="AQ30" s="119">
        <v>23</v>
      </c>
    </row>
    <row r="31" spans="1:43">
      <c r="A31" s="124" t="s">
        <v>274</v>
      </c>
      <c r="B31" s="184">
        <v>42.802367739499999</v>
      </c>
      <c r="C31" s="184">
        <v>30.144105533200001</v>
      </c>
      <c r="D31" s="221">
        <v>23.9424861651</v>
      </c>
      <c r="E31" s="221">
        <v>19.174512158599999</v>
      </c>
      <c r="F31" s="221">
        <v>15.496173197499999</v>
      </c>
      <c r="G31" s="221">
        <v>10.522183435000001</v>
      </c>
      <c r="H31" s="221">
        <v>9.2628379615000007</v>
      </c>
      <c r="I31" s="221">
        <v>21.505843841600001</v>
      </c>
      <c r="J31" s="184">
        <v>34.368448556899999</v>
      </c>
      <c r="K31" s="184">
        <v>37.700932678999997</v>
      </c>
      <c r="L31" s="184">
        <v>27.732139505300001</v>
      </c>
      <c r="M31" s="221">
        <v>13.568561688799999</v>
      </c>
      <c r="N31" s="221">
        <v>3.9029365342000002</v>
      </c>
      <c r="O31" s="221">
        <v>3.78</v>
      </c>
      <c r="P31" s="221">
        <v>3.6903975866000001</v>
      </c>
      <c r="Q31" s="221">
        <v>3.2284236089</v>
      </c>
      <c r="R31" s="221">
        <v>5.6234873060000004</v>
      </c>
      <c r="S31" s="221">
        <v>23.268730337299999</v>
      </c>
      <c r="T31" s="184">
        <v>27.0071549454</v>
      </c>
      <c r="U31" s="184">
        <v>30.0230637614</v>
      </c>
      <c r="V31" s="184">
        <v>35.272482036299998</v>
      </c>
      <c r="W31" s="184">
        <v>36.426026643900002</v>
      </c>
      <c r="X31" s="221">
        <v>24.8396634799</v>
      </c>
      <c r="Y31" s="221">
        <v>20.9791707766</v>
      </c>
      <c r="Z31" s="227"/>
      <c r="AA31" s="220">
        <v>3.2284236089</v>
      </c>
      <c r="AB31" s="220">
        <v>42.802367739499999</v>
      </c>
      <c r="AC31" s="220">
        <v>20.145460739299999</v>
      </c>
      <c r="AN31" s="62">
        <f t="shared" si="0"/>
        <v>39.573944130599997</v>
      </c>
      <c r="AQ31" s="119">
        <v>24</v>
      </c>
    </row>
    <row r="32" spans="1:43">
      <c r="A32" s="124" t="s">
        <v>275</v>
      </c>
      <c r="B32" s="221">
        <v>21.5428823425</v>
      </c>
      <c r="C32" s="221">
        <v>16.036311546699999</v>
      </c>
      <c r="D32" s="221">
        <v>5.4716870781000004</v>
      </c>
      <c r="E32" s="221">
        <v>3.78</v>
      </c>
      <c r="F32" s="221">
        <v>3.78</v>
      </c>
      <c r="G32" s="221">
        <v>3.78</v>
      </c>
      <c r="H32" s="221">
        <v>3.78</v>
      </c>
      <c r="I32" s="221">
        <v>3.78</v>
      </c>
      <c r="J32" s="221">
        <v>3.9664615175</v>
      </c>
      <c r="K32" s="221">
        <v>3.78</v>
      </c>
      <c r="L32" s="221">
        <v>1.4460101973999999</v>
      </c>
      <c r="M32" s="221">
        <v>0.31882059070000002</v>
      </c>
      <c r="N32" s="221">
        <v>3.4841856599999999E-2</v>
      </c>
      <c r="O32" s="222">
        <v>0</v>
      </c>
      <c r="P32" s="222">
        <v>0</v>
      </c>
      <c r="Q32" s="221">
        <v>2.4929896999999999E-3</v>
      </c>
      <c r="R32" s="221">
        <v>0.5684817405</v>
      </c>
      <c r="S32" s="221">
        <v>3.5688349158000001</v>
      </c>
      <c r="T32" s="184">
        <v>28.9637978648</v>
      </c>
      <c r="U32" s="184">
        <v>35.761788030799998</v>
      </c>
      <c r="V32" s="184">
        <v>36.443186852099998</v>
      </c>
      <c r="W32" s="184">
        <v>37.358304132999997</v>
      </c>
      <c r="X32" s="184">
        <v>34.510297485300001</v>
      </c>
      <c r="Y32" s="221">
        <v>21.6746481156</v>
      </c>
      <c r="Z32" s="227"/>
      <c r="AA32" s="220">
        <v>0</v>
      </c>
      <c r="AB32" s="220">
        <v>37.358304132999997</v>
      </c>
      <c r="AC32" s="220">
        <v>11.588827866000001</v>
      </c>
      <c r="AN32" s="62">
        <f t="shared" si="0"/>
        <v>37.358304132999997</v>
      </c>
      <c r="AQ32" s="119">
        <v>25</v>
      </c>
    </row>
    <row r="33" spans="1:43">
      <c r="A33" s="124" t="s">
        <v>276</v>
      </c>
      <c r="B33" s="221">
        <v>4.0957082512999996</v>
      </c>
      <c r="C33" s="221">
        <v>3.1451346416999999</v>
      </c>
      <c r="D33" s="221">
        <v>1.9267971192</v>
      </c>
      <c r="E33" s="221">
        <v>3.78</v>
      </c>
      <c r="F33" s="221">
        <v>3.78</v>
      </c>
      <c r="G33" s="221">
        <v>5.6295853317000004</v>
      </c>
      <c r="H33" s="221">
        <v>6.7938858885000002</v>
      </c>
      <c r="I33" s="221">
        <v>24.875073199700001</v>
      </c>
      <c r="J33" s="219">
        <v>64.7620713795</v>
      </c>
      <c r="K33" s="219">
        <v>60.938747428299997</v>
      </c>
      <c r="L33" s="219">
        <v>53.995078627399998</v>
      </c>
      <c r="M33" s="219">
        <v>48.695317093200003</v>
      </c>
      <c r="N33" s="184">
        <v>32.326079750200002</v>
      </c>
      <c r="O33" s="184">
        <v>29.9075185453</v>
      </c>
      <c r="P33" s="184">
        <v>30.456095521000002</v>
      </c>
      <c r="Q33" s="184">
        <v>35.007272673599999</v>
      </c>
      <c r="R33" s="184">
        <v>43.5337359822</v>
      </c>
      <c r="S33" s="184">
        <v>39.396239963600003</v>
      </c>
      <c r="T33" s="219">
        <v>52.986029815400002</v>
      </c>
      <c r="U33" s="219">
        <v>77.906422243700007</v>
      </c>
      <c r="V33" s="219">
        <v>88.712732362799997</v>
      </c>
      <c r="W33" s="219">
        <v>78.507682774700001</v>
      </c>
      <c r="X33" s="184">
        <v>35.926385273999998</v>
      </c>
      <c r="Y33" s="221">
        <v>24.8861136447</v>
      </c>
      <c r="Z33" s="227"/>
      <c r="AA33" s="220">
        <v>1.9267971192</v>
      </c>
      <c r="AB33" s="220">
        <v>88.712732362799997</v>
      </c>
      <c r="AC33" s="220">
        <v>36.4171049901</v>
      </c>
      <c r="AN33" s="62">
        <f t="shared" si="0"/>
        <v>86.785935243599994</v>
      </c>
      <c r="AQ33" s="119">
        <v>26</v>
      </c>
    </row>
    <row r="34" spans="1:43">
      <c r="A34" s="124" t="s">
        <v>277</v>
      </c>
      <c r="B34" s="221">
        <v>18.474498472499999</v>
      </c>
      <c r="C34" s="221">
        <v>5.1362565389999997</v>
      </c>
      <c r="D34" s="221">
        <v>3.78</v>
      </c>
      <c r="E34" s="221">
        <v>3.78</v>
      </c>
      <c r="F34" s="221">
        <v>3.78</v>
      </c>
      <c r="G34" s="221">
        <v>3.78</v>
      </c>
      <c r="H34" s="221">
        <v>4.8989993673000001</v>
      </c>
      <c r="I34" s="221">
        <v>17.9333130851</v>
      </c>
      <c r="J34" s="184">
        <v>32.7847419625</v>
      </c>
      <c r="K34" s="184">
        <v>33.142911768099999</v>
      </c>
      <c r="L34" s="184">
        <v>26.627048600799998</v>
      </c>
      <c r="M34" s="184">
        <v>26.868601946599998</v>
      </c>
      <c r="N34" s="184">
        <v>26.3389386578</v>
      </c>
      <c r="O34" s="221">
        <v>22.710498019399999</v>
      </c>
      <c r="P34" s="221">
        <v>20.2300908311</v>
      </c>
      <c r="Q34" s="221">
        <v>13.6966918587</v>
      </c>
      <c r="R34" s="221">
        <v>23.751372417799999</v>
      </c>
      <c r="S34" s="219">
        <v>46.290447137699999</v>
      </c>
      <c r="T34" s="219">
        <v>55.470196114399997</v>
      </c>
      <c r="U34" s="219">
        <v>85.359526026300003</v>
      </c>
      <c r="V34" s="219">
        <v>95.902449096300003</v>
      </c>
      <c r="W34" s="219">
        <v>69.120187069500005</v>
      </c>
      <c r="X34" s="184">
        <v>37.5822073346</v>
      </c>
      <c r="Y34" s="221">
        <v>13.620013757500001</v>
      </c>
      <c r="Z34" s="227"/>
      <c r="AA34" s="220">
        <v>3.78</v>
      </c>
      <c r="AB34" s="220">
        <v>95.902449096300003</v>
      </c>
      <c r="AC34" s="220">
        <v>28.989860778800001</v>
      </c>
      <c r="AN34" s="62">
        <f t="shared" si="0"/>
        <v>92.122449096300002</v>
      </c>
      <c r="AQ34" s="119">
        <v>27</v>
      </c>
    </row>
    <row r="35" spans="1:43">
      <c r="A35" s="124" t="s">
        <v>278</v>
      </c>
      <c r="B35" s="221">
        <v>3.78</v>
      </c>
      <c r="C35" s="221">
        <v>3.7365905682</v>
      </c>
      <c r="D35" s="221">
        <v>2.1667105669</v>
      </c>
      <c r="E35" s="221">
        <v>1.98</v>
      </c>
      <c r="F35" s="221">
        <v>2.6346980174999999</v>
      </c>
      <c r="G35" s="221">
        <v>3.5307203326000001</v>
      </c>
      <c r="H35" s="221">
        <v>11.974800138999999</v>
      </c>
      <c r="I35" s="184">
        <v>32.397187488100002</v>
      </c>
      <c r="J35" s="219">
        <v>72.222587279600006</v>
      </c>
      <c r="K35" s="219">
        <v>77.907912368300003</v>
      </c>
      <c r="L35" s="219">
        <v>46.447628042799998</v>
      </c>
      <c r="M35" s="221">
        <v>22.407095280299998</v>
      </c>
      <c r="N35" s="221">
        <v>12.7513212927</v>
      </c>
      <c r="O35" s="221">
        <v>8.0735565149999999</v>
      </c>
      <c r="P35" s="221">
        <v>3.78</v>
      </c>
      <c r="Q35" s="221">
        <v>3.78</v>
      </c>
      <c r="R35" s="221">
        <v>7.4367706920999996</v>
      </c>
      <c r="S35" s="221">
        <v>23.125636344899998</v>
      </c>
      <c r="T35" s="219">
        <v>48.825167493599999</v>
      </c>
      <c r="U35" s="219">
        <v>75.954429683699999</v>
      </c>
      <c r="V35" s="219">
        <v>86.272934123499994</v>
      </c>
      <c r="W35" s="219">
        <v>73.230046013999996</v>
      </c>
      <c r="X35" s="184">
        <v>34.486501848300001</v>
      </c>
      <c r="Y35" s="221">
        <v>13.9564859747</v>
      </c>
      <c r="Z35" s="227"/>
      <c r="AA35" s="220">
        <v>1.98</v>
      </c>
      <c r="AB35" s="220">
        <v>86.272934123499994</v>
      </c>
      <c r="AC35" s="220">
        <v>28.017886415300001</v>
      </c>
      <c r="AE35" s="62"/>
      <c r="AN35" s="62">
        <f t="shared" si="0"/>
        <v>84.29293412349999</v>
      </c>
      <c r="AQ35" s="119">
        <v>28</v>
      </c>
    </row>
    <row r="36" spans="1:43">
      <c r="A36" s="124" t="s">
        <v>279</v>
      </c>
      <c r="B36" s="221">
        <v>24.3958918716</v>
      </c>
      <c r="C36" s="221">
        <v>18.1740609388</v>
      </c>
      <c r="D36" s="221">
        <v>13.945551098999999</v>
      </c>
      <c r="E36" s="221">
        <v>13.742429510099999</v>
      </c>
      <c r="F36" s="221">
        <v>13.547531405300001</v>
      </c>
      <c r="G36" s="221">
        <v>15.427799948100001</v>
      </c>
      <c r="H36" s="184">
        <v>26.780018114699999</v>
      </c>
      <c r="I36" s="219">
        <v>54.241895711600002</v>
      </c>
      <c r="J36" s="184">
        <v>39.060712676599998</v>
      </c>
      <c r="K36" s="184">
        <v>35.260860704300001</v>
      </c>
      <c r="L36" s="184">
        <v>31.240353331400001</v>
      </c>
      <c r="M36" s="184">
        <v>26.825366365299999</v>
      </c>
      <c r="N36" s="221">
        <v>23.333987432800001</v>
      </c>
      <c r="O36" s="221">
        <v>22.968026357999999</v>
      </c>
      <c r="P36" s="221">
        <v>20.707350126200001</v>
      </c>
      <c r="Q36" s="221">
        <v>18.4972335573</v>
      </c>
      <c r="R36" s="221">
        <v>18.9780240704</v>
      </c>
      <c r="S36" s="184">
        <v>30.208842933900002</v>
      </c>
      <c r="T36" s="184">
        <v>36.284437225799998</v>
      </c>
      <c r="U36" s="184">
        <v>35.0175246855</v>
      </c>
      <c r="V36" s="184">
        <v>35.020000000000003</v>
      </c>
      <c r="W36" s="184">
        <v>34.7231775343</v>
      </c>
      <c r="X36" s="184">
        <v>27.362240787299999</v>
      </c>
      <c r="Y36" s="221">
        <v>11.104707891</v>
      </c>
      <c r="Z36" s="227"/>
      <c r="AA36" s="220">
        <v>11.104707891</v>
      </c>
      <c r="AB36" s="220">
        <v>54.241895711600002</v>
      </c>
      <c r="AC36" s="220">
        <v>26.644481085100001</v>
      </c>
      <c r="AN36" s="62">
        <f t="shared" si="0"/>
        <v>43.137187820600005</v>
      </c>
      <c r="AQ36" s="119">
        <v>29</v>
      </c>
    </row>
    <row r="37" spans="1:43">
      <c r="A37" s="124" t="s">
        <v>280</v>
      </c>
      <c r="B37" s="221">
        <v>2.0565342098000001</v>
      </c>
      <c r="C37" s="221">
        <v>0.93301917180000005</v>
      </c>
      <c r="D37" s="221">
        <v>0.84066197779999996</v>
      </c>
      <c r="E37" s="221">
        <v>0.72513260950000002</v>
      </c>
      <c r="F37" s="221">
        <v>0.7306692696</v>
      </c>
      <c r="G37" s="221">
        <v>1.2962338109</v>
      </c>
      <c r="H37" s="221">
        <v>3.0696022319999998</v>
      </c>
      <c r="I37" s="184">
        <v>31.030865586400001</v>
      </c>
      <c r="J37" s="184">
        <v>35.020000000000003</v>
      </c>
      <c r="K37" s="184">
        <v>27.2557991282</v>
      </c>
      <c r="L37" s="221">
        <v>11.1405389462</v>
      </c>
      <c r="M37" s="221">
        <v>3.5338617152</v>
      </c>
      <c r="N37" s="221">
        <v>2.2474858509</v>
      </c>
      <c r="O37" s="221">
        <v>1.4551551835000001</v>
      </c>
      <c r="P37" s="221">
        <v>0.97746934959999998</v>
      </c>
      <c r="Q37" s="221">
        <v>1.7477849018</v>
      </c>
      <c r="R37" s="221">
        <v>3.2844520198999998</v>
      </c>
      <c r="S37" s="221">
        <v>10.7824771977</v>
      </c>
      <c r="T37" s="184">
        <v>31.426847796400001</v>
      </c>
      <c r="U37" s="184">
        <v>37.409720843099997</v>
      </c>
      <c r="V37" s="184">
        <v>37.672383439199997</v>
      </c>
      <c r="W37" s="184">
        <v>34.771735422600003</v>
      </c>
      <c r="X37" s="221">
        <v>19.180209916700001</v>
      </c>
      <c r="Y37" s="221">
        <v>4.0696297912999997</v>
      </c>
      <c r="Z37" s="227"/>
      <c r="AA37" s="220">
        <v>0.72513260950000002</v>
      </c>
      <c r="AB37" s="220">
        <v>37.672383439199997</v>
      </c>
      <c r="AC37" s="220">
        <v>13.102614770800001</v>
      </c>
      <c r="AN37" s="62">
        <f t="shared" si="0"/>
        <v>36.947250829699996</v>
      </c>
      <c r="AQ37" s="119">
        <v>30</v>
      </c>
    </row>
    <row r="38" spans="1:43">
      <c r="A38" s="124" t="s">
        <v>281</v>
      </c>
      <c r="B38" s="221">
        <v>7.6586811999999997E-3</v>
      </c>
      <c r="C38" s="221">
        <v>-7.3772222999999998E-3</v>
      </c>
      <c r="D38" s="221">
        <v>-4.9701108999999997E-3</v>
      </c>
      <c r="E38" s="221">
        <v>-1.7474839400000001E-2</v>
      </c>
      <c r="F38" s="221">
        <v>-2.7491018700000001E-2</v>
      </c>
      <c r="G38" s="221">
        <v>-0.42</v>
      </c>
      <c r="H38" s="221">
        <v>-0.19151132700000001</v>
      </c>
      <c r="I38" s="221">
        <v>-2.4473885000000002E-3</v>
      </c>
      <c r="J38" s="222">
        <v>0</v>
      </c>
      <c r="K38" s="221">
        <v>-0.1156643764</v>
      </c>
      <c r="L38" s="221">
        <v>-0.35383691519999999</v>
      </c>
      <c r="M38" s="221">
        <v>-0.44016648670000003</v>
      </c>
      <c r="N38" s="221">
        <v>-0.43980193200000001</v>
      </c>
      <c r="O38" s="221">
        <v>-0.42</v>
      </c>
      <c r="P38" s="221">
        <v>-0.42</v>
      </c>
      <c r="Q38" s="221">
        <v>-0.42</v>
      </c>
      <c r="R38" s="221">
        <v>-0.1101089547</v>
      </c>
      <c r="S38" s="221">
        <v>0.43954830979999998</v>
      </c>
      <c r="T38" s="221">
        <v>9.1319279779000002</v>
      </c>
      <c r="U38" s="184">
        <v>29.169320482900002</v>
      </c>
      <c r="V38" s="184">
        <v>35</v>
      </c>
      <c r="W38" s="184">
        <v>35</v>
      </c>
      <c r="X38" s="221">
        <v>21.510339245000001</v>
      </c>
      <c r="Y38" s="221">
        <v>6.9549786752999996</v>
      </c>
      <c r="Z38" s="227"/>
      <c r="AA38" s="220">
        <v>-0.44016648670000003</v>
      </c>
      <c r="AB38" s="220">
        <v>35</v>
      </c>
      <c r="AC38" s="220">
        <v>5.9463488509999998</v>
      </c>
      <c r="AN38" s="62">
        <f>AB38-AA38</f>
        <v>35.440166486700001</v>
      </c>
      <c r="AQ38" s="119">
        <v>31</v>
      </c>
    </row>
    <row r="41" spans="1:43">
      <c r="A41" s="122" t="s">
        <v>27</v>
      </c>
      <c r="B41" s="235" t="s">
        <v>45</v>
      </c>
      <c r="C41" s="236"/>
      <c r="D41" s="236"/>
      <c r="E41" s="236"/>
      <c r="F41" s="236"/>
      <c r="G41" s="236"/>
      <c r="H41" s="236"/>
      <c r="I41" s="236"/>
      <c r="J41" s="236"/>
      <c r="K41" s="236"/>
      <c r="L41" s="236"/>
      <c r="M41" s="236"/>
      <c r="N41" s="236"/>
    </row>
    <row r="42" spans="1:43">
      <c r="A42" s="122" t="s">
        <v>115</v>
      </c>
      <c r="B42" s="143">
        <v>202501</v>
      </c>
      <c r="C42" s="143">
        <v>202502</v>
      </c>
      <c r="D42" s="143">
        <v>202503</v>
      </c>
      <c r="E42" s="143">
        <v>202504</v>
      </c>
      <c r="F42" s="143">
        <v>202505</v>
      </c>
      <c r="G42" s="143">
        <v>202506</v>
      </c>
      <c r="H42" s="143">
        <v>202507</v>
      </c>
      <c r="I42" s="143">
        <v>202508</v>
      </c>
      <c r="J42" s="143">
        <v>202509</v>
      </c>
      <c r="K42" s="143">
        <v>202510</v>
      </c>
      <c r="L42" s="143">
        <v>202511</v>
      </c>
      <c r="M42" s="143">
        <v>202512</v>
      </c>
      <c r="N42" s="143">
        <v>202601</v>
      </c>
    </row>
    <row r="43" spans="1:43">
      <c r="A43" s="122" t="s">
        <v>86</v>
      </c>
      <c r="B43" s="145" t="s">
        <v>209</v>
      </c>
      <c r="C43" s="145" t="s">
        <v>211</v>
      </c>
      <c r="D43" s="145" t="s">
        <v>214</v>
      </c>
      <c r="E43" s="145" t="s">
        <v>224</v>
      </c>
      <c r="F43" s="145" t="s">
        <v>227</v>
      </c>
      <c r="G43" s="145" t="s">
        <v>229</v>
      </c>
      <c r="H43" s="145" t="s">
        <v>231</v>
      </c>
      <c r="I43" s="145" t="s">
        <v>234</v>
      </c>
      <c r="J43" s="145" t="s">
        <v>237</v>
      </c>
      <c r="K43" s="145" t="s">
        <v>241</v>
      </c>
      <c r="L43" s="145" t="s">
        <v>246</v>
      </c>
      <c r="M43" s="145" t="s">
        <v>249</v>
      </c>
      <c r="N43" s="145" t="s">
        <v>282</v>
      </c>
    </row>
    <row r="44" spans="1:43">
      <c r="A44" s="122" t="s">
        <v>116</v>
      </c>
      <c r="B44" s="143"/>
      <c r="C44" s="143"/>
      <c r="D44" s="143"/>
      <c r="E44" s="143"/>
      <c r="F44" s="143"/>
      <c r="G44" s="143"/>
      <c r="H44" s="143"/>
      <c r="I44" s="143"/>
      <c r="J44" s="143"/>
      <c r="K44" s="143"/>
      <c r="L44" s="143"/>
      <c r="M44" s="143"/>
      <c r="N44" s="143"/>
    </row>
    <row r="45" spans="1:43">
      <c r="A45" s="124" t="s">
        <v>46</v>
      </c>
      <c r="B45" s="198">
        <v>21693074.044</v>
      </c>
      <c r="C45" s="198">
        <v>19242913.862</v>
      </c>
      <c r="D45" s="198">
        <v>20819390.217</v>
      </c>
      <c r="E45" s="198">
        <v>17833494.043000001</v>
      </c>
      <c r="F45" s="198">
        <v>18599189.252</v>
      </c>
      <c r="G45" s="205">
        <v>20730203.096999999</v>
      </c>
      <c r="H45" s="198">
        <v>22159345.166000001</v>
      </c>
      <c r="I45" s="198">
        <v>20935693.186999999</v>
      </c>
      <c r="J45" s="198">
        <v>19542167.316</v>
      </c>
      <c r="K45" s="198">
        <v>19196589.440000001</v>
      </c>
      <c r="L45" s="214">
        <v>19892075.153000001</v>
      </c>
      <c r="M45" s="214">
        <v>21246217.102000002</v>
      </c>
      <c r="N45" s="214">
        <v>22656740.901999999</v>
      </c>
      <c r="O45" s="62"/>
      <c r="P45" s="188"/>
      <c r="Q45" s="124"/>
    </row>
    <row r="46" spans="1:43">
      <c r="A46" s="124" t="s">
        <v>47</v>
      </c>
      <c r="B46" s="207">
        <v>100</v>
      </c>
      <c r="C46" s="206">
        <v>100</v>
      </c>
      <c r="D46" s="199">
        <v>100</v>
      </c>
      <c r="E46" s="199">
        <v>100</v>
      </c>
      <c r="F46" s="199">
        <v>100</v>
      </c>
      <c r="G46" s="208">
        <v>100</v>
      </c>
      <c r="H46" s="206">
        <v>100</v>
      </c>
      <c r="I46" s="206">
        <v>100</v>
      </c>
      <c r="J46" s="206">
        <v>100</v>
      </c>
      <c r="K46" s="206">
        <v>100</v>
      </c>
      <c r="L46" s="206">
        <v>100</v>
      </c>
      <c r="M46" s="215">
        <v>100</v>
      </c>
      <c r="N46" s="215">
        <v>100</v>
      </c>
      <c r="Q46" s="124"/>
    </row>
    <row r="47" spans="1:43">
      <c r="A47" s="124" t="s">
        <v>48</v>
      </c>
      <c r="B47" s="210">
        <v>100.3</v>
      </c>
      <c r="C47" s="209">
        <v>110.71</v>
      </c>
      <c r="D47" s="184">
        <v>55.52</v>
      </c>
      <c r="E47" s="184">
        <v>27.66</v>
      </c>
      <c r="F47" s="184">
        <v>17.43</v>
      </c>
      <c r="G47" s="211">
        <v>72.466999999999999</v>
      </c>
      <c r="H47" s="209">
        <v>70.47</v>
      </c>
      <c r="I47" s="209">
        <v>67.98</v>
      </c>
      <c r="J47" s="209">
        <v>60.85</v>
      </c>
      <c r="K47" s="209">
        <v>76.650000000000006</v>
      </c>
      <c r="L47" s="209">
        <v>60.52</v>
      </c>
      <c r="M47" s="216">
        <v>80.28</v>
      </c>
      <c r="N47" s="216">
        <v>73.599999999999994</v>
      </c>
      <c r="Q47" s="179"/>
    </row>
    <row r="48" spans="1:43">
      <c r="A48" s="124" t="s">
        <v>49</v>
      </c>
      <c r="B48" s="210">
        <v>4.2</v>
      </c>
      <c r="C48" s="209">
        <v>4.07</v>
      </c>
      <c r="D48" s="184">
        <v>6.64</v>
      </c>
      <c r="E48" s="184">
        <v>11.27</v>
      </c>
      <c r="F48" s="184">
        <v>21.57</v>
      </c>
      <c r="G48" s="211">
        <v>9.69</v>
      </c>
      <c r="H48" s="209">
        <v>8.44</v>
      </c>
      <c r="I48" s="209">
        <v>8.34</v>
      </c>
      <c r="J48" s="209">
        <v>10.050000000000001</v>
      </c>
      <c r="K48" s="209">
        <v>11.09</v>
      </c>
      <c r="L48" s="209">
        <v>13.15</v>
      </c>
      <c r="M48" s="216">
        <v>11.52</v>
      </c>
      <c r="N48" s="216">
        <v>12.04</v>
      </c>
      <c r="Q48" s="124"/>
    </row>
    <row r="49" spans="1:17">
      <c r="A49" s="124" t="s">
        <v>50</v>
      </c>
      <c r="B49" s="210">
        <v>3.56</v>
      </c>
      <c r="C49" s="209">
        <v>7.08</v>
      </c>
      <c r="D49" s="184">
        <v>5.85</v>
      </c>
      <c r="E49" s="184">
        <v>4.28</v>
      </c>
      <c r="F49" s="184">
        <v>2.88</v>
      </c>
      <c r="G49" s="211">
        <v>4.5199999999999996</v>
      </c>
      <c r="H49" s="209">
        <v>4.8600000000000003</v>
      </c>
      <c r="I49" s="209">
        <v>3.04</v>
      </c>
      <c r="J49" s="209">
        <v>4.45</v>
      </c>
      <c r="K49" s="184">
        <v>4.79</v>
      </c>
      <c r="L49" s="184">
        <v>1.27</v>
      </c>
      <c r="M49" s="216">
        <v>1.27</v>
      </c>
      <c r="N49" s="216">
        <v>1.87</v>
      </c>
      <c r="Q49" s="179"/>
    </row>
    <row r="50" spans="1:17">
      <c r="A50" s="124" t="s">
        <v>51</v>
      </c>
      <c r="B50" s="210">
        <v>-0.1</v>
      </c>
      <c r="C50" s="209">
        <v>-0.1</v>
      </c>
      <c r="D50" s="184">
        <v>-0.1</v>
      </c>
      <c r="E50" s="184">
        <v>-0.01</v>
      </c>
      <c r="F50" s="184">
        <v>-7.0000000000000007E-2</v>
      </c>
      <c r="G50" s="211">
        <v>-0.13</v>
      </c>
      <c r="H50" s="209">
        <v>-0.15</v>
      </c>
      <c r="I50" s="209">
        <v>-0.1</v>
      </c>
      <c r="J50" s="209">
        <v>-0.14000000000000001</v>
      </c>
      <c r="K50" s="184">
        <v>-0.21</v>
      </c>
      <c r="L50" s="184">
        <v>-0.21</v>
      </c>
      <c r="M50" s="216">
        <v>-0.2</v>
      </c>
      <c r="N50" s="216">
        <v>-0.13</v>
      </c>
      <c r="Q50" s="124"/>
    </row>
    <row r="51" spans="1:17">
      <c r="A51" s="124" t="s">
        <v>52</v>
      </c>
      <c r="B51" s="184">
        <v>0</v>
      </c>
      <c r="C51" s="209">
        <v>0</v>
      </c>
      <c r="D51" s="184">
        <v>0</v>
      </c>
      <c r="E51" s="184">
        <v>0</v>
      </c>
      <c r="F51" s="184">
        <v>0</v>
      </c>
      <c r="G51" s="211">
        <v>0</v>
      </c>
      <c r="H51" s="209">
        <v>0</v>
      </c>
      <c r="I51" s="209">
        <v>0</v>
      </c>
      <c r="J51" s="209">
        <v>0</v>
      </c>
      <c r="K51" s="184">
        <v>0</v>
      </c>
      <c r="L51" s="184">
        <v>0</v>
      </c>
      <c r="M51" s="216">
        <v>0</v>
      </c>
      <c r="N51" s="216">
        <v>0</v>
      </c>
      <c r="Q51" s="179"/>
    </row>
    <row r="52" spans="1:17">
      <c r="A52" s="124" t="s">
        <v>53</v>
      </c>
      <c r="B52" s="184">
        <v>0</v>
      </c>
      <c r="C52" s="209">
        <v>0</v>
      </c>
      <c r="D52" s="184">
        <v>0</v>
      </c>
      <c r="E52" s="184">
        <v>0</v>
      </c>
      <c r="F52" s="184">
        <v>0</v>
      </c>
      <c r="G52" s="211">
        <v>0</v>
      </c>
      <c r="H52" s="209">
        <v>0</v>
      </c>
      <c r="I52" s="209">
        <v>0</v>
      </c>
      <c r="J52" s="209">
        <v>0</v>
      </c>
      <c r="K52" s="184">
        <v>0</v>
      </c>
      <c r="L52" s="184">
        <v>0</v>
      </c>
      <c r="M52" s="216">
        <v>0</v>
      </c>
      <c r="N52" s="216">
        <v>0</v>
      </c>
      <c r="Q52" s="124"/>
    </row>
    <row r="53" spans="1:17">
      <c r="A53" s="124" t="s">
        <v>185</v>
      </c>
      <c r="B53" s="184">
        <v>4.3</v>
      </c>
      <c r="C53" s="209">
        <v>4.63</v>
      </c>
      <c r="D53" s="184">
        <v>3.6</v>
      </c>
      <c r="E53" s="184">
        <v>2.79</v>
      </c>
      <c r="F53" s="184">
        <v>2.4499999999999997</v>
      </c>
      <c r="G53" s="211">
        <v>2.33</v>
      </c>
      <c r="H53" s="209">
        <v>2.8660000000000001</v>
      </c>
      <c r="I53" s="209">
        <v>3.13</v>
      </c>
      <c r="J53" s="209">
        <v>3.4999999999999996</v>
      </c>
      <c r="K53" s="184">
        <v>3.5159999999999996</v>
      </c>
      <c r="L53" s="184">
        <v>2.85</v>
      </c>
      <c r="M53" s="216">
        <v>2.23</v>
      </c>
      <c r="N53" s="216">
        <v>2.95</v>
      </c>
      <c r="Q53" s="179"/>
    </row>
    <row r="54" spans="1:17">
      <c r="A54" s="124" t="s">
        <v>54</v>
      </c>
      <c r="B54" s="184">
        <v>-0.73</v>
      </c>
      <c r="C54" s="209">
        <v>-0.8</v>
      </c>
      <c r="D54" s="184">
        <v>-0.6</v>
      </c>
      <c r="E54" s="184">
        <v>-0.41</v>
      </c>
      <c r="F54" s="184">
        <v>-0.19</v>
      </c>
      <c r="G54" s="211">
        <v>-0.49299999999999999</v>
      </c>
      <c r="H54" s="209">
        <v>-0.39</v>
      </c>
      <c r="I54" s="209">
        <v>-0.4</v>
      </c>
      <c r="J54" s="209">
        <v>-0.4</v>
      </c>
      <c r="K54" s="184">
        <v>-0.42</v>
      </c>
      <c r="L54" s="184">
        <v>-0.26</v>
      </c>
      <c r="M54" s="216">
        <v>-0.28999999999999998</v>
      </c>
      <c r="N54" s="216">
        <v>-0.36</v>
      </c>
      <c r="Q54" s="223"/>
    </row>
    <row r="55" spans="1:17">
      <c r="A55" s="124" t="s">
        <v>55</v>
      </c>
      <c r="B55" s="184">
        <v>0.58299999999999996</v>
      </c>
      <c r="C55" s="209">
        <v>0.45</v>
      </c>
      <c r="D55" s="184">
        <v>0.48</v>
      </c>
      <c r="E55" s="184">
        <v>0.48299999999999998</v>
      </c>
      <c r="F55" s="184">
        <v>0.28999999999999998</v>
      </c>
      <c r="G55" s="211">
        <v>0.42</v>
      </c>
      <c r="H55" s="209">
        <v>0.51</v>
      </c>
      <c r="I55" s="209">
        <v>0.38</v>
      </c>
      <c r="J55" s="209">
        <v>0.43</v>
      </c>
      <c r="K55" s="184">
        <v>0.26</v>
      </c>
      <c r="L55" s="184">
        <v>0.37</v>
      </c>
      <c r="M55" s="216">
        <v>0.25</v>
      </c>
      <c r="N55" s="216">
        <v>0.42</v>
      </c>
      <c r="Q55" s="124"/>
    </row>
    <row r="56" spans="1:17">
      <c r="A56" s="124" t="s">
        <v>56</v>
      </c>
      <c r="B56" s="184">
        <v>0.10299999999999999</v>
      </c>
      <c r="C56" s="209">
        <v>1.58</v>
      </c>
      <c r="D56" s="184">
        <v>0.65</v>
      </c>
      <c r="E56" s="184">
        <v>9.2999999999999999E-2</v>
      </c>
      <c r="F56" s="184">
        <v>-0.34</v>
      </c>
      <c r="G56" s="211">
        <v>-0.67</v>
      </c>
      <c r="H56" s="209">
        <v>-0.61</v>
      </c>
      <c r="I56" s="209">
        <v>-0.28999999999999998</v>
      </c>
      <c r="J56" s="209">
        <v>-0.33</v>
      </c>
      <c r="K56" s="184">
        <v>-0.52</v>
      </c>
      <c r="L56" s="184">
        <v>-0.25</v>
      </c>
      <c r="M56" s="216">
        <v>-0.12</v>
      </c>
      <c r="N56" s="216">
        <v>-0.51</v>
      </c>
      <c r="Q56" s="179"/>
    </row>
    <row r="57" spans="1:17">
      <c r="A57" s="124" t="s">
        <v>22</v>
      </c>
      <c r="B57" s="184">
        <v>-0.12</v>
      </c>
      <c r="C57" s="209">
        <v>-0.09</v>
      </c>
      <c r="D57" s="184">
        <v>-0.1</v>
      </c>
      <c r="E57" s="184">
        <v>-0.11</v>
      </c>
      <c r="F57" s="184">
        <v>-0.11</v>
      </c>
      <c r="G57" s="211">
        <v>-0.09</v>
      </c>
      <c r="H57" s="209">
        <v>-0.1</v>
      </c>
      <c r="I57" s="209">
        <v>-0.09</v>
      </c>
      <c r="J57" s="209">
        <v>-0.1</v>
      </c>
      <c r="K57" s="184">
        <v>-0.1</v>
      </c>
      <c r="L57" s="184">
        <v>-0.02</v>
      </c>
      <c r="M57" s="216">
        <v>-0.05</v>
      </c>
      <c r="N57" s="216">
        <v>-0.02</v>
      </c>
      <c r="Q57" s="124"/>
    </row>
    <row r="58" spans="1:17">
      <c r="A58" s="124" t="s">
        <v>57</v>
      </c>
      <c r="B58" s="184">
        <v>0.27</v>
      </c>
      <c r="C58" s="209">
        <v>0.27</v>
      </c>
      <c r="D58" s="184">
        <v>0.18</v>
      </c>
      <c r="E58" s="184">
        <v>0.14000000000000001</v>
      </c>
      <c r="F58" s="184">
        <v>0.13</v>
      </c>
      <c r="G58" s="211">
        <v>0.15</v>
      </c>
      <c r="H58" s="209">
        <v>0.28000000000000003</v>
      </c>
      <c r="I58" s="209">
        <v>0.14000000000000001</v>
      </c>
      <c r="J58" s="209">
        <v>0.15</v>
      </c>
      <c r="K58" s="184">
        <v>0.14000000000000001</v>
      </c>
      <c r="L58" s="184">
        <v>0.182</v>
      </c>
      <c r="M58" s="216">
        <v>0.26</v>
      </c>
      <c r="N58" s="216">
        <v>0.24</v>
      </c>
      <c r="Q58" s="179"/>
    </row>
    <row r="59" spans="1:17">
      <c r="A59" s="124" t="s">
        <v>198</v>
      </c>
      <c r="B59" s="184">
        <v>0</v>
      </c>
      <c r="C59" s="209">
        <v>0</v>
      </c>
      <c r="D59" s="184">
        <v>0</v>
      </c>
      <c r="E59" s="184">
        <v>0</v>
      </c>
      <c r="F59" s="184">
        <v>0</v>
      </c>
      <c r="G59" s="211">
        <v>0</v>
      </c>
      <c r="H59" s="209">
        <v>0</v>
      </c>
      <c r="I59" s="209">
        <v>0</v>
      </c>
      <c r="J59" s="209">
        <v>0</v>
      </c>
      <c r="K59" s="184">
        <v>0</v>
      </c>
      <c r="L59" s="184">
        <v>0</v>
      </c>
      <c r="M59" s="216">
        <v>0</v>
      </c>
      <c r="N59" s="216"/>
      <c r="Q59" s="124"/>
    </row>
    <row r="60" spans="1:17">
      <c r="A60" s="124" t="s">
        <v>58</v>
      </c>
      <c r="B60" s="184">
        <v>0.05</v>
      </c>
      <c r="C60" s="209">
        <v>0.05</v>
      </c>
      <c r="D60" s="184">
        <v>0.05</v>
      </c>
      <c r="E60" s="184">
        <v>0.04</v>
      </c>
      <c r="F60" s="184">
        <v>0.04</v>
      </c>
      <c r="G60" s="211">
        <v>0.05</v>
      </c>
      <c r="H60" s="209">
        <v>0.04</v>
      </c>
      <c r="I60" s="209">
        <v>0.05</v>
      </c>
      <c r="J60" s="209">
        <v>0.05</v>
      </c>
      <c r="K60" s="184">
        <v>0.06</v>
      </c>
      <c r="L60" s="184">
        <v>4.2999999999999997E-2</v>
      </c>
      <c r="M60" s="216">
        <v>0.05</v>
      </c>
      <c r="N60" s="216">
        <v>0.05</v>
      </c>
      <c r="Q60" s="179"/>
    </row>
    <row r="61" spans="1:17">
      <c r="A61" s="124" t="s">
        <v>196</v>
      </c>
      <c r="B61" s="184">
        <v>0</v>
      </c>
      <c r="C61" s="209">
        <v>0</v>
      </c>
      <c r="D61" s="184">
        <v>0</v>
      </c>
      <c r="E61" s="184">
        <v>0</v>
      </c>
      <c r="F61" s="184">
        <v>0</v>
      </c>
      <c r="G61" s="211">
        <v>0</v>
      </c>
      <c r="H61" s="209">
        <v>0</v>
      </c>
      <c r="I61" s="209">
        <v>0</v>
      </c>
      <c r="J61" s="209">
        <v>0</v>
      </c>
      <c r="K61" s="184">
        <v>0</v>
      </c>
      <c r="L61" s="184">
        <v>0</v>
      </c>
      <c r="M61" s="216">
        <v>0</v>
      </c>
      <c r="N61" s="216"/>
      <c r="Q61" s="124"/>
    </row>
    <row r="62" spans="1:17">
      <c r="A62" s="124" t="s">
        <v>182</v>
      </c>
      <c r="B62" s="184">
        <v>0</v>
      </c>
      <c r="C62" s="209">
        <v>0</v>
      </c>
      <c r="D62" s="184">
        <v>0</v>
      </c>
      <c r="E62" s="184">
        <v>0</v>
      </c>
      <c r="F62" s="184">
        <v>0</v>
      </c>
      <c r="G62" s="211">
        <v>0</v>
      </c>
      <c r="H62" s="209">
        <v>0</v>
      </c>
      <c r="I62" s="209">
        <v>0</v>
      </c>
      <c r="J62" s="209">
        <v>0</v>
      </c>
      <c r="K62" s="184">
        <v>0</v>
      </c>
      <c r="L62" s="184">
        <v>0</v>
      </c>
      <c r="M62" s="216">
        <v>0</v>
      </c>
      <c r="N62" s="216"/>
      <c r="Q62" s="179"/>
    </row>
    <row r="63" spans="1:17">
      <c r="A63" s="124" t="s">
        <v>183</v>
      </c>
      <c r="B63" s="184">
        <v>0</v>
      </c>
      <c r="C63" s="209">
        <v>0</v>
      </c>
      <c r="D63" s="184">
        <v>0</v>
      </c>
      <c r="E63" s="184">
        <v>0</v>
      </c>
      <c r="F63" s="184">
        <v>0</v>
      </c>
      <c r="G63" s="211">
        <v>0</v>
      </c>
      <c r="H63" s="209">
        <v>0</v>
      </c>
      <c r="I63" s="209">
        <v>0</v>
      </c>
      <c r="J63" s="209">
        <v>0</v>
      </c>
      <c r="K63" s="184">
        <v>0</v>
      </c>
      <c r="L63" s="184">
        <v>0</v>
      </c>
      <c r="M63" s="216">
        <v>0</v>
      </c>
      <c r="N63" s="216"/>
      <c r="Q63" s="179"/>
    </row>
    <row r="64" spans="1:17">
      <c r="A64" s="124" t="s">
        <v>184</v>
      </c>
      <c r="B64" s="184">
        <v>0</v>
      </c>
      <c r="C64" s="209">
        <v>0</v>
      </c>
      <c r="D64" s="184">
        <v>0</v>
      </c>
      <c r="E64" s="184">
        <v>0</v>
      </c>
      <c r="F64" s="184">
        <v>0</v>
      </c>
      <c r="G64" s="211">
        <v>0</v>
      </c>
      <c r="H64" s="209">
        <v>0</v>
      </c>
      <c r="I64" s="209">
        <v>0</v>
      </c>
      <c r="J64" s="209">
        <v>0</v>
      </c>
      <c r="K64" s="184">
        <v>0</v>
      </c>
      <c r="L64" s="184">
        <v>0</v>
      </c>
      <c r="M64" s="216">
        <v>0</v>
      </c>
      <c r="N64" s="216"/>
      <c r="O64" s="139">
        <f>(N67/M67-1)</f>
        <v>-6.2300997665039382E-2</v>
      </c>
      <c r="P64" s="139">
        <f>(N67/B67-1)</f>
        <v>-0.20645613278723873</v>
      </c>
      <c r="Q64" s="179"/>
    </row>
    <row r="65" spans="1:17">
      <c r="A65" s="124" t="s">
        <v>187</v>
      </c>
      <c r="B65" s="184">
        <v>-1.07</v>
      </c>
      <c r="C65" s="209">
        <v>-1.1499999999999999</v>
      </c>
      <c r="D65" s="184">
        <v>-1.1299999999999999</v>
      </c>
      <c r="E65" s="184">
        <v>-1.17</v>
      </c>
      <c r="F65" s="184">
        <v>-1.26</v>
      </c>
      <c r="G65" s="211">
        <v>-1.0999999999999999</v>
      </c>
      <c r="H65" s="209">
        <v>-1.08</v>
      </c>
      <c r="I65" s="209">
        <v>-1.04</v>
      </c>
      <c r="J65" s="209">
        <v>-1.21</v>
      </c>
      <c r="K65" s="209">
        <v>-1.29</v>
      </c>
      <c r="L65" s="209">
        <v>-1.1200000000000001</v>
      </c>
      <c r="M65" s="216">
        <v>-0.97000000000000008</v>
      </c>
      <c r="N65" s="216">
        <v>-1.79</v>
      </c>
      <c r="Q65" s="179"/>
    </row>
    <row r="66" spans="1:17">
      <c r="A66" s="124" t="s">
        <v>245</v>
      </c>
      <c r="B66" s="212">
        <v>-0.01</v>
      </c>
      <c r="C66" s="209">
        <v>-0.01</v>
      </c>
      <c r="D66" s="203">
        <v>-0.01</v>
      </c>
      <c r="E66" s="213">
        <v>-0.01</v>
      </c>
      <c r="F66" s="213">
        <v>-0.01</v>
      </c>
      <c r="G66" s="213">
        <v>0</v>
      </c>
      <c r="H66" s="209">
        <v>-0.01</v>
      </c>
      <c r="I66" s="209">
        <v>-0.01</v>
      </c>
      <c r="J66" s="209">
        <v>-0.01</v>
      </c>
      <c r="K66" s="209">
        <v>-0.01</v>
      </c>
      <c r="L66" s="209">
        <v>-0.01</v>
      </c>
      <c r="M66" s="209">
        <v>-0.01</v>
      </c>
      <c r="N66" s="209">
        <v>-0.01</v>
      </c>
      <c r="Q66" s="179"/>
    </row>
    <row r="67" spans="1:17">
      <c r="A67" s="204" t="s">
        <v>59</v>
      </c>
      <c r="B67" s="190">
        <f t="shared" ref="B67" si="1">SUM(B47:B66)</f>
        <v>111.33599999999998</v>
      </c>
      <c r="C67" s="190">
        <f t="shared" ref="C67" si="2">SUM(C47:C66)</f>
        <v>126.68999999999998</v>
      </c>
      <c r="D67" s="190">
        <f t="shared" ref="D67:M67" si="3">SUM(D47:D66)</f>
        <v>71.03000000000003</v>
      </c>
      <c r="E67" s="190">
        <f t="shared" si="3"/>
        <v>45.046000000000006</v>
      </c>
      <c r="F67" s="190">
        <f t="shared" si="3"/>
        <v>42.810000000000009</v>
      </c>
      <c r="G67" s="190">
        <f t="shared" si="3"/>
        <v>87.144000000000005</v>
      </c>
      <c r="H67" s="190">
        <f t="shared" si="3"/>
        <v>85.126000000000005</v>
      </c>
      <c r="I67" s="190">
        <f t="shared" si="3"/>
        <v>81.129999999999981</v>
      </c>
      <c r="J67" s="190">
        <f t="shared" si="3"/>
        <v>77.29000000000002</v>
      </c>
      <c r="K67" s="190">
        <f t="shared" si="3"/>
        <v>93.956000000000031</v>
      </c>
      <c r="L67" s="190">
        <f t="shared" si="3"/>
        <v>76.515000000000001</v>
      </c>
      <c r="M67" s="190">
        <f t="shared" si="3"/>
        <v>94.219999999999985</v>
      </c>
      <c r="N67" s="190">
        <f>SUM(N47:N66)</f>
        <v>88.34999999999998</v>
      </c>
    </row>
    <row r="68" spans="1:17">
      <c r="A68" s="62"/>
      <c r="B68" s="62"/>
      <c r="C68" s="62"/>
      <c r="E68" s="62"/>
      <c r="F68" s="62"/>
      <c r="G68" s="62"/>
      <c r="H68" s="62"/>
      <c r="I68" s="62"/>
      <c r="J68" s="62"/>
      <c r="K68" s="62"/>
      <c r="L68" s="62"/>
      <c r="M68" s="62"/>
      <c r="N68" s="62"/>
    </row>
    <row r="69" spans="1:17">
      <c r="D69" s="62"/>
      <c r="N69" s="139">
        <f>N67/M67-1</f>
        <v>-6.2300997665039382E-2</v>
      </c>
    </row>
    <row r="70" spans="1:17">
      <c r="D70" s="62"/>
      <c r="N70" s="139"/>
    </row>
    <row r="71" spans="1:17">
      <c r="D71" s="62"/>
      <c r="N71" s="139"/>
    </row>
    <row r="72" spans="1:17">
      <c r="D72" s="62"/>
      <c r="N72" s="139"/>
    </row>
    <row r="73" spans="1:17">
      <c r="N73" s="139"/>
    </row>
    <row r="74" spans="1:17">
      <c r="N74" s="139">
        <f>N67/B67-1</f>
        <v>-0.20645613278723873</v>
      </c>
    </row>
    <row r="75" spans="1:17">
      <c r="M75" s="62"/>
      <c r="N75" s="62"/>
    </row>
    <row r="80" spans="1:17">
      <c r="A80" s="178" t="s">
        <v>18</v>
      </c>
      <c r="B80" s="178"/>
      <c r="C80" s="178"/>
      <c r="D80" s="89"/>
      <c r="E80" s="90"/>
      <c r="F80" s="90"/>
      <c r="G80" s="90"/>
      <c r="H80" s="90"/>
      <c r="I80" s="90"/>
      <c r="J80" s="90"/>
      <c r="K80" s="90"/>
      <c r="L80" s="90"/>
      <c r="M80" s="90"/>
      <c r="N80" s="90"/>
    </row>
    <row r="81" spans="1:16">
      <c r="A81" s="86"/>
      <c r="B81" s="91" t="str">
        <f t="shared" ref="B81:N81" si="4">MID(B43,6,1)</f>
        <v>E</v>
      </c>
      <c r="C81" s="91" t="str">
        <f t="shared" si="4"/>
        <v>F</v>
      </c>
      <c r="D81" s="91" t="str">
        <f t="shared" si="4"/>
        <v>M</v>
      </c>
      <c r="E81" s="91" t="str">
        <f t="shared" si="4"/>
        <v>A</v>
      </c>
      <c r="F81" s="91" t="str">
        <f t="shared" si="4"/>
        <v>M</v>
      </c>
      <c r="G81" s="91" t="str">
        <f t="shared" si="4"/>
        <v>J</v>
      </c>
      <c r="H81" s="91" t="str">
        <f t="shared" si="4"/>
        <v>J</v>
      </c>
      <c r="I81" s="91" t="str">
        <f t="shared" si="4"/>
        <v>A</v>
      </c>
      <c r="J81" s="91" t="str">
        <f t="shared" si="4"/>
        <v>S</v>
      </c>
      <c r="K81" s="91" t="str">
        <f t="shared" si="4"/>
        <v>O</v>
      </c>
      <c r="L81" s="91" t="str">
        <f t="shared" si="4"/>
        <v>N</v>
      </c>
      <c r="M81" s="91" t="str">
        <f t="shared" si="4"/>
        <v>D</v>
      </c>
      <c r="N81" s="91" t="str">
        <f t="shared" si="4"/>
        <v>E</v>
      </c>
    </row>
    <row r="82" spans="1:16">
      <c r="A82" s="87" t="s">
        <v>20</v>
      </c>
      <c r="B82" s="92">
        <f>VLOOKUP("Restricciones PBF",$A$45:$N$67,2,FALSE)</f>
        <v>4.2</v>
      </c>
      <c r="C82" s="92">
        <f>VLOOKUP("Restricciones PBF",$A$45:$N$67,3,FALSE)</f>
        <v>4.07</v>
      </c>
      <c r="D82" s="92">
        <f>VLOOKUP("Restricciones PBF",$A$45:$N$67,4,FALSE)</f>
        <v>6.64</v>
      </c>
      <c r="E82" s="92">
        <f>VLOOKUP("Restricciones PBF",$A$45:$N$67,5,FALSE)</f>
        <v>11.27</v>
      </c>
      <c r="F82" s="92">
        <f>VLOOKUP("Restricciones PBF",$A$45:$N$67,6,FALSE)</f>
        <v>21.57</v>
      </c>
      <c r="G82" s="92">
        <f>VLOOKUP("Restricciones PBF",$A$45:$N$67,7,FALSE)</f>
        <v>9.69</v>
      </c>
      <c r="H82" s="92">
        <f>VLOOKUP("Restricciones PBF",$A$45:$N$67,8,FALSE)</f>
        <v>8.44</v>
      </c>
      <c r="I82" s="92">
        <f>VLOOKUP("Restricciones PBF",$A$45:$N$67,9,FALSE)</f>
        <v>8.34</v>
      </c>
      <c r="J82" s="92">
        <f>VLOOKUP("Restricciones PBF",$A$45:$N$67,10,FALSE)</f>
        <v>10.050000000000001</v>
      </c>
      <c r="K82" s="92">
        <f>VLOOKUP("Restricciones PBF",$A$45:$N$67,11,FALSE)</f>
        <v>11.09</v>
      </c>
      <c r="L82" s="92">
        <f>VLOOKUP("Restricciones PBF",$A$45:$N$67,12,FALSE)</f>
        <v>13.15</v>
      </c>
      <c r="M82" s="92">
        <f>VLOOKUP("Restricciones PBF",$A$45:$N$67,13,FALSE)</f>
        <v>11.52</v>
      </c>
      <c r="N82" s="92">
        <f>VLOOKUP("Restricciones PBF",$A$45:$N$67,14,FALSE)</f>
        <v>12.04</v>
      </c>
    </row>
    <row r="83" spans="1:16">
      <c r="A83" s="87" t="s">
        <v>24</v>
      </c>
      <c r="B83" s="92">
        <f>VLOOKUP("Restricciones TR",$A$45:$N$67,2,FALSE)</f>
        <v>3.56</v>
      </c>
      <c r="C83" s="92">
        <f>VLOOKUP("Restricciones TR",$A$45:$N$67,3,FALSE)</f>
        <v>7.08</v>
      </c>
      <c r="D83" s="92">
        <f>VLOOKUP("Restricciones TR",$A$45:$N$67,4,FALSE)</f>
        <v>5.85</v>
      </c>
      <c r="E83" s="92">
        <f>VLOOKUP("Restricciones TR",$A$45:$N$67,5,FALSE)</f>
        <v>4.28</v>
      </c>
      <c r="F83" s="92">
        <f>VLOOKUP("Restricciones TR",$A$45:$N$67,6,FALSE)</f>
        <v>2.88</v>
      </c>
      <c r="G83" s="92">
        <f>VLOOKUP("Restricciones TR",$A$45:$N$67,7,FALSE)</f>
        <v>4.5199999999999996</v>
      </c>
      <c r="H83" s="92">
        <f>VLOOKUP("Restricciones TR",$A$45:$N$67,8,FALSE)</f>
        <v>4.8600000000000003</v>
      </c>
      <c r="I83" s="92">
        <f>VLOOKUP("Restricciones TR",$A$45:$N$67,9,FALSE)</f>
        <v>3.04</v>
      </c>
      <c r="J83" s="92">
        <f>VLOOKUP("Restricciones TR",$A$45:$N$67,10,FALSE)</f>
        <v>4.45</v>
      </c>
      <c r="K83" s="92">
        <f>VLOOKUP("Restricciones TR",$A$45:$N$67,11,FALSE)</f>
        <v>4.79</v>
      </c>
      <c r="L83" s="92">
        <f>VLOOKUP("Restricciones TR",$A$45:$N$67,12,FALSE)</f>
        <v>1.27</v>
      </c>
      <c r="M83" s="92">
        <f>VLOOKUP("Restricciones TR",$A$45:$N$67,13,FALSE)</f>
        <v>1.27</v>
      </c>
      <c r="N83" s="92">
        <f>VLOOKUP("Restricciones TR",$A$45:$N$67,14,FALSE)</f>
        <v>1.87</v>
      </c>
    </row>
    <row r="84" spans="1:16">
      <c r="A84" s="87" t="s">
        <v>186</v>
      </c>
      <c r="B84" s="92">
        <f>B53</f>
        <v>4.3</v>
      </c>
      <c r="C84" s="92">
        <f t="shared" ref="C84:N84" si="5">C53</f>
        <v>4.63</v>
      </c>
      <c r="D84" s="92">
        <f t="shared" si="5"/>
        <v>3.6</v>
      </c>
      <c r="E84" s="92">
        <f t="shared" si="5"/>
        <v>2.79</v>
      </c>
      <c r="F84" s="92">
        <f t="shared" si="5"/>
        <v>2.4499999999999997</v>
      </c>
      <c r="G84" s="92">
        <f t="shared" si="5"/>
        <v>2.33</v>
      </c>
      <c r="H84" s="92">
        <f t="shared" si="5"/>
        <v>2.8660000000000001</v>
      </c>
      <c r="I84" s="92">
        <f t="shared" si="5"/>
        <v>3.13</v>
      </c>
      <c r="J84" s="92">
        <f t="shared" si="5"/>
        <v>3.4999999999999996</v>
      </c>
      <c r="K84" s="92">
        <f t="shared" si="5"/>
        <v>3.5159999999999996</v>
      </c>
      <c r="L84" s="92">
        <f t="shared" si="5"/>
        <v>2.85</v>
      </c>
      <c r="M84" s="92">
        <f t="shared" si="5"/>
        <v>2.23</v>
      </c>
      <c r="N84" s="92">
        <f t="shared" si="5"/>
        <v>2.95</v>
      </c>
    </row>
    <row r="85" spans="1:16">
      <c r="A85" s="87" t="s">
        <v>54</v>
      </c>
      <c r="B85" s="92">
        <f>VLOOKUP("Incumplimiento energía balance",$A$45:$N$67,2,FALSE)</f>
        <v>-0.73</v>
      </c>
      <c r="C85" s="92">
        <f>VLOOKUP("Incumplimiento energía balance",$A$45:$N$67,3,FALSE)</f>
        <v>-0.8</v>
      </c>
      <c r="D85" s="92">
        <f>VLOOKUP("Incumplimiento energía balance",$A$45:$N$67,4,FALSE)</f>
        <v>-0.6</v>
      </c>
      <c r="E85" s="92">
        <f>VLOOKUP("Incumplimiento energía balance",$A$45:$N$67,5,FALSE)</f>
        <v>-0.41</v>
      </c>
      <c r="F85" s="92">
        <f>VLOOKUP("Incumplimiento energía balance",$A$45:$N$67,6,FALSE)</f>
        <v>-0.19</v>
      </c>
      <c r="G85" s="92">
        <f>VLOOKUP("Incumplimiento energía balance",$A$45:$N$67,7,FALSE)</f>
        <v>-0.49299999999999999</v>
      </c>
      <c r="H85" s="92">
        <f>VLOOKUP("Incumplimiento energía balance",$A$45:$N$67,8,FALSE)</f>
        <v>-0.39</v>
      </c>
      <c r="I85" s="92">
        <f>VLOOKUP("Incumplimiento energía balance",$A$45:$N$67,9,FALSE)</f>
        <v>-0.4</v>
      </c>
      <c r="J85" s="92">
        <f>VLOOKUP("Incumplimiento energía balance",$A$45:$N$67,10,FALSE)</f>
        <v>-0.4</v>
      </c>
      <c r="K85" s="92">
        <f>VLOOKUP("Incumplimiento energía balance",$A$45:$N$67,11,FALSE)</f>
        <v>-0.42</v>
      </c>
      <c r="L85" s="92">
        <f>VLOOKUP("Incumplimiento energía balance",$A$45:$N$67,12,FALSE)</f>
        <v>-0.26</v>
      </c>
      <c r="M85" s="92">
        <f>VLOOKUP("Incumplimiento energía balance",$A$45:$N$67,13,FALSE)</f>
        <v>-0.28999999999999998</v>
      </c>
      <c r="N85" s="92">
        <f>VLOOKUP("Incumplimiento energía balance",$A$45:$N$67,14,FALSE)</f>
        <v>-0.36</v>
      </c>
    </row>
    <row r="86" spans="1:16">
      <c r="A86" s="87" t="s">
        <v>55</v>
      </c>
      <c r="B86" s="92">
        <f>VLOOKUP("Coste desvíos",$A$45:$N$67,2,FALSE)</f>
        <v>0.58299999999999996</v>
      </c>
      <c r="C86" s="92">
        <f>VLOOKUP("Coste desvíos",$A$45:$N$67,3,FALSE)</f>
        <v>0.45</v>
      </c>
      <c r="D86" s="92">
        <f>VLOOKUP("Coste desvíos",$A$45:$N$67,4,FALSE)</f>
        <v>0.48</v>
      </c>
      <c r="E86" s="92">
        <f>VLOOKUP("Coste desvíos",$A$45:$N$67,5,FALSE)</f>
        <v>0.48299999999999998</v>
      </c>
      <c r="F86" s="92">
        <f>VLOOKUP("Coste desvíos",$A$45:$N$67,6,FALSE)</f>
        <v>0.28999999999999998</v>
      </c>
      <c r="G86" s="92">
        <f>VLOOKUP("Coste desvíos",$A$45:$N$67,7,FALSE)</f>
        <v>0.42</v>
      </c>
      <c r="H86" s="92">
        <f>VLOOKUP("Coste desvíos",$A$45:$N$67,8,FALSE)</f>
        <v>0.51</v>
      </c>
      <c r="I86" s="92">
        <f>VLOOKUP("Coste desvíos",$A$45:$N$67,9,FALSE)</f>
        <v>0.38</v>
      </c>
      <c r="J86" s="92">
        <f>VLOOKUP("Coste desvíos",$A$45:$N$67,10,FALSE)</f>
        <v>0.43</v>
      </c>
      <c r="K86" s="92">
        <f>VLOOKUP("Coste desvíos",$A$45:$N$67,11,FALSE)</f>
        <v>0.26</v>
      </c>
      <c r="L86" s="92">
        <f>VLOOKUP("Coste desvíos",$A$45:$N$67,12,FALSE)</f>
        <v>0.37</v>
      </c>
      <c r="M86" s="92">
        <f>VLOOKUP("Coste desvíos",$A$45:$N$67,13,FALSE)</f>
        <v>0.25</v>
      </c>
      <c r="N86" s="92">
        <f>VLOOKUP("Coste desvíos",$A$45:$N$67,14,FALSE)</f>
        <v>0.42</v>
      </c>
    </row>
    <row r="87" spans="1:16">
      <c r="A87" s="87" t="s">
        <v>56</v>
      </c>
      <c r="B87" s="92">
        <f>VLOOKUP("Saldo desvíos",$A$45:$N$67,2,FALSE)</f>
        <v>0.10299999999999999</v>
      </c>
      <c r="C87" s="92">
        <f>VLOOKUP("Saldo desvíos",$A$45:$N$67,3,FALSE)</f>
        <v>1.58</v>
      </c>
      <c r="D87" s="92">
        <f>VLOOKUP("Saldo desvíos",$A$45:$N$67,4,FALSE)</f>
        <v>0.65</v>
      </c>
      <c r="E87" s="92">
        <f>VLOOKUP("Saldo desvíos",$A$45:$N$67,5,FALSE)</f>
        <v>9.2999999999999999E-2</v>
      </c>
      <c r="F87" s="92">
        <f>VLOOKUP("Saldo desvíos",$A$45:$N$67,6,FALSE)</f>
        <v>-0.34</v>
      </c>
      <c r="G87" s="92">
        <f>VLOOKUP("Saldo desvíos",$A$45:$N$67,7,FALSE)</f>
        <v>-0.67</v>
      </c>
      <c r="H87" s="92">
        <f>VLOOKUP("Saldo desvíos",$A$45:$N$67,8,FALSE)</f>
        <v>-0.61</v>
      </c>
      <c r="I87" s="92">
        <f>VLOOKUP("Saldo desvíos",$A$45:$N$67,9,FALSE)</f>
        <v>-0.28999999999999998</v>
      </c>
      <c r="J87" s="92">
        <f>VLOOKUP("Saldo desvíos",$A$45:$N$67,10,FALSE)</f>
        <v>-0.33</v>
      </c>
      <c r="K87" s="92">
        <f>VLOOKUP("Saldo desvíos",$A$45:$N$67,11,FALSE)</f>
        <v>-0.52</v>
      </c>
      <c r="L87" s="92">
        <f>VLOOKUP("Saldo desvíos",$A$45:$N$67,12,FALSE)</f>
        <v>-0.25</v>
      </c>
      <c r="M87" s="92">
        <f>VLOOKUP("Saldo desvíos",$A$45:$N$67,13,FALSE)</f>
        <v>-0.12</v>
      </c>
      <c r="N87" s="92">
        <f>VLOOKUP("Saldo desvíos",$A$45:$N$67,14,FALSE)</f>
        <v>-0.51</v>
      </c>
    </row>
    <row r="88" spans="1:16">
      <c r="A88" s="87" t="s">
        <v>22</v>
      </c>
      <c r="B88" s="92">
        <f>VLOOKUP("Control del factor de potencia",$A$45:$N$67,2,FALSE)</f>
        <v>-0.12</v>
      </c>
      <c r="C88" s="92">
        <f>VLOOKUP("Control del factor de potencia",$A$45:$N$67,3,FALSE)</f>
        <v>-0.09</v>
      </c>
      <c r="D88" s="92">
        <f>VLOOKUP("Control del factor de potencia",$A$45:$N$67,4,FALSE)</f>
        <v>-0.1</v>
      </c>
      <c r="E88" s="92">
        <f>VLOOKUP("Control del factor de potencia",$A$45:$N$67,5,FALSE)</f>
        <v>-0.11</v>
      </c>
      <c r="F88" s="92">
        <f>VLOOKUP("Control del factor de potencia",$A$45:$N$67,6,FALSE)</f>
        <v>-0.11</v>
      </c>
      <c r="G88" s="92">
        <f>VLOOKUP("Control del factor de potencia",$A$45:$N$67,7,FALSE)</f>
        <v>-0.09</v>
      </c>
      <c r="H88" s="92">
        <f>VLOOKUP("Control del factor de potencia",$A$45:$N$67,8,FALSE)</f>
        <v>-0.1</v>
      </c>
      <c r="I88" s="92">
        <f>VLOOKUP("Control del factor de potencia",$A$45:$N$67,9,FALSE)</f>
        <v>-0.09</v>
      </c>
      <c r="J88" s="92">
        <f>VLOOKUP("Control del factor de potencia",$A$45:$N$67,10,FALSE)</f>
        <v>-0.1</v>
      </c>
      <c r="K88" s="92">
        <f>VLOOKUP("Control del factor de potencia",$A$45:$N$67,11,FALSE)</f>
        <v>-0.1</v>
      </c>
      <c r="L88" s="92">
        <f>VLOOKUP("Control del factor de potencia",$A$45:$N$67,12,FALSE)</f>
        <v>-0.02</v>
      </c>
      <c r="M88" s="92">
        <f>VLOOKUP("Control del factor de potencia",$A$45:$N$67,13,FALSE)</f>
        <v>-0.05</v>
      </c>
      <c r="N88" s="92">
        <f>VLOOKUP("Control del factor de potencia",$A$45:$N$67,14,FALSE)</f>
        <v>-0.02</v>
      </c>
    </row>
    <row r="89" spans="1:16">
      <c r="A89" s="87" t="s">
        <v>203</v>
      </c>
      <c r="B89" s="92">
        <f>VLOOKUP("Servicio RAD",$A$45:$N$67,2,FALSE)+VLOOKUP("Ingreso control de tensión",$A$45:$N$67,2,FALSE)</f>
        <v>-1.08</v>
      </c>
      <c r="C89" s="92">
        <f>VLOOKUP("Servicio RAD",$A$45:$N$67,3,FALSE)+VLOOKUP("Ingreso control de tensión",$A$45:$N$67,3,FALSE)</f>
        <v>-1.1599999999999999</v>
      </c>
      <c r="D89" s="92">
        <f>VLOOKUP("Servicio RAD",$A$45:$N$67,4,FALSE)+VLOOKUP("Ingreso control de tensión",$A$45:$N$67,4,FALSE)</f>
        <v>-1.1399999999999999</v>
      </c>
      <c r="E89" s="92">
        <f>VLOOKUP("Servicio RAD",$A$45:$N$67,5,FALSE)+VLOOKUP("Ingreso control de tensión",$A$45:$N$67,5,FALSE)</f>
        <v>-1.18</v>
      </c>
      <c r="F89" s="92">
        <f>VLOOKUP("Servicio RAD",$A$45:$N$67,6,FALSE)+VLOOKUP("Ingreso control de tensión",$A$45:$N$67,6,FALSE)</f>
        <v>-1.27</v>
      </c>
      <c r="G89" s="92">
        <f>VLOOKUP("Servicio RAD",$A$45:$N$67,7,FALSE)+VLOOKUP("Ingreso control de tensión",$A$45:$N$67,7,FALSE)</f>
        <v>-1.0999999999999999</v>
      </c>
      <c r="H89" s="92">
        <f>VLOOKUP("Servicio RAD",$A$45:$N$67,8,FALSE)+VLOOKUP("Ingreso control de tensión",$A$45:$N$67,8,FALSE)</f>
        <v>-1.0900000000000001</v>
      </c>
      <c r="I89" s="92">
        <f>VLOOKUP("Servicio RAD",$A$45:$N$67,9,FALSE)+VLOOKUP("Ingreso control de tensión",$A$45:$N$67,9,FALSE)</f>
        <v>-1.05</v>
      </c>
      <c r="J89" s="92">
        <f>VLOOKUP("Servicio RAD",$A$45:$N$67,10,FALSE)+VLOOKUP("Ingreso control de tensión",$A$45:$N$67,10,FALSE)</f>
        <v>-1.22</v>
      </c>
      <c r="K89" s="92">
        <f>VLOOKUP("Servicio RAD",$A$45:$N$67,11,FALSE)+VLOOKUP("Ingreso control de tensión",$A$45:$N$67,11,FALSE)</f>
        <v>-1.3</v>
      </c>
      <c r="L89" s="92">
        <f>VLOOKUP("Servicio RAD",$A$45:$N$67,12,FALSE)+VLOOKUP("Ingreso control de tensión",$A$45:$N$67,12,FALSE)</f>
        <v>-1.1300000000000001</v>
      </c>
      <c r="M89" s="92">
        <f>VLOOKUP("Servicio RAD",$A$45:$N$67,13,FALSE)+VLOOKUP("Ingreso control de tensión",$A$45:$N$67,13,FALSE)</f>
        <v>-0.98000000000000009</v>
      </c>
      <c r="N89" s="92">
        <f>VLOOKUP("Servicio RAD",$A$45:$N$67,14,FALSE)+VLOOKUP("Ingreso control de tensión",$A$45:$N$67,14,FALSE)</f>
        <v>-1.8</v>
      </c>
    </row>
    <row r="90" spans="1:16" ht="12" customHeight="1">
      <c r="A90" s="88" t="s">
        <v>58</v>
      </c>
      <c r="B90" s="93">
        <f>VLOOKUP("Saldo PO 14.6",$A$45:$N$67,2,FALSE)</f>
        <v>0.05</v>
      </c>
      <c r="C90" s="93">
        <f>VLOOKUP("Saldo PO 14.6",$A$45:$N$67,3,FALSE)</f>
        <v>0.05</v>
      </c>
      <c r="D90" s="93">
        <f>VLOOKUP("Saldo PO 14.6",$A$45:$N$67,4,FALSE)</f>
        <v>0.05</v>
      </c>
      <c r="E90" s="93">
        <f>VLOOKUP("Saldo PO 14.6",$A$45:$N$67,5,FALSE)</f>
        <v>0.04</v>
      </c>
      <c r="F90" s="93">
        <f>VLOOKUP("Saldo PO 14.6",$A$45:$N$67,6,FALSE)</f>
        <v>0.04</v>
      </c>
      <c r="G90" s="93">
        <f>VLOOKUP("Saldo PO 14.6",$A$45:$N$67,7,FALSE)</f>
        <v>0.05</v>
      </c>
      <c r="H90" s="93">
        <f>VLOOKUP("Saldo PO 14.6",$A$45:$N$67,8,FALSE)</f>
        <v>0.04</v>
      </c>
      <c r="I90" s="93">
        <f>VLOOKUP("Saldo PO 14.6",$A$45:$N$67,9,FALSE)</f>
        <v>0.05</v>
      </c>
      <c r="J90" s="93">
        <f>VLOOKUP("Saldo PO 14.6",$A$45:$N$67,10,FALSE)</f>
        <v>0.05</v>
      </c>
      <c r="K90" s="93">
        <f>VLOOKUP("Saldo PO 14.6",$A$45:$N$67,11,FALSE)</f>
        <v>0.06</v>
      </c>
      <c r="L90" s="93">
        <f>VLOOKUP("Saldo PO 14.6",$A$45:$N$67,12,FALSE)</f>
        <v>4.2999999999999997E-2</v>
      </c>
      <c r="M90" s="93">
        <f>VLOOKUP("Saldo PO 14.6",$A$45:$N$67,13,FALSE)</f>
        <v>0.05</v>
      </c>
      <c r="N90" s="93">
        <f>VLOOKUP("Saldo PO 14.6",$A$45:$N$67,14,FALSE)</f>
        <v>0.05</v>
      </c>
      <c r="O90" s="139">
        <f>(SUM(N82:N90)/SUM(B82:B90)-1)</f>
        <v>0.34732192159028163</v>
      </c>
      <c r="P90" s="149">
        <f>O90*100</f>
        <v>34.732192159028166</v>
      </c>
    </row>
    <row r="91" spans="1:16">
      <c r="L91" s="62"/>
      <c r="M91" s="62"/>
      <c r="N91" s="62">
        <f>SUM(N82:N90)</f>
        <v>14.64</v>
      </c>
    </row>
    <row r="92" spans="1:16">
      <c r="A92" s="106" t="s">
        <v>38</v>
      </c>
      <c r="B92" s="85"/>
      <c r="C92" s="85"/>
      <c r="D92" s="85"/>
      <c r="E92" s="85"/>
      <c r="F92" s="85"/>
      <c r="G92" s="85"/>
      <c r="H92" s="85"/>
      <c r="I92" s="85"/>
      <c r="J92" s="85"/>
      <c r="K92" s="85"/>
      <c r="L92" s="85"/>
      <c r="N92" s="139"/>
    </row>
    <row r="93" spans="1:16" ht="39.6" customHeight="1">
      <c r="A93" s="145"/>
      <c r="B93" s="147" t="s">
        <v>1</v>
      </c>
      <c r="C93" s="147" t="s">
        <v>2</v>
      </c>
      <c r="D93" s="147" t="s">
        <v>39</v>
      </c>
      <c r="E93" s="147" t="s">
        <v>33</v>
      </c>
      <c r="F93" s="147" t="s">
        <v>178</v>
      </c>
      <c r="G93" s="147" t="s">
        <v>16</v>
      </c>
      <c r="H93" s="147" t="s">
        <v>32</v>
      </c>
      <c r="I93" s="145" t="s">
        <v>21</v>
      </c>
      <c r="J93" s="147" t="s">
        <v>36</v>
      </c>
      <c r="K93" s="145" t="s">
        <v>0</v>
      </c>
      <c r="L93" s="145" t="s">
        <v>118</v>
      </c>
    </row>
    <row r="94" spans="1:16">
      <c r="A94" s="83" t="s">
        <v>34</v>
      </c>
      <c r="B94" s="104">
        <f>VLOOKUP("Mercado Diario",$A$45:$N$60,14,FALSE)</f>
        <v>73.599999999999994</v>
      </c>
      <c r="C94" s="104">
        <f>VLOOKUP("Mercado Intradiario",$A$45:$N$60,14,FALSE)</f>
        <v>-0.13</v>
      </c>
      <c r="D94" s="104">
        <f>SUM(B94:C94)</f>
        <v>73.47</v>
      </c>
      <c r="E94" s="104">
        <f>VLOOKUP("Pago capacidad",$A$45:$N$60,14,FALSE)</f>
        <v>0.24</v>
      </c>
      <c r="F94" s="104">
        <f>VLOOKUP("Mecanismo Ajuste RD-L10/2022 Coste OM",$A$45:$N$67,14,FALSE)+VLOOKUP("Mecanismo Ajuste RD-L10/2022 Coste OS",$A$45:$N$67,14,FALSE)+VLOOKUP("Mecanismo Ajuste RD-L10/2022 Ajuste OS",$A$45:$N$67,14,FALSE)</f>
        <v>0</v>
      </c>
      <c r="G94" s="104">
        <f>E465</f>
        <v>14.64</v>
      </c>
      <c r="H94" s="104">
        <f>VLOOKUP("Restricciones PBF",$A$45:$N$60,14,FALSE)</f>
        <v>12.04</v>
      </c>
      <c r="I94" s="104">
        <f>N84</f>
        <v>2.95</v>
      </c>
      <c r="J94" s="104">
        <f>N83+N85+N86+N87+N88+N89+N90</f>
        <v>-0.34999999999999992</v>
      </c>
      <c r="K94" s="104">
        <f>N67</f>
        <v>88.34999999999998</v>
      </c>
      <c r="L94" s="110">
        <f>K94-SUM(D94:G94)</f>
        <v>0</v>
      </c>
    </row>
    <row r="95" spans="1:16">
      <c r="A95" s="84"/>
      <c r="B95" s="84"/>
      <c r="C95" s="84"/>
      <c r="D95" s="174">
        <f>D94/$K$94</f>
        <v>0.8315789473684212</v>
      </c>
      <c r="E95" s="174">
        <f>E94/$K$94</f>
        <v>2.7164685908319191E-3</v>
      </c>
      <c r="F95" s="174">
        <f>F94/$K$94</f>
        <v>0</v>
      </c>
      <c r="G95" s="189">
        <f>G94/$K$94</f>
        <v>0.16570458404074706</v>
      </c>
    </row>
    <row r="96" spans="1:16">
      <c r="A96" s="84" t="s">
        <v>124</v>
      </c>
      <c r="B96" s="84"/>
      <c r="C96" s="84"/>
      <c r="D96" s="84"/>
      <c r="E96" s="84"/>
      <c r="F96" s="84"/>
      <c r="G96" s="84"/>
    </row>
    <row r="97" spans="1:7">
      <c r="A97" s="156"/>
      <c r="B97" s="157"/>
      <c r="C97" s="176" t="str">
        <f>N43</f>
        <v>2026 Enero</v>
      </c>
      <c r="D97" s="145"/>
      <c r="E97" s="156"/>
      <c r="F97" s="157"/>
      <c r="G97" s="150" t="str">
        <f>B43</f>
        <v>2025 Enero</v>
      </c>
    </row>
    <row r="98" spans="1:7">
      <c r="A98" s="121" t="s">
        <v>49</v>
      </c>
      <c r="B98" s="92"/>
      <c r="C98" s="92">
        <f>IF(VLOOKUP(A98,Dat_01!$A$46:$N$67,14,FALSE)=0,"-",VLOOKUP(A98,Dat_01!$A$46:$N$67,14,FALSE)*Dat_01!$N$45)</f>
        <v>272787160.46007997</v>
      </c>
      <c r="D98" s="92"/>
      <c r="E98" s="121" t="s">
        <v>49</v>
      </c>
      <c r="F98" s="92"/>
      <c r="G98" s="92">
        <f>IF(VLOOKUP(E98,Dat_01!$A$45:$N$67,2,FALSE)=0,"-",VLOOKUP(E98,Dat_01!$A$45:$N$67,2,FALSE)*Dat_01!$B$45)</f>
        <v>91110910.984799996</v>
      </c>
    </row>
    <row r="99" spans="1:7">
      <c r="A99" s="121" t="s">
        <v>50</v>
      </c>
      <c r="B99" s="92"/>
      <c r="C99" s="92">
        <f>IF(VLOOKUP(A99,Dat_01!$A$45:$N$67,14,FALSE)=0,"-",VLOOKUP(A99,Dat_01!$A$45:$N$67,14,FALSE)*Dat_01!$N$45)</f>
        <v>42368105.486740001</v>
      </c>
      <c r="D99" s="92"/>
      <c r="E99" s="121" t="s">
        <v>50</v>
      </c>
      <c r="F99" s="92"/>
      <c r="G99" s="92">
        <f>IF(VLOOKUP(E99,Dat_01!$A$45:$N$67,2,FALSE)=0,"-",VLOOKUP(E99,Dat_01!$A$45:$N$67,2,FALSE)*Dat_01!$B$45)</f>
        <v>77227343.596640006</v>
      </c>
    </row>
    <row r="100" spans="1:7">
      <c r="A100" s="121" t="s">
        <v>53</v>
      </c>
      <c r="B100" s="92"/>
      <c r="C100" s="92" t="str">
        <f>IF(VLOOKUP(A100,Dat_01!$A$45:$N$67,14,FALSE)=0,"-",VLOOKUP(A100,Dat_01!$A$45:$N$67,14,FALSE)*Dat_01!$N$45)</f>
        <v>-</v>
      </c>
      <c r="D100" s="92"/>
      <c r="E100" s="121" t="s">
        <v>53</v>
      </c>
      <c r="F100" s="92"/>
      <c r="G100" s="92" t="str">
        <f>IF(VLOOKUP(E100,Dat_01!$A$45:$N$67,2,FALSE)=0,"-",VLOOKUP(E100,Dat_01!$A$45:$N$67,2,FALSE)*Dat_01!$B$45)</f>
        <v>-</v>
      </c>
    </row>
    <row r="101" spans="1:7">
      <c r="A101" s="121" t="s">
        <v>185</v>
      </c>
      <c r="B101" s="92"/>
      <c r="C101" s="92">
        <f>IF(VLOOKUP(A101,Dat_01!$A$45:$N$67,14,FALSE)=0,"-",VLOOKUP(A101,Dat_01!$A$45:$N$67,14,FALSE)*Dat_01!$N$45)</f>
        <v>66837385.660900004</v>
      </c>
      <c r="D101" s="92"/>
      <c r="E101" s="121" t="s">
        <v>185</v>
      </c>
      <c r="F101" s="92"/>
      <c r="G101" s="92">
        <f>IF(VLOOKUP(E101,Dat_01!$A$45:$N$67,2,FALSE)=0,"-",VLOOKUP(E101,Dat_01!$A$45:$N$67,2,FALSE)*Dat_01!$B$45)</f>
        <v>93280218.389200002</v>
      </c>
    </row>
    <row r="102" spans="1:7">
      <c r="A102" s="121" t="s">
        <v>55</v>
      </c>
      <c r="B102" s="92"/>
      <c r="C102" s="92">
        <f>IF(VLOOKUP(A102,Dat_01!$A$45:$N$67,14,FALSE)=0,"-",VLOOKUP(A102,Dat_01!$A$45:$N$67,14,FALSE)*Dat_01!$N$45)</f>
        <v>9515831.1788399983</v>
      </c>
      <c r="D102" s="92"/>
      <c r="E102" s="121" t="s">
        <v>55</v>
      </c>
      <c r="F102" s="92"/>
      <c r="G102" s="92">
        <f>IF(VLOOKUP(E102,Dat_01!$A$45:$N$67,2,FALSE)=0,"-",VLOOKUP(E102,Dat_01!$A$45:$N$67,2,FALSE)*Dat_01!$B$45)</f>
        <v>12647062.167652</v>
      </c>
    </row>
    <row r="103" spans="1:7">
      <c r="A103" s="121" t="s">
        <v>54</v>
      </c>
      <c r="B103" s="92"/>
      <c r="C103" s="92">
        <f>IF(VLOOKUP(A103,Dat_01!$A$45:$N$67,14,FALSE)=0,"-",VLOOKUP(A103,Dat_01!$A$45:$N$67,14,FALSE)*Dat_01!$N$45)</f>
        <v>-8156426.7247199994</v>
      </c>
      <c r="D103" s="92"/>
      <c r="E103" s="121" t="s">
        <v>54</v>
      </c>
      <c r="F103" s="92"/>
      <c r="G103" s="92">
        <f>IF(VLOOKUP(E103,Dat_01!$A$45:$N$67,2,FALSE)=0,"-",VLOOKUP(E103,Dat_01!$A$45:$N$67,2,FALSE)*Dat_01!$B$45)</f>
        <v>-15835944.05212</v>
      </c>
    </row>
    <row r="104" spans="1:7">
      <c r="A104" s="121" t="s">
        <v>56</v>
      </c>
      <c r="B104" s="92"/>
      <c r="C104" s="92">
        <f>IF(VLOOKUP(A104,Dat_01!$A$45:$N$67,14,FALSE)=0,"-",VLOOKUP(A104,Dat_01!$A$45:$N$67,14,FALSE)*Dat_01!$N$45)</f>
        <v>-11554937.86002</v>
      </c>
      <c r="D104" s="92"/>
      <c r="E104" s="121" t="s">
        <v>56</v>
      </c>
      <c r="F104" s="92"/>
      <c r="G104" s="92">
        <f>IF(VLOOKUP(E104,Dat_01!$A$45:$N$67,2,FALSE)=0,"-",VLOOKUP(E104,Dat_01!$A$45:$N$67,2,FALSE)*Dat_01!$B$45)</f>
        <v>2234386.626532</v>
      </c>
    </row>
    <row r="105" spans="1:7">
      <c r="A105" s="121" t="s">
        <v>58</v>
      </c>
      <c r="B105" s="92"/>
      <c r="C105" s="92">
        <f>IF(VLOOKUP(A105,Dat_01!$A$45:$N$67,14,FALSE)=0,"-",VLOOKUP(A105,Dat_01!$A$45:$N$67,14,FALSE)*Dat_01!$N$45)</f>
        <v>1132837.0451</v>
      </c>
      <c r="D105" s="92"/>
      <c r="E105" s="121" t="s">
        <v>58</v>
      </c>
      <c r="F105" s="92"/>
      <c r="G105" s="92">
        <f>IF(VLOOKUP(E105,Dat_01!$A$45:$N$67,2,FALSE)=0,"-",VLOOKUP(E105,Dat_01!$A$45:$N$67,2,FALSE)*Dat_01!$B$45)</f>
        <v>1084653.7021999999</v>
      </c>
    </row>
    <row r="106" spans="1:7">
      <c r="A106" s="121" t="s">
        <v>203</v>
      </c>
      <c r="B106" s="92"/>
      <c r="C106" s="92">
        <f>IF(VLOOKUP($A$114,Dat_01!$A$45:$N$67,14,FALSE)+VLOOKUP($A$115,Dat_01!$A$45:$N$67,14,FALSE)=0,"-",(VLOOKUP($A$114,Dat_01!$A$45:$N$67,14,FALSE)+VLOOKUP($A$115,Dat_01!$A$45:$N$67,14,FALSE))*Dat_01!$N$45)</f>
        <v>-40782133.623599999</v>
      </c>
      <c r="D106" s="92"/>
      <c r="E106" s="121" t="s">
        <v>203</v>
      </c>
      <c r="F106" s="92"/>
      <c r="G106" s="92">
        <f>IF(VLOOKUP($A$114,Dat_01!$A$45:$N$67,2,FALSE)+VLOOKUP($A$115,Dat_01!$A$45:$N$67,2,FALSE)=0,"-",(VLOOKUP($A$114,Dat_01!$A$45:$N$67,2,FALSE)+VLOOKUP($A$115,Dat_01!$A$45:$N$67,2,FALSE))*Dat_01!$B$45)</f>
        <v>-23428519.967520002</v>
      </c>
    </row>
    <row r="107" spans="1:7">
      <c r="A107" s="88" t="s">
        <v>22</v>
      </c>
      <c r="B107" s="120"/>
      <c r="C107" s="131">
        <f>IF(VLOOKUP(A107,Dat_01!$A$45:$N$67,14,FALSE)=0,"-",VLOOKUP(A107,Dat_01!$A$45:$N$67,14,FALSE)*Dat_01!$N$45)</f>
        <v>-453134.81803999998</v>
      </c>
      <c r="D107" s="88"/>
      <c r="E107" s="88" t="s">
        <v>22</v>
      </c>
      <c r="F107" s="88"/>
      <c r="G107" s="131">
        <f>IF(VLOOKUP(E107,Dat_01!$A$45:$N$67,2,FALSE)=0,"-",VLOOKUP(E107,Dat_01!$A$45:$N$67,2,FALSE)*Dat_01!$B$45)</f>
        <v>-2603168.88528</v>
      </c>
    </row>
    <row r="109" spans="1:7" ht="12.6" customHeight="1">
      <c r="A109" s="224"/>
    </row>
    <row r="110" spans="1:7" ht="12.6" customHeight="1">
      <c r="A110" s="187" t="s">
        <v>197</v>
      </c>
    </row>
    <row r="111" spans="1:7" ht="12.6" customHeight="1">
      <c r="A111" s="187" t="s">
        <v>195</v>
      </c>
    </row>
    <row r="112" spans="1:7" ht="12.6" customHeight="1">
      <c r="A112" s="187" t="s">
        <v>199</v>
      </c>
    </row>
    <row r="113" spans="1:9" ht="12.6" customHeight="1">
      <c r="A113" s="187" t="s">
        <v>200</v>
      </c>
    </row>
    <row r="114" spans="1:9" ht="12.6" customHeight="1">
      <c r="A114" s="187" t="str">
        <f>A65</f>
        <v>Servicio RAD</v>
      </c>
    </row>
    <row r="115" spans="1:9" ht="12.6" customHeight="1">
      <c r="A115" s="187" t="str">
        <f>A66</f>
        <v>Ingreso control de tensión</v>
      </c>
    </row>
    <row r="116" spans="1:9" ht="12.6" customHeight="1"/>
    <row r="117" spans="1:9">
      <c r="A117" s="84" t="s">
        <v>168</v>
      </c>
      <c r="B117" s="144"/>
      <c r="C117" s="144"/>
    </row>
    <row r="118" spans="1:9">
      <c r="A118" s="122" t="s">
        <v>27</v>
      </c>
      <c r="B118" s="239"/>
      <c r="C118" s="240"/>
    </row>
    <row r="119" spans="1:9">
      <c r="A119" s="123" t="s">
        <v>86</v>
      </c>
      <c r="B119" s="145" t="s">
        <v>209</v>
      </c>
      <c r="C119" s="145" t="s">
        <v>282</v>
      </c>
    </row>
    <row r="120" spans="1:9">
      <c r="A120" s="122" t="s">
        <v>136</v>
      </c>
      <c r="B120" s="143"/>
      <c r="C120" s="143"/>
    </row>
    <row r="121" spans="1:9">
      <c r="A121" s="124" t="s">
        <v>69</v>
      </c>
      <c r="B121" s="126">
        <v>972.43190000000004</v>
      </c>
      <c r="C121" s="126">
        <v>2578.0273999999999</v>
      </c>
      <c r="D121" t="str">
        <f>A121</f>
        <v>Restricciones Técnicas al PBF</v>
      </c>
      <c r="F121" s="140" t="s">
        <v>153</v>
      </c>
      <c r="H121" s="146">
        <f>SUM(B121:B122)</f>
        <v>1473.4252690000001</v>
      </c>
      <c r="I121" s="146">
        <f>SUM(C121:C122)</f>
        <v>2875.0555770000001</v>
      </c>
    </row>
    <row r="122" spans="1:9">
      <c r="A122" s="124" t="s">
        <v>70</v>
      </c>
      <c r="B122" s="126">
        <v>500.99336899999997</v>
      </c>
      <c r="C122" s="126">
        <v>297.02817700000003</v>
      </c>
      <c r="D122" t="s">
        <v>132</v>
      </c>
      <c r="F122" s="141" t="s">
        <v>154</v>
      </c>
      <c r="H122" s="146">
        <f>SUM(B123:B126)</f>
        <v>1000.034312</v>
      </c>
      <c r="I122" s="146">
        <f>SUM(C123:C126)</f>
        <v>1074.6746229999999</v>
      </c>
    </row>
    <row r="123" spans="1:9">
      <c r="A123" s="124" t="s">
        <v>64</v>
      </c>
      <c r="B123" s="126">
        <v>3.898692</v>
      </c>
      <c r="C123" s="126">
        <v>180.719088</v>
      </c>
      <c r="D123" t="str">
        <f>A123</f>
        <v>Regulación secundaria</v>
      </c>
    </row>
    <row r="124" spans="1:9">
      <c r="A124" s="124" t="s">
        <v>3</v>
      </c>
      <c r="B124" s="126">
        <v>520.06039999999996</v>
      </c>
      <c r="C124" s="126">
        <v>864.97939299999996</v>
      </c>
      <c r="D124" t="str">
        <f>A124</f>
        <v>Regulación terciaria</v>
      </c>
    </row>
    <row r="125" spans="1:9">
      <c r="A125" s="124" t="s">
        <v>148</v>
      </c>
      <c r="B125" s="126">
        <f>B317/1000</f>
        <v>356.33449999999999</v>
      </c>
      <c r="C125" s="126">
        <f>N317/1000</f>
        <v>0</v>
      </c>
      <c r="D125" t="s">
        <v>148</v>
      </c>
    </row>
    <row r="126" spans="1:9">
      <c r="A126" s="124" t="s">
        <v>155</v>
      </c>
      <c r="B126" s="126">
        <f>B394/1000</f>
        <v>119.74072</v>
      </c>
      <c r="C126" s="126">
        <f>N394/1000</f>
        <v>28.976141999999999</v>
      </c>
      <c r="D126" t="s">
        <v>157</v>
      </c>
    </row>
    <row r="127" spans="1:9">
      <c r="B127" s="167"/>
      <c r="C127" s="167"/>
    </row>
    <row r="128" spans="1:9">
      <c r="A128" s="84"/>
    </row>
    <row r="130" spans="1:17">
      <c r="A130" s="84" t="s">
        <v>161</v>
      </c>
      <c r="C130" s="142" t="str">
        <f>MID(C132,6,1)</f>
        <v>E</v>
      </c>
      <c r="D130" s="142" t="str">
        <f t="shared" ref="D130:O130" si="6">MID(D132,6,1)</f>
        <v>F</v>
      </c>
      <c r="E130" s="142" t="str">
        <f t="shared" si="6"/>
        <v>M</v>
      </c>
      <c r="F130" s="142" t="str">
        <f t="shared" si="6"/>
        <v>A</v>
      </c>
      <c r="G130" s="142" t="str">
        <f t="shared" si="6"/>
        <v>M</v>
      </c>
      <c r="H130" s="142" t="str">
        <f t="shared" si="6"/>
        <v>J</v>
      </c>
      <c r="I130" s="142" t="str">
        <f t="shared" si="6"/>
        <v>J</v>
      </c>
      <c r="J130" s="142" t="str">
        <f t="shared" si="6"/>
        <v>A</v>
      </c>
      <c r="K130" s="142" t="str">
        <f t="shared" si="6"/>
        <v>S</v>
      </c>
      <c r="L130" s="142" t="str">
        <f t="shared" si="6"/>
        <v>O</v>
      </c>
      <c r="M130" s="142" t="str">
        <f t="shared" si="6"/>
        <v>N</v>
      </c>
      <c r="N130" s="142" t="str">
        <f t="shared" si="6"/>
        <v>D</v>
      </c>
      <c r="O130" s="142" t="str">
        <f t="shared" si="6"/>
        <v>E</v>
      </c>
      <c r="P130" s="119"/>
      <c r="Q130" s="119"/>
    </row>
    <row r="131" spans="1:17">
      <c r="A131" s="122"/>
      <c r="B131" s="122" t="s">
        <v>27</v>
      </c>
      <c r="C131" s="243" t="s">
        <v>121</v>
      </c>
      <c r="D131" s="244"/>
      <c r="E131" s="244"/>
      <c r="F131" s="244"/>
      <c r="G131" s="244"/>
      <c r="H131" s="244"/>
      <c r="I131" s="244"/>
      <c r="J131" s="244"/>
      <c r="K131" s="244"/>
      <c r="L131" s="244"/>
      <c r="M131" s="244"/>
      <c r="N131" s="244"/>
      <c r="O131" s="244"/>
      <c r="P131" s="119"/>
      <c r="Q131" s="119"/>
    </row>
    <row r="132" spans="1:17">
      <c r="A132" s="122"/>
      <c r="B132" s="123" t="s">
        <v>86</v>
      </c>
      <c r="C132" s="145" t="s">
        <v>209</v>
      </c>
      <c r="D132" s="145" t="s">
        <v>211</v>
      </c>
      <c r="E132" s="145" t="s">
        <v>214</v>
      </c>
      <c r="F132" s="145" t="s">
        <v>224</v>
      </c>
      <c r="G132" s="145" t="s">
        <v>227</v>
      </c>
      <c r="H132" s="145" t="s">
        <v>229</v>
      </c>
      <c r="I132" s="145" t="s">
        <v>231</v>
      </c>
      <c r="J132" s="145" t="s">
        <v>234</v>
      </c>
      <c r="K132" s="145" t="s">
        <v>237</v>
      </c>
      <c r="L132" s="145" t="s">
        <v>241</v>
      </c>
      <c r="M132" s="145" t="s">
        <v>246</v>
      </c>
      <c r="N132" s="145" t="s">
        <v>249</v>
      </c>
      <c r="O132" s="145" t="s">
        <v>282</v>
      </c>
      <c r="P132" s="119"/>
      <c r="Q132" s="119"/>
    </row>
    <row r="133" spans="1:17">
      <c r="A133" s="122" t="s">
        <v>119</v>
      </c>
      <c r="B133" s="122" t="s">
        <v>120</v>
      </c>
      <c r="C133" s="143"/>
      <c r="D133" s="143"/>
      <c r="E133" s="143"/>
      <c r="F133" s="143"/>
      <c r="G133" s="143"/>
      <c r="H133" s="143"/>
      <c r="I133" s="143"/>
      <c r="J133" s="143"/>
      <c r="K133" s="143"/>
      <c r="L133" s="143"/>
      <c r="M133" s="143"/>
      <c r="N133" s="143"/>
      <c r="O133" s="143"/>
      <c r="P133" s="180"/>
      <c r="Q133" s="119"/>
    </row>
    <row r="134" spans="1:17">
      <c r="A134" s="251"/>
      <c r="B134" s="124" t="s">
        <v>19</v>
      </c>
      <c r="C134" s="111">
        <v>58.4</v>
      </c>
      <c r="D134" s="111">
        <v>0</v>
      </c>
      <c r="E134" s="111">
        <v>0</v>
      </c>
      <c r="F134" s="111">
        <v>20382.3</v>
      </c>
      <c r="G134" s="111">
        <v>0</v>
      </c>
      <c r="H134" s="111">
        <v>150</v>
      </c>
      <c r="I134" s="111">
        <v>3396</v>
      </c>
      <c r="J134" s="111">
        <v>6200</v>
      </c>
      <c r="K134" s="111">
        <v>0</v>
      </c>
      <c r="L134" s="111">
        <v>0</v>
      </c>
      <c r="M134" s="111">
        <v>350</v>
      </c>
      <c r="N134" s="111">
        <v>325</v>
      </c>
      <c r="O134" s="111">
        <v>325</v>
      </c>
      <c r="P134" s="180"/>
      <c r="Q134" s="181"/>
    </row>
    <row r="135" spans="1:17">
      <c r="A135" s="251"/>
      <c r="B135" s="124" t="s">
        <v>76</v>
      </c>
      <c r="C135" s="111">
        <v>0</v>
      </c>
      <c r="D135" s="111">
        <v>0</v>
      </c>
      <c r="E135" s="111">
        <v>0</v>
      </c>
      <c r="F135" s="111">
        <v>0</v>
      </c>
      <c r="G135" s="111">
        <v>0</v>
      </c>
      <c r="H135" s="111">
        <v>60.7</v>
      </c>
      <c r="I135" s="111">
        <v>700</v>
      </c>
      <c r="J135" s="111">
        <v>0</v>
      </c>
      <c r="K135" s="111">
        <v>0</v>
      </c>
      <c r="L135" s="111">
        <v>0</v>
      </c>
      <c r="M135" s="111">
        <v>4180</v>
      </c>
      <c r="N135" s="111">
        <v>20</v>
      </c>
      <c r="O135" s="111">
        <v>20</v>
      </c>
      <c r="P135" s="180"/>
      <c r="Q135" s="181"/>
    </row>
    <row r="136" spans="1:17">
      <c r="A136" s="251"/>
      <c r="B136" s="124" t="s">
        <v>72</v>
      </c>
      <c r="C136" s="111">
        <v>1486.2</v>
      </c>
      <c r="D136" s="111">
        <v>0</v>
      </c>
      <c r="E136" s="111">
        <v>260114.1</v>
      </c>
      <c r="F136" s="111">
        <v>267559.5</v>
      </c>
      <c r="G136" s="111">
        <v>363944.9</v>
      </c>
      <c r="H136" s="111">
        <v>25407.8</v>
      </c>
      <c r="I136" s="111">
        <v>19303.400000000001</v>
      </c>
      <c r="J136" s="111">
        <v>3428.3</v>
      </c>
      <c r="K136" s="111">
        <v>35476.800000000003</v>
      </c>
      <c r="L136" s="111">
        <v>116112.4</v>
      </c>
      <c r="M136" s="111">
        <v>47755.224999999999</v>
      </c>
      <c r="N136" s="111">
        <v>22947.875</v>
      </c>
      <c r="O136" s="111">
        <v>22947.875</v>
      </c>
      <c r="P136" s="180"/>
      <c r="Q136" s="181"/>
    </row>
    <row r="137" spans="1:17">
      <c r="A137" s="251"/>
      <c r="B137" s="124" t="s">
        <v>73</v>
      </c>
      <c r="C137" s="111">
        <v>136200</v>
      </c>
      <c r="D137" s="111">
        <v>176818</v>
      </c>
      <c r="E137" s="111">
        <v>161347</v>
      </c>
      <c r="F137" s="111">
        <v>128080</v>
      </c>
      <c r="G137" s="111">
        <v>122215</v>
      </c>
      <c r="H137" s="111">
        <v>110098</v>
      </c>
      <c r="I137" s="111">
        <v>71343</v>
      </c>
      <c r="J137" s="111">
        <v>0</v>
      </c>
      <c r="K137" s="111">
        <v>0</v>
      </c>
      <c r="L137" s="111">
        <v>1113.75</v>
      </c>
      <c r="M137" s="111">
        <v>1856.25</v>
      </c>
      <c r="N137" s="111">
        <v>28208.75</v>
      </c>
      <c r="O137" s="111">
        <v>28208.75</v>
      </c>
      <c r="P137" s="180"/>
      <c r="Q137" s="181"/>
    </row>
    <row r="138" spans="1:17">
      <c r="A138" s="251"/>
      <c r="B138" s="124" t="s">
        <v>233</v>
      </c>
      <c r="C138" s="111">
        <v>0</v>
      </c>
      <c r="D138" s="111">
        <v>0</v>
      </c>
      <c r="E138" s="111">
        <v>0</v>
      </c>
      <c r="F138" s="111">
        <v>0</v>
      </c>
      <c r="G138" s="111">
        <v>0</v>
      </c>
      <c r="H138" s="111">
        <v>0</v>
      </c>
      <c r="I138" s="111">
        <v>91146</v>
      </c>
      <c r="J138" s="111">
        <v>121642</v>
      </c>
      <c r="K138" s="111">
        <v>152270</v>
      </c>
      <c r="L138" s="111">
        <v>177310</v>
      </c>
      <c r="M138" s="111">
        <v>182152.5</v>
      </c>
      <c r="N138" s="111">
        <v>214170</v>
      </c>
      <c r="O138" s="111">
        <v>214170</v>
      </c>
      <c r="P138" s="180"/>
      <c r="Q138" s="181"/>
    </row>
    <row r="139" spans="1:17">
      <c r="A139" s="251"/>
      <c r="B139" s="124" t="s">
        <v>23</v>
      </c>
      <c r="C139" s="111">
        <v>683064</v>
      </c>
      <c r="D139" s="111">
        <v>653295.19999999995</v>
      </c>
      <c r="E139" s="111">
        <v>793527.4</v>
      </c>
      <c r="F139" s="111">
        <v>1154419.5</v>
      </c>
      <c r="G139" s="111">
        <v>2188300.1</v>
      </c>
      <c r="H139" s="111">
        <v>1759263.5</v>
      </c>
      <c r="I139" s="111">
        <v>1466909.1</v>
      </c>
      <c r="J139" s="111">
        <v>1579291.4</v>
      </c>
      <c r="K139" s="111">
        <v>1564029</v>
      </c>
      <c r="L139" s="111">
        <v>1759136.875</v>
      </c>
      <c r="M139" s="111">
        <v>2229306.125</v>
      </c>
      <c r="N139" s="111">
        <v>2288776.85</v>
      </c>
      <c r="O139" s="111">
        <v>2288776.85</v>
      </c>
      <c r="P139" s="180"/>
      <c r="Q139" s="181"/>
    </row>
    <row r="140" spans="1:17">
      <c r="A140" s="251"/>
      <c r="B140" s="124" t="s">
        <v>77</v>
      </c>
      <c r="C140" s="111">
        <v>0</v>
      </c>
      <c r="D140" s="111">
        <v>0</v>
      </c>
      <c r="E140" s="111">
        <v>31.6</v>
      </c>
      <c r="F140" s="111">
        <v>1.3</v>
      </c>
      <c r="G140" s="111">
        <v>0</v>
      </c>
      <c r="H140" s="111">
        <v>0</v>
      </c>
      <c r="I140" s="111">
        <v>0</v>
      </c>
      <c r="J140" s="111">
        <v>0</v>
      </c>
      <c r="K140" s="111">
        <v>0</v>
      </c>
      <c r="L140" s="111">
        <v>0</v>
      </c>
      <c r="M140" s="111">
        <v>0</v>
      </c>
      <c r="N140" s="111">
        <v>1.95</v>
      </c>
      <c r="O140" s="111">
        <v>1.95</v>
      </c>
      <c r="P140" s="180"/>
      <c r="Q140" s="181"/>
    </row>
    <row r="141" spans="1:17">
      <c r="A141" s="251"/>
      <c r="B141" s="124" t="s">
        <v>78</v>
      </c>
      <c r="C141" s="111">
        <v>0</v>
      </c>
      <c r="D141" s="111">
        <v>0</v>
      </c>
      <c r="E141" s="111">
        <v>0</v>
      </c>
      <c r="F141" s="111">
        <v>0</v>
      </c>
      <c r="G141" s="111">
        <v>0</v>
      </c>
      <c r="H141" s="111">
        <v>0</v>
      </c>
      <c r="I141" s="111">
        <v>0</v>
      </c>
      <c r="J141" s="111">
        <v>0</v>
      </c>
      <c r="K141" s="111">
        <v>0</v>
      </c>
      <c r="L141" s="111">
        <v>0</v>
      </c>
      <c r="M141" s="111">
        <v>0</v>
      </c>
      <c r="N141" s="111">
        <v>0</v>
      </c>
      <c r="O141" s="111">
        <v>0</v>
      </c>
      <c r="P141" s="180"/>
      <c r="Q141" s="181"/>
    </row>
    <row r="142" spans="1:17">
      <c r="A142" s="251"/>
      <c r="B142" s="124" t="s">
        <v>79</v>
      </c>
      <c r="C142" s="111">
        <v>0</v>
      </c>
      <c r="D142" s="111">
        <v>0</v>
      </c>
      <c r="E142" s="111">
        <v>0</v>
      </c>
      <c r="F142" s="111">
        <v>0</v>
      </c>
      <c r="G142" s="111">
        <v>0</v>
      </c>
      <c r="H142" s="111">
        <v>0</v>
      </c>
      <c r="I142" s="111">
        <v>229.2</v>
      </c>
      <c r="J142" s="111">
        <v>0</v>
      </c>
      <c r="K142" s="111">
        <v>0</v>
      </c>
      <c r="L142" s="111">
        <v>0</v>
      </c>
      <c r="M142" s="111">
        <v>0</v>
      </c>
      <c r="N142" s="111">
        <v>0</v>
      </c>
      <c r="O142" s="111">
        <v>0</v>
      </c>
      <c r="P142" s="180"/>
      <c r="Q142" s="181"/>
    </row>
    <row r="143" spans="1:17">
      <c r="A143" s="251"/>
      <c r="B143" s="124" t="s">
        <v>80</v>
      </c>
      <c r="C143" s="111">
        <v>0</v>
      </c>
      <c r="D143" s="111">
        <v>0</v>
      </c>
      <c r="E143" s="111">
        <v>18750.8</v>
      </c>
      <c r="F143" s="111">
        <v>10370.9</v>
      </c>
      <c r="G143" s="111">
        <v>17487.5</v>
      </c>
      <c r="H143" s="111">
        <v>20621.599999999999</v>
      </c>
      <c r="I143" s="111">
        <v>1904.1</v>
      </c>
      <c r="J143" s="111">
        <v>0</v>
      </c>
      <c r="K143" s="111">
        <v>3926.6</v>
      </c>
      <c r="L143" s="111">
        <v>3783.1750000000002</v>
      </c>
      <c r="M143" s="111">
        <v>510</v>
      </c>
      <c r="N143" s="111">
        <v>1691.4</v>
      </c>
      <c r="O143" s="111">
        <v>1691.4</v>
      </c>
      <c r="P143" s="180"/>
      <c r="Q143" s="181"/>
    </row>
    <row r="144" spans="1:17">
      <c r="A144" s="251"/>
      <c r="B144" s="124" t="s">
        <v>81</v>
      </c>
      <c r="C144" s="111">
        <v>0</v>
      </c>
      <c r="D144" s="111">
        <v>0</v>
      </c>
      <c r="E144" s="111">
        <v>1176.5999999999999</v>
      </c>
      <c r="F144" s="111">
        <v>2988</v>
      </c>
      <c r="G144" s="111">
        <v>3603.7</v>
      </c>
      <c r="H144" s="111">
        <v>1579.6</v>
      </c>
      <c r="I144" s="111">
        <v>198.7</v>
      </c>
      <c r="J144" s="111">
        <v>0</v>
      </c>
      <c r="K144" s="111">
        <v>0</v>
      </c>
      <c r="L144" s="111">
        <v>0</v>
      </c>
      <c r="M144" s="111">
        <v>122</v>
      </c>
      <c r="N144" s="111">
        <v>0</v>
      </c>
      <c r="O144" s="111">
        <v>0</v>
      </c>
      <c r="P144" s="180"/>
      <c r="Q144" s="181"/>
    </row>
    <row r="145" spans="1:17">
      <c r="A145" s="251"/>
      <c r="B145" s="124" t="s">
        <v>85</v>
      </c>
      <c r="C145" s="111">
        <v>0</v>
      </c>
      <c r="D145" s="111">
        <v>0</v>
      </c>
      <c r="E145" s="111">
        <v>0</v>
      </c>
      <c r="F145" s="111">
        <v>0</v>
      </c>
      <c r="G145" s="111">
        <v>0</v>
      </c>
      <c r="H145" s="111">
        <v>0</v>
      </c>
      <c r="I145" s="111">
        <v>0</v>
      </c>
      <c r="J145" s="111">
        <v>0</v>
      </c>
      <c r="K145" s="111">
        <v>0</v>
      </c>
      <c r="L145" s="111">
        <v>0</v>
      </c>
      <c r="M145" s="111">
        <v>0</v>
      </c>
      <c r="N145" s="111">
        <v>0</v>
      </c>
      <c r="O145" s="111">
        <v>0</v>
      </c>
      <c r="P145" s="180"/>
      <c r="Q145" s="181"/>
    </row>
    <row r="146" spans="1:17">
      <c r="A146" s="251"/>
      <c r="B146" s="124" t="s">
        <v>74</v>
      </c>
      <c r="C146" s="111">
        <v>0</v>
      </c>
      <c r="D146" s="111">
        <v>189</v>
      </c>
      <c r="E146" s="111">
        <v>146</v>
      </c>
      <c r="F146" s="111">
        <v>1600</v>
      </c>
      <c r="G146" s="111">
        <v>1600</v>
      </c>
      <c r="H146" s="111">
        <v>936</v>
      </c>
      <c r="I146" s="111">
        <v>2587.5</v>
      </c>
      <c r="J146" s="111">
        <v>6601</v>
      </c>
      <c r="K146" s="111">
        <v>184</v>
      </c>
      <c r="L146" s="111">
        <v>42602.3</v>
      </c>
      <c r="M146" s="111">
        <v>0</v>
      </c>
      <c r="N146" s="111">
        <v>0</v>
      </c>
      <c r="O146" s="111">
        <v>0</v>
      </c>
      <c r="P146" s="180"/>
      <c r="Q146" s="181"/>
    </row>
    <row r="147" spans="1:17">
      <c r="A147" s="251"/>
      <c r="B147" s="124" t="s">
        <v>82</v>
      </c>
      <c r="C147" s="111">
        <v>0</v>
      </c>
      <c r="D147" s="111">
        <v>0</v>
      </c>
      <c r="E147" s="111">
        <v>0</v>
      </c>
      <c r="F147" s="111">
        <v>0</v>
      </c>
      <c r="G147" s="111">
        <v>0</v>
      </c>
      <c r="H147" s="111">
        <v>0</v>
      </c>
      <c r="I147" s="111">
        <v>0</v>
      </c>
      <c r="J147" s="111">
        <v>0</v>
      </c>
      <c r="K147" s="111">
        <v>0</v>
      </c>
      <c r="L147" s="111">
        <v>0</v>
      </c>
      <c r="M147" s="111">
        <v>0</v>
      </c>
      <c r="N147" s="111">
        <v>0</v>
      </c>
      <c r="O147" s="111">
        <v>0</v>
      </c>
      <c r="P147" s="180"/>
      <c r="Q147" s="181"/>
    </row>
    <row r="148" spans="1:17">
      <c r="A148" s="251"/>
      <c r="B148" s="124" t="s">
        <v>83</v>
      </c>
      <c r="C148" s="111">
        <v>0</v>
      </c>
      <c r="D148" s="111">
        <v>0</v>
      </c>
      <c r="E148" s="111">
        <v>0</v>
      </c>
      <c r="F148" s="111">
        <v>0</v>
      </c>
      <c r="G148" s="111">
        <v>0</v>
      </c>
      <c r="H148" s="111">
        <v>0</v>
      </c>
      <c r="I148" s="111">
        <v>0</v>
      </c>
      <c r="J148" s="111">
        <v>0</v>
      </c>
      <c r="K148" s="111">
        <v>0</v>
      </c>
      <c r="L148" s="111">
        <v>0</v>
      </c>
      <c r="M148" s="111">
        <v>0</v>
      </c>
      <c r="N148" s="111">
        <v>0</v>
      </c>
      <c r="O148" s="111">
        <v>0</v>
      </c>
      <c r="P148" s="180"/>
      <c r="Q148" s="181"/>
    </row>
    <row r="149" spans="1:17">
      <c r="A149" s="251"/>
      <c r="B149" s="124" t="s">
        <v>84</v>
      </c>
      <c r="C149" s="111">
        <v>0</v>
      </c>
      <c r="D149" s="111">
        <v>0</v>
      </c>
      <c r="E149" s="111">
        <v>0</v>
      </c>
      <c r="F149" s="111">
        <v>0</v>
      </c>
      <c r="G149" s="111">
        <v>0</v>
      </c>
      <c r="H149" s="111">
        <v>0</v>
      </c>
      <c r="I149" s="111">
        <v>0</v>
      </c>
      <c r="J149" s="111">
        <v>0</v>
      </c>
      <c r="K149" s="111">
        <v>0</v>
      </c>
      <c r="L149" s="111">
        <v>0</v>
      </c>
      <c r="M149" s="111">
        <v>0</v>
      </c>
      <c r="N149" s="111">
        <v>0</v>
      </c>
      <c r="O149" s="111">
        <v>0</v>
      </c>
      <c r="P149" s="180"/>
      <c r="Q149" s="181"/>
    </row>
    <row r="150" spans="1:17">
      <c r="A150" s="251"/>
      <c r="B150" s="124" t="s">
        <v>169</v>
      </c>
      <c r="C150" s="111">
        <v>0</v>
      </c>
      <c r="D150" s="111">
        <v>0</v>
      </c>
      <c r="E150" s="111">
        <v>0</v>
      </c>
      <c r="F150" s="111">
        <v>0</v>
      </c>
      <c r="G150" s="111">
        <v>0</v>
      </c>
      <c r="H150" s="111">
        <v>0</v>
      </c>
      <c r="I150" s="111">
        <v>0</v>
      </c>
      <c r="J150" s="111">
        <v>0</v>
      </c>
      <c r="K150" s="111">
        <v>0</v>
      </c>
      <c r="L150" s="111">
        <v>0</v>
      </c>
      <c r="M150" s="111">
        <v>0</v>
      </c>
      <c r="N150" s="111">
        <v>0</v>
      </c>
      <c r="O150" s="111">
        <v>0</v>
      </c>
      <c r="P150" s="180"/>
      <c r="Q150" s="181"/>
    </row>
    <row r="151" spans="1:17">
      <c r="A151" s="251"/>
      <c r="B151" s="124" t="s">
        <v>205</v>
      </c>
      <c r="C151" s="111">
        <v>0</v>
      </c>
      <c r="D151" s="111">
        <v>0</v>
      </c>
      <c r="E151" s="111">
        <v>0</v>
      </c>
      <c r="F151" s="111">
        <v>0</v>
      </c>
      <c r="G151" s="111">
        <v>0</v>
      </c>
      <c r="H151" s="111">
        <v>0</v>
      </c>
      <c r="I151" s="111">
        <v>0</v>
      </c>
      <c r="J151" s="111">
        <v>0</v>
      </c>
      <c r="K151" s="111">
        <v>0</v>
      </c>
      <c r="L151" s="111">
        <v>0</v>
      </c>
      <c r="M151" s="111">
        <v>0</v>
      </c>
      <c r="N151" s="111">
        <v>0</v>
      </c>
      <c r="O151" s="111">
        <v>0</v>
      </c>
      <c r="P151" s="153" t="e">
        <f>O152/C152-1</f>
        <v>#DIV/0!</v>
      </c>
      <c r="Q151" s="152"/>
    </row>
    <row r="152" spans="1:17">
      <c r="A152" s="251"/>
      <c r="B152" s="124" t="s">
        <v>206</v>
      </c>
      <c r="C152" s="111">
        <v>0</v>
      </c>
      <c r="D152" s="111">
        <v>0</v>
      </c>
      <c r="E152" s="111">
        <v>0</v>
      </c>
      <c r="F152" s="111">
        <v>0</v>
      </c>
      <c r="G152" s="111">
        <v>0</v>
      </c>
      <c r="H152" s="111">
        <v>0</v>
      </c>
      <c r="I152" s="111">
        <v>0</v>
      </c>
      <c r="J152" s="111">
        <v>0</v>
      </c>
      <c r="K152" s="111">
        <v>0</v>
      </c>
      <c r="L152" s="111">
        <v>0</v>
      </c>
      <c r="M152" s="111">
        <v>0</v>
      </c>
      <c r="N152" s="111">
        <v>0</v>
      </c>
      <c r="O152" s="111">
        <v>0</v>
      </c>
      <c r="P152" s="180"/>
      <c r="Q152" s="153"/>
    </row>
    <row r="153" spans="1:17">
      <c r="A153" s="250"/>
      <c r="B153" s="183" t="s">
        <v>0</v>
      </c>
      <c r="C153" s="194">
        <v>820808.6</v>
      </c>
      <c r="D153" s="194">
        <v>830302.2</v>
      </c>
      <c r="E153" s="194">
        <v>1235093.5</v>
      </c>
      <c r="F153" s="194">
        <v>1585401.5</v>
      </c>
      <c r="G153" s="194">
        <v>2697151.2</v>
      </c>
      <c r="H153" s="194">
        <v>1918117.2</v>
      </c>
      <c r="I153" s="194">
        <v>1657717</v>
      </c>
      <c r="J153" s="194">
        <v>1717162.7</v>
      </c>
      <c r="K153" s="194">
        <v>1755886.4</v>
      </c>
      <c r="L153" s="194">
        <v>2100058.5</v>
      </c>
      <c r="M153" s="194">
        <v>2466232.1</v>
      </c>
      <c r="N153" s="194">
        <v>2556141.8250000002</v>
      </c>
      <c r="O153" s="194">
        <v>2556141.8250000002</v>
      </c>
      <c r="P153" s="180"/>
      <c r="Q153" s="153"/>
    </row>
    <row r="154" spans="1:17">
      <c r="A154" s="251"/>
      <c r="B154" s="124" t="s">
        <v>19</v>
      </c>
      <c r="C154" s="111">
        <v>1202</v>
      </c>
      <c r="D154" s="111">
        <v>143.30000000000001</v>
      </c>
      <c r="E154" s="111">
        <v>655.7</v>
      </c>
      <c r="F154" s="111">
        <v>2348.1</v>
      </c>
      <c r="G154" s="111">
        <v>9496.2999999999993</v>
      </c>
      <c r="H154" s="111">
        <v>8559.4</v>
      </c>
      <c r="I154" s="111">
        <v>5351.7</v>
      </c>
      <c r="J154" s="111">
        <v>5333.8</v>
      </c>
      <c r="K154" s="111">
        <v>590.20000000000005</v>
      </c>
      <c r="L154" s="111">
        <v>3512.0250000000001</v>
      </c>
      <c r="M154" s="111">
        <v>1413.4749999999999</v>
      </c>
      <c r="N154" s="111">
        <v>1024.3499999999999</v>
      </c>
      <c r="O154" s="111">
        <v>1024.3499999999999</v>
      </c>
      <c r="P154" s="180"/>
      <c r="Q154" s="153"/>
    </row>
    <row r="155" spans="1:17">
      <c r="A155" s="251"/>
      <c r="B155" s="124" t="s">
        <v>76</v>
      </c>
      <c r="C155" s="111">
        <v>0</v>
      </c>
      <c r="D155" s="111">
        <v>0</v>
      </c>
      <c r="E155" s="111">
        <v>0</v>
      </c>
      <c r="F155" s="111">
        <v>0</v>
      </c>
      <c r="G155" s="111">
        <v>0</v>
      </c>
      <c r="H155" s="111">
        <v>0</v>
      </c>
      <c r="I155" s="111">
        <v>809</v>
      </c>
      <c r="J155" s="111">
        <v>2955</v>
      </c>
      <c r="K155" s="111">
        <v>300</v>
      </c>
      <c r="L155" s="111">
        <v>475.42500000000001</v>
      </c>
      <c r="M155" s="111">
        <v>0</v>
      </c>
      <c r="N155" s="111">
        <v>1120.6500000000001</v>
      </c>
      <c r="O155" s="111">
        <v>1120.6500000000001</v>
      </c>
      <c r="P155" s="180"/>
      <c r="Q155" s="153"/>
    </row>
    <row r="156" spans="1:17">
      <c r="A156" s="251"/>
      <c r="B156" s="124" t="s">
        <v>72</v>
      </c>
      <c r="C156" s="111">
        <v>0</v>
      </c>
      <c r="D156" s="111">
        <v>0</v>
      </c>
      <c r="E156" s="111">
        <v>0</v>
      </c>
      <c r="F156" s="111">
        <v>0</v>
      </c>
      <c r="G156" s="111">
        <v>0</v>
      </c>
      <c r="H156" s="111">
        <v>0</v>
      </c>
      <c r="I156" s="111">
        <v>6512</v>
      </c>
      <c r="J156" s="111">
        <v>0</v>
      </c>
      <c r="K156" s="111">
        <v>0</v>
      </c>
      <c r="L156" s="111">
        <v>0</v>
      </c>
      <c r="M156" s="111">
        <v>0</v>
      </c>
      <c r="N156" s="111">
        <v>0</v>
      </c>
      <c r="O156" s="111">
        <v>0</v>
      </c>
      <c r="P156" s="180"/>
      <c r="Q156" s="153"/>
    </row>
    <row r="157" spans="1:17">
      <c r="A157" s="251"/>
      <c r="B157" s="124" t="s">
        <v>73</v>
      </c>
      <c r="C157" s="111">
        <v>0</v>
      </c>
      <c r="D157" s="111">
        <v>0</v>
      </c>
      <c r="E157" s="111">
        <v>0</v>
      </c>
      <c r="F157" s="111">
        <v>0</v>
      </c>
      <c r="G157" s="111">
        <v>0</v>
      </c>
      <c r="H157" s="111">
        <v>0</v>
      </c>
      <c r="I157" s="111">
        <v>0</v>
      </c>
      <c r="J157" s="111">
        <v>0</v>
      </c>
      <c r="K157" s="111">
        <v>0</v>
      </c>
      <c r="L157" s="111">
        <v>0</v>
      </c>
      <c r="M157" s="111">
        <v>0</v>
      </c>
      <c r="N157" s="111">
        <v>0</v>
      </c>
      <c r="O157" s="111">
        <v>0</v>
      </c>
      <c r="P157" s="180"/>
      <c r="Q157" s="153"/>
    </row>
    <row r="158" spans="1:17">
      <c r="A158" s="251"/>
      <c r="B158" s="124" t="s">
        <v>233</v>
      </c>
      <c r="C158" s="111">
        <v>0</v>
      </c>
      <c r="D158" s="111">
        <v>0</v>
      </c>
      <c r="E158" s="111">
        <v>0</v>
      </c>
      <c r="F158" s="111">
        <v>0</v>
      </c>
      <c r="G158" s="111">
        <v>0</v>
      </c>
      <c r="H158" s="111">
        <v>0</v>
      </c>
      <c r="I158" s="111">
        <v>0</v>
      </c>
      <c r="J158" s="111">
        <v>0</v>
      </c>
      <c r="K158" s="111">
        <v>0</v>
      </c>
      <c r="L158" s="111">
        <v>0</v>
      </c>
      <c r="M158" s="111">
        <v>0</v>
      </c>
      <c r="N158" s="111">
        <v>0</v>
      </c>
      <c r="O158" s="111">
        <v>0</v>
      </c>
      <c r="P158" s="180"/>
      <c r="Q158" s="153"/>
    </row>
    <row r="159" spans="1:17">
      <c r="A159" s="251"/>
      <c r="B159" s="124" t="s">
        <v>23</v>
      </c>
      <c r="C159" s="111">
        <v>0</v>
      </c>
      <c r="D159" s="111">
        <v>0</v>
      </c>
      <c r="E159" s="111">
        <v>0</v>
      </c>
      <c r="F159" s="111">
        <v>0</v>
      </c>
      <c r="G159" s="111">
        <v>0</v>
      </c>
      <c r="H159" s="111">
        <v>4</v>
      </c>
      <c r="I159" s="111">
        <v>1003.5</v>
      </c>
      <c r="J159" s="111">
        <v>50</v>
      </c>
      <c r="K159" s="111">
        <v>0</v>
      </c>
      <c r="L159" s="111">
        <v>2064.65</v>
      </c>
      <c r="M159" s="111">
        <v>0</v>
      </c>
      <c r="N159" s="111">
        <v>0</v>
      </c>
      <c r="O159" s="111">
        <v>0</v>
      </c>
      <c r="P159" s="180"/>
      <c r="Q159" s="153"/>
    </row>
    <row r="160" spans="1:17">
      <c r="A160" s="251"/>
      <c r="B160" s="124" t="s">
        <v>77</v>
      </c>
      <c r="C160" s="111">
        <v>118105.1</v>
      </c>
      <c r="D160" s="111">
        <v>19851.3</v>
      </c>
      <c r="E160" s="111">
        <v>29282.9</v>
      </c>
      <c r="F160" s="111">
        <v>23186.2</v>
      </c>
      <c r="G160" s="111">
        <v>17699.400000000001</v>
      </c>
      <c r="H160" s="111">
        <v>18495.599999999999</v>
      </c>
      <c r="I160" s="111">
        <v>208879.1</v>
      </c>
      <c r="J160" s="111">
        <v>56148.9</v>
      </c>
      <c r="K160" s="111">
        <v>56799.5</v>
      </c>
      <c r="L160" s="111">
        <v>34956.199999999997</v>
      </c>
      <c r="M160" s="111">
        <v>97151.95</v>
      </c>
      <c r="N160" s="111">
        <v>29674</v>
      </c>
      <c r="O160" s="111">
        <v>29674</v>
      </c>
      <c r="P160" s="180"/>
      <c r="Q160" s="153"/>
    </row>
    <row r="161" spans="1:20">
      <c r="A161" s="251"/>
      <c r="B161" s="124" t="s">
        <v>78</v>
      </c>
      <c r="C161" s="111">
        <v>23597.4</v>
      </c>
      <c r="D161" s="111">
        <v>11181.5</v>
      </c>
      <c r="E161" s="111">
        <v>28184.799999999999</v>
      </c>
      <c r="F161" s="111">
        <v>17070.3</v>
      </c>
      <c r="G161" s="111">
        <v>74426.899999999994</v>
      </c>
      <c r="H161" s="111">
        <v>117687.5</v>
      </c>
      <c r="I161" s="111">
        <v>774289.5</v>
      </c>
      <c r="J161" s="111">
        <v>476231.7</v>
      </c>
      <c r="K161" s="111">
        <v>271516.40000000002</v>
      </c>
      <c r="L161" s="111">
        <v>213512.32500000001</v>
      </c>
      <c r="M161" s="111">
        <v>56866.375</v>
      </c>
      <c r="N161" s="111">
        <v>21074.125</v>
      </c>
      <c r="O161" s="111">
        <v>21074.125</v>
      </c>
      <c r="P161" s="180"/>
      <c r="Q161" s="153"/>
      <c r="R161" s="160"/>
      <c r="S161" s="160"/>
      <c r="T161" s="160"/>
    </row>
    <row r="162" spans="1:20">
      <c r="A162" s="251"/>
      <c r="B162" s="124" t="s">
        <v>79</v>
      </c>
      <c r="C162" s="111">
        <v>2970.4</v>
      </c>
      <c r="D162" s="111">
        <v>6509.7</v>
      </c>
      <c r="E162" s="111">
        <v>18812.8</v>
      </c>
      <c r="F162" s="111">
        <v>4704.6000000000004</v>
      </c>
      <c r="G162" s="111">
        <v>35576.1</v>
      </c>
      <c r="H162" s="111">
        <v>41536</v>
      </c>
      <c r="I162" s="111">
        <v>120438.3</v>
      </c>
      <c r="J162" s="111">
        <v>162140.4</v>
      </c>
      <c r="K162" s="111">
        <v>141481</v>
      </c>
      <c r="L162" s="111">
        <v>62144.5</v>
      </c>
      <c r="M162" s="111">
        <v>3088</v>
      </c>
      <c r="N162" s="111">
        <v>45.174999999999997</v>
      </c>
      <c r="O162" s="111">
        <v>45.174999999999997</v>
      </c>
      <c r="P162" s="180"/>
      <c r="Q162" s="153"/>
      <c r="R162" s="160"/>
      <c r="S162" s="160"/>
      <c r="T162" s="160"/>
    </row>
    <row r="163" spans="1:20">
      <c r="A163" s="251"/>
      <c r="B163" s="124" t="s">
        <v>80</v>
      </c>
      <c r="C163" s="111">
        <v>3429</v>
      </c>
      <c r="D163" s="111">
        <v>111.1</v>
      </c>
      <c r="E163" s="111">
        <v>859.2</v>
      </c>
      <c r="F163" s="111">
        <v>4456.8999999999996</v>
      </c>
      <c r="G163" s="111">
        <v>4609.7</v>
      </c>
      <c r="H163" s="111">
        <v>6809.1</v>
      </c>
      <c r="I163" s="111">
        <v>32112.6</v>
      </c>
      <c r="J163" s="111">
        <v>6711.8</v>
      </c>
      <c r="K163" s="111">
        <v>4636.2</v>
      </c>
      <c r="L163" s="111">
        <v>5121.7749999999996</v>
      </c>
      <c r="M163" s="111">
        <v>2187.375</v>
      </c>
      <c r="N163" s="111">
        <v>2346</v>
      </c>
      <c r="O163" s="111">
        <v>2346</v>
      </c>
      <c r="P163" s="180"/>
      <c r="Q163" s="153"/>
      <c r="R163" s="160"/>
      <c r="S163" s="160"/>
      <c r="T163" s="160"/>
    </row>
    <row r="164" spans="1:20">
      <c r="A164" s="251"/>
      <c r="B164" s="124" t="s">
        <v>81</v>
      </c>
      <c r="C164" s="111">
        <v>1474.8</v>
      </c>
      <c r="D164" s="111">
        <v>12</v>
      </c>
      <c r="E164" s="111">
        <v>485.5</v>
      </c>
      <c r="F164" s="111">
        <v>2920.3</v>
      </c>
      <c r="G164" s="111">
        <v>3843</v>
      </c>
      <c r="H164" s="111">
        <v>7273.5</v>
      </c>
      <c r="I164" s="111">
        <v>10545</v>
      </c>
      <c r="J164" s="111">
        <v>7511.7</v>
      </c>
      <c r="K164" s="111">
        <v>5732.6</v>
      </c>
      <c r="L164" s="111">
        <v>3899.8249999999998</v>
      </c>
      <c r="M164" s="111">
        <v>278.82499999999999</v>
      </c>
      <c r="N164" s="111">
        <v>63.45</v>
      </c>
      <c r="O164" s="111">
        <v>63.45</v>
      </c>
      <c r="P164" s="180"/>
      <c r="Q164" s="153"/>
      <c r="R164" s="160"/>
      <c r="S164" s="160"/>
      <c r="T164" s="160"/>
    </row>
    <row r="165" spans="1:20">
      <c r="A165" s="251"/>
      <c r="B165" s="124" t="s">
        <v>85</v>
      </c>
      <c r="C165" s="111">
        <v>0</v>
      </c>
      <c r="D165" s="111">
        <v>0</v>
      </c>
      <c r="E165" s="111">
        <v>0</v>
      </c>
      <c r="F165" s="111">
        <v>0</v>
      </c>
      <c r="G165" s="111">
        <v>0</v>
      </c>
      <c r="H165" s="111">
        <v>0</v>
      </c>
      <c r="I165" s="111">
        <v>3546</v>
      </c>
      <c r="J165" s="111">
        <v>118</v>
      </c>
      <c r="K165" s="111">
        <v>0</v>
      </c>
      <c r="L165" s="111">
        <v>411.55</v>
      </c>
      <c r="M165" s="111">
        <v>17</v>
      </c>
      <c r="N165" s="111">
        <v>98</v>
      </c>
      <c r="O165" s="111">
        <v>98</v>
      </c>
      <c r="P165" s="180"/>
      <c r="Q165" s="153"/>
      <c r="R165" s="160"/>
      <c r="S165" s="160"/>
      <c r="T165" s="160"/>
    </row>
    <row r="166" spans="1:20">
      <c r="A166" s="251"/>
      <c r="B166" s="124" t="s">
        <v>74</v>
      </c>
      <c r="C166" s="111">
        <v>0</v>
      </c>
      <c r="D166" s="111">
        <v>0</v>
      </c>
      <c r="E166" s="111">
        <v>190</v>
      </c>
      <c r="F166" s="111">
        <v>0</v>
      </c>
      <c r="G166" s="111">
        <v>0</v>
      </c>
      <c r="H166" s="111">
        <v>0</v>
      </c>
      <c r="I166" s="111">
        <v>0</v>
      </c>
      <c r="J166" s="111">
        <v>0</v>
      </c>
      <c r="K166" s="111">
        <v>0</v>
      </c>
      <c r="L166" s="111">
        <v>0</v>
      </c>
      <c r="M166" s="111">
        <v>142.5</v>
      </c>
      <c r="N166" s="111">
        <v>0</v>
      </c>
      <c r="O166" s="111">
        <v>0</v>
      </c>
      <c r="P166" s="180"/>
      <c r="Q166" s="153"/>
      <c r="R166" s="160"/>
      <c r="S166" s="160"/>
      <c r="T166" s="160"/>
    </row>
    <row r="167" spans="1:20">
      <c r="A167" s="251"/>
      <c r="B167" s="124" t="s">
        <v>82</v>
      </c>
      <c r="C167" s="111">
        <v>0</v>
      </c>
      <c r="D167" s="111">
        <v>0</v>
      </c>
      <c r="E167" s="111">
        <v>0</v>
      </c>
      <c r="F167" s="111">
        <v>0</v>
      </c>
      <c r="G167" s="111">
        <v>0</v>
      </c>
      <c r="H167" s="111">
        <v>0</v>
      </c>
      <c r="I167" s="111">
        <v>0</v>
      </c>
      <c r="J167" s="111">
        <v>0</v>
      </c>
      <c r="K167" s="111">
        <v>0</v>
      </c>
      <c r="L167" s="111">
        <v>0</v>
      </c>
      <c r="M167" s="111">
        <v>0</v>
      </c>
      <c r="N167" s="111">
        <v>0</v>
      </c>
      <c r="O167" s="111">
        <v>0</v>
      </c>
      <c r="P167" s="180"/>
      <c r="Q167" s="153"/>
      <c r="R167" s="160"/>
      <c r="S167" s="160"/>
      <c r="T167" s="160"/>
    </row>
    <row r="168" spans="1:20">
      <c r="A168" s="251"/>
      <c r="B168" s="124" t="s">
        <v>83</v>
      </c>
      <c r="C168" s="111">
        <v>0</v>
      </c>
      <c r="D168" s="111">
        <v>0</v>
      </c>
      <c r="E168" s="111">
        <v>0</v>
      </c>
      <c r="F168" s="111">
        <v>0</v>
      </c>
      <c r="G168" s="111">
        <v>0</v>
      </c>
      <c r="H168" s="111">
        <v>0</v>
      </c>
      <c r="I168" s="111">
        <v>0</v>
      </c>
      <c r="J168" s="111">
        <v>0</v>
      </c>
      <c r="K168" s="111">
        <v>0</v>
      </c>
      <c r="L168" s="111">
        <v>0</v>
      </c>
      <c r="M168" s="111">
        <v>0</v>
      </c>
      <c r="N168" s="111">
        <v>0</v>
      </c>
      <c r="O168" s="111">
        <v>0</v>
      </c>
      <c r="P168" s="180"/>
      <c r="Q168" s="153"/>
      <c r="R168" s="160"/>
      <c r="S168" s="160"/>
      <c r="T168" s="160"/>
    </row>
    <row r="169" spans="1:20">
      <c r="A169" s="251"/>
      <c r="B169" s="124" t="s">
        <v>84</v>
      </c>
      <c r="C169" s="111">
        <v>0</v>
      </c>
      <c r="D169" s="111">
        <v>0</v>
      </c>
      <c r="E169" s="111">
        <v>0</v>
      </c>
      <c r="F169" s="111">
        <v>0</v>
      </c>
      <c r="G169" s="111">
        <v>0</v>
      </c>
      <c r="H169" s="111">
        <v>0</v>
      </c>
      <c r="I169" s="111">
        <v>0</v>
      </c>
      <c r="J169" s="111">
        <v>0</v>
      </c>
      <c r="K169" s="111">
        <v>0</v>
      </c>
      <c r="L169" s="111">
        <v>0</v>
      </c>
      <c r="M169" s="111">
        <v>0</v>
      </c>
      <c r="N169" s="111">
        <v>0</v>
      </c>
      <c r="O169" s="111">
        <v>0</v>
      </c>
      <c r="P169" s="153" t="e">
        <f>O171/C171-1</f>
        <v>#DIV/0!</v>
      </c>
      <c r="Q169" s="153"/>
      <c r="R169" s="160"/>
      <c r="S169" s="160"/>
      <c r="T169" s="160"/>
    </row>
    <row r="170" spans="1:20">
      <c r="A170" s="251"/>
      <c r="B170" s="124" t="s">
        <v>169</v>
      </c>
      <c r="C170" s="111">
        <v>0</v>
      </c>
      <c r="D170" s="111">
        <v>0</v>
      </c>
      <c r="E170" s="111">
        <v>0</v>
      </c>
      <c r="F170" s="111">
        <v>0</v>
      </c>
      <c r="G170" s="111">
        <v>0</v>
      </c>
      <c r="H170" s="111">
        <v>0</v>
      </c>
      <c r="I170" s="111">
        <v>0</v>
      </c>
      <c r="J170" s="111">
        <v>0</v>
      </c>
      <c r="K170" s="111">
        <v>0</v>
      </c>
      <c r="L170" s="111">
        <v>0</v>
      </c>
      <c r="M170" s="111">
        <v>0</v>
      </c>
      <c r="N170" s="111">
        <v>0</v>
      </c>
      <c r="O170" s="111">
        <v>0</v>
      </c>
      <c r="P170" s="166"/>
      <c r="Q170" s="160"/>
      <c r="R170" s="160"/>
      <c r="S170" s="160"/>
      <c r="T170" s="160"/>
    </row>
    <row r="171" spans="1:20">
      <c r="A171" s="251"/>
      <c r="B171" s="124" t="s">
        <v>205</v>
      </c>
      <c r="C171" s="111">
        <v>0</v>
      </c>
      <c r="D171" s="111">
        <v>0</v>
      </c>
      <c r="E171" s="111">
        <v>0</v>
      </c>
      <c r="F171" s="111">
        <v>0</v>
      </c>
      <c r="G171" s="111">
        <v>0</v>
      </c>
      <c r="H171" s="111">
        <v>0</v>
      </c>
      <c r="I171" s="111">
        <v>0</v>
      </c>
      <c r="J171" s="111">
        <v>0</v>
      </c>
      <c r="K171" s="111">
        <v>0</v>
      </c>
      <c r="L171" s="111">
        <v>0</v>
      </c>
      <c r="M171" s="111">
        <v>0</v>
      </c>
      <c r="N171" s="111">
        <v>0</v>
      </c>
      <c r="O171" s="111">
        <v>0</v>
      </c>
      <c r="P171" s="160"/>
      <c r="Q171" s="160"/>
      <c r="R171" s="160"/>
      <c r="S171" s="160"/>
      <c r="T171" s="160"/>
    </row>
    <row r="172" spans="1:20">
      <c r="A172" s="251"/>
      <c r="B172" s="124" t="s">
        <v>206</v>
      </c>
      <c r="C172" s="111">
        <v>844.6</v>
      </c>
      <c r="D172" s="111">
        <v>129.19999999999999</v>
      </c>
      <c r="E172" s="111">
        <v>1191.4000000000001</v>
      </c>
      <c r="F172" s="111">
        <v>512.9</v>
      </c>
      <c r="G172" s="111">
        <v>3501.6</v>
      </c>
      <c r="H172" s="111">
        <v>9288</v>
      </c>
      <c r="I172" s="111">
        <v>12956.4</v>
      </c>
      <c r="J172" s="111">
        <v>2597.3000000000002</v>
      </c>
      <c r="K172" s="111">
        <v>1616.4</v>
      </c>
      <c r="L172" s="111">
        <v>3975.2750000000001</v>
      </c>
      <c r="M172" s="111">
        <v>2081.5500000000002</v>
      </c>
      <c r="N172" s="111">
        <v>203.125</v>
      </c>
      <c r="O172" s="111">
        <v>203.125</v>
      </c>
      <c r="P172" s="185"/>
      <c r="Q172" s="185"/>
      <c r="R172" s="160"/>
      <c r="S172" s="160"/>
      <c r="T172" s="160"/>
    </row>
    <row r="173" spans="1:20">
      <c r="A173" s="250"/>
      <c r="B173" s="183" t="s">
        <v>0</v>
      </c>
      <c r="C173" s="194">
        <v>151623.29999999999</v>
      </c>
      <c r="D173" s="194">
        <v>37938.1</v>
      </c>
      <c r="E173" s="194">
        <v>79662.3</v>
      </c>
      <c r="F173" s="194">
        <v>55199.3</v>
      </c>
      <c r="G173" s="194">
        <v>149153</v>
      </c>
      <c r="H173" s="194">
        <v>209653.1</v>
      </c>
      <c r="I173" s="194">
        <v>1176443.1000000001</v>
      </c>
      <c r="J173" s="194">
        <v>719798.6</v>
      </c>
      <c r="K173" s="194">
        <v>482672.3</v>
      </c>
      <c r="L173" s="194">
        <v>330073.55</v>
      </c>
      <c r="M173" s="194">
        <v>163227.04999999999</v>
      </c>
      <c r="N173" s="194">
        <v>55648.875</v>
      </c>
      <c r="O173" s="194">
        <v>55648.875</v>
      </c>
      <c r="P173" s="186"/>
      <c r="Q173" s="186"/>
      <c r="R173" s="160"/>
      <c r="S173" s="160"/>
      <c r="T173" s="160"/>
    </row>
    <row r="174" spans="1:20">
      <c r="B174" s="185"/>
      <c r="O174" s="160"/>
      <c r="P174" s="160"/>
      <c r="Q174" s="160"/>
      <c r="R174" s="160"/>
      <c r="S174" s="160"/>
      <c r="T174" s="160"/>
    </row>
    <row r="175" spans="1:20">
      <c r="O175" s="160"/>
      <c r="P175" s="160"/>
      <c r="Q175" s="160"/>
      <c r="R175" s="160"/>
      <c r="S175" s="160"/>
      <c r="T175" s="160"/>
    </row>
    <row r="176" spans="1:20">
      <c r="O176" s="160"/>
      <c r="P176" s="160"/>
      <c r="Q176" s="160"/>
      <c r="R176" s="160"/>
      <c r="S176" s="160"/>
      <c r="T176" s="160"/>
    </row>
    <row r="177" spans="1:21">
      <c r="O177" s="160"/>
      <c r="P177" s="160"/>
      <c r="Q177" s="160"/>
      <c r="R177" s="160"/>
      <c r="S177" s="160"/>
      <c r="T177" s="160"/>
    </row>
    <row r="179" spans="1:21">
      <c r="A179" s="84" t="s">
        <v>208</v>
      </c>
      <c r="B179" s="160"/>
    </row>
    <row r="180" spans="1:21">
      <c r="B180" s="163" t="str">
        <f>MID(B181,6,1)</f>
        <v>E</v>
      </c>
      <c r="C180" s="163" t="str">
        <f t="shared" ref="C180:N180" si="7">MID(C181,6,1)</f>
        <v>F</v>
      </c>
      <c r="D180" s="163" t="str">
        <f t="shared" si="7"/>
        <v>M</v>
      </c>
      <c r="E180" s="163" t="str">
        <f t="shared" si="7"/>
        <v>A</v>
      </c>
      <c r="F180" s="163" t="str">
        <f t="shared" si="7"/>
        <v>M</v>
      </c>
      <c r="G180" s="163" t="str">
        <f t="shared" si="7"/>
        <v>J</v>
      </c>
      <c r="H180" s="163" t="str">
        <f t="shared" si="7"/>
        <v>J</v>
      </c>
      <c r="I180" s="163" t="str">
        <f t="shared" si="7"/>
        <v>A</v>
      </c>
      <c r="J180" s="163" t="str">
        <f t="shared" si="7"/>
        <v>S</v>
      </c>
      <c r="K180" s="163" t="str">
        <f t="shared" si="7"/>
        <v>O</v>
      </c>
      <c r="L180" s="163" t="str">
        <f t="shared" si="7"/>
        <v>N</v>
      </c>
      <c r="M180" s="163" t="str">
        <f t="shared" si="7"/>
        <v>D</v>
      </c>
      <c r="N180" s="163" t="str">
        <f t="shared" si="7"/>
        <v>E</v>
      </c>
    </row>
    <row r="181" spans="1:21">
      <c r="A181" s="122" t="s">
        <v>86</v>
      </c>
      <c r="B181" s="145" t="s">
        <v>209</v>
      </c>
      <c r="C181" s="145" t="s">
        <v>211</v>
      </c>
      <c r="D181" s="145" t="s">
        <v>214</v>
      </c>
      <c r="E181" s="145" t="s">
        <v>224</v>
      </c>
      <c r="F181" s="145" t="s">
        <v>227</v>
      </c>
      <c r="G181" s="145" t="s">
        <v>229</v>
      </c>
      <c r="H181" s="145" t="s">
        <v>231</v>
      </c>
      <c r="I181" s="145" t="s">
        <v>234</v>
      </c>
      <c r="J181" s="145" t="s">
        <v>237</v>
      </c>
      <c r="K181" s="145" t="s">
        <v>241</v>
      </c>
      <c r="L181" s="145" t="s">
        <v>246</v>
      </c>
      <c r="M181" s="145" t="s">
        <v>249</v>
      </c>
      <c r="N181" s="145" t="s">
        <v>282</v>
      </c>
      <c r="P181" s="119"/>
    </row>
    <row r="182" spans="1:21">
      <c r="A182" s="122" t="s">
        <v>27</v>
      </c>
      <c r="B182" s="143"/>
      <c r="C182" s="143"/>
      <c r="D182" s="143"/>
      <c r="E182" s="143"/>
      <c r="F182" s="143"/>
      <c r="G182" s="143"/>
      <c r="H182" s="143"/>
      <c r="I182" s="143"/>
      <c r="J182" s="143"/>
      <c r="K182" s="143"/>
      <c r="L182" s="143"/>
      <c r="M182" s="143"/>
      <c r="N182" s="143"/>
      <c r="P182" s="119"/>
    </row>
    <row r="183" spans="1:21">
      <c r="A183" s="124" t="s">
        <v>60</v>
      </c>
      <c r="B183" s="126">
        <v>1150.9126344086001</v>
      </c>
      <c r="C183" s="126">
        <v>1147.5163690476249</v>
      </c>
      <c r="D183" s="126">
        <v>1173.7688425302749</v>
      </c>
      <c r="E183" s="126">
        <v>1181.7873427673001</v>
      </c>
      <c r="F183" s="126">
        <v>1193.7315188171999</v>
      </c>
      <c r="G183" s="126">
        <v>1196.727083333325</v>
      </c>
      <c r="H183" s="126">
        <v>1194.8914650537749</v>
      </c>
      <c r="I183" s="126">
        <v>1193.3899305555501</v>
      </c>
      <c r="J183" s="126">
        <v>1186.784375</v>
      </c>
      <c r="K183" s="126">
        <v>1187.643624161075</v>
      </c>
      <c r="L183" s="126">
        <v>1178.9524305555501</v>
      </c>
      <c r="M183" s="126">
        <v>1180.338709677425</v>
      </c>
      <c r="N183" s="126">
        <v>1193.5692204300999</v>
      </c>
      <c r="O183" s="154">
        <f>N184/B184-1</f>
        <v>4.9910786448117417E-2</v>
      </c>
      <c r="P183" s="119"/>
    </row>
    <row r="184" spans="1:21">
      <c r="A184" s="124" t="s">
        <v>61</v>
      </c>
      <c r="B184" s="126">
        <v>1129.192204301075</v>
      </c>
      <c r="C184" s="126">
        <v>1128.565476190475</v>
      </c>
      <c r="D184" s="126">
        <v>1181.15376850605</v>
      </c>
      <c r="E184" s="126">
        <v>1185.1831761006249</v>
      </c>
      <c r="F184" s="126">
        <v>1194.9334677419249</v>
      </c>
      <c r="G184" s="126">
        <v>1196.13055555555</v>
      </c>
      <c r="H184" s="126">
        <v>1196.6243279570001</v>
      </c>
      <c r="I184" s="126">
        <v>1193.9107638889</v>
      </c>
      <c r="J184" s="126">
        <v>1186.19756944445</v>
      </c>
      <c r="K184" s="126">
        <v>1174.1842281879251</v>
      </c>
      <c r="L184" s="126">
        <v>1169.1361111111</v>
      </c>
      <c r="M184" s="126">
        <v>1170.0030241935499</v>
      </c>
      <c r="N184" s="126">
        <v>1185.5510752688249</v>
      </c>
      <c r="O184" s="154"/>
      <c r="P184" s="119"/>
    </row>
    <row r="185" spans="1:21">
      <c r="B185" s="126"/>
      <c r="C185" s="126"/>
      <c r="D185" s="126"/>
      <c r="E185" s="126"/>
      <c r="F185" s="126"/>
      <c r="G185" s="126"/>
      <c r="H185" s="126"/>
      <c r="I185" s="126"/>
      <c r="J185" s="126"/>
      <c r="K185" s="126"/>
      <c r="L185" s="126"/>
      <c r="M185" s="126"/>
      <c r="N185" s="126"/>
      <c r="P185" s="119"/>
    </row>
    <row r="186" spans="1:21">
      <c r="C186" s="111"/>
      <c r="P186" s="119"/>
    </row>
    <row r="187" spans="1:21">
      <c r="A187" s="84" t="s">
        <v>171</v>
      </c>
      <c r="B187" s="163" t="str">
        <f>MID(B189,6,1)</f>
        <v>E</v>
      </c>
      <c r="C187" s="163" t="str">
        <f t="shared" ref="C187:N187" si="8">MID(C189,6,1)</f>
        <v>F</v>
      </c>
      <c r="D187" s="163" t="str">
        <f t="shared" si="8"/>
        <v>M</v>
      </c>
      <c r="E187" s="163" t="str">
        <f t="shared" si="8"/>
        <v>A</v>
      </c>
      <c r="F187" s="163" t="str">
        <f t="shared" si="8"/>
        <v>M</v>
      </c>
      <c r="G187" s="163" t="str">
        <f t="shared" si="8"/>
        <v>J</v>
      </c>
      <c r="H187" s="163" t="str">
        <f t="shared" si="8"/>
        <v>J</v>
      </c>
      <c r="I187" s="163" t="str">
        <f t="shared" si="8"/>
        <v>A</v>
      </c>
      <c r="J187" s="163" t="str">
        <f t="shared" si="8"/>
        <v>S</v>
      </c>
      <c r="K187" s="163" t="str">
        <f t="shared" si="8"/>
        <v>O</v>
      </c>
      <c r="L187" s="163" t="str">
        <f t="shared" si="8"/>
        <v>N</v>
      </c>
      <c r="M187" s="163" t="str">
        <f t="shared" si="8"/>
        <v>D</v>
      </c>
      <c r="N187" s="163" t="str">
        <f t="shared" si="8"/>
        <v>E</v>
      </c>
      <c r="P187" s="152"/>
      <c r="Q187" s="152"/>
    </row>
    <row r="188" spans="1:21">
      <c r="A188" s="122" t="s">
        <v>27</v>
      </c>
      <c r="B188" s="245" t="s">
        <v>190</v>
      </c>
      <c r="C188" s="246"/>
      <c r="D188" s="246"/>
      <c r="E188" s="246"/>
      <c r="F188" s="246"/>
      <c r="G188" s="246"/>
      <c r="H188" s="246"/>
      <c r="I188" s="246"/>
      <c r="J188" s="246"/>
      <c r="K188" s="246"/>
      <c r="L188" s="246"/>
      <c r="M188" s="246"/>
      <c r="N188" s="246"/>
      <c r="P188" s="152"/>
      <c r="Q188" s="152"/>
    </row>
    <row r="189" spans="1:21">
      <c r="A189" s="122" t="s">
        <v>86</v>
      </c>
      <c r="B189" s="145" t="s">
        <v>209</v>
      </c>
      <c r="C189" s="145" t="s">
        <v>211</v>
      </c>
      <c r="D189" s="145" t="s">
        <v>214</v>
      </c>
      <c r="E189" s="145" t="s">
        <v>224</v>
      </c>
      <c r="F189" s="145" t="s">
        <v>227</v>
      </c>
      <c r="G189" s="145" t="s">
        <v>229</v>
      </c>
      <c r="H189" s="145" t="s">
        <v>231</v>
      </c>
      <c r="I189" s="145" t="s">
        <v>234</v>
      </c>
      <c r="J189" s="145" t="s">
        <v>237</v>
      </c>
      <c r="K189" s="145" t="s">
        <v>241</v>
      </c>
      <c r="L189" s="145" t="s">
        <v>246</v>
      </c>
      <c r="M189" s="145" t="s">
        <v>249</v>
      </c>
      <c r="N189" s="145" t="s">
        <v>282</v>
      </c>
      <c r="P189" s="152"/>
      <c r="Q189" s="152"/>
    </row>
    <row r="190" spans="1:21">
      <c r="A190" s="122" t="s">
        <v>119</v>
      </c>
      <c r="B190" s="143"/>
      <c r="C190" s="143"/>
      <c r="D190" s="143"/>
      <c r="E190" s="143"/>
      <c r="F190" s="143"/>
      <c r="G190" s="143"/>
      <c r="H190" s="143"/>
      <c r="I190" s="143"/>
      <c r="J190" s="143"/>
      <c r="K190" s="143"/>
      <c r="L190" s="143"/>
      <c r="M190" s="143"/>
      <c r="N190" s="143"/>
      <c r="O190" s="154"/>
      <c r="P190" s="152"/>
      <c r="Q190" s="152"/>
    </row>
    <row r="191" spans="1:21">
      <c r="A191" s="124" t="s">
        <v>75</v>
      </c>
      <c r="B191" s="111">
        <v>77.682462000000001</v>
      </c>
      <c r="C191" s="111">
        <v>84.822263000000007</v>
      </c>
      <c r="D191" s="111">
        <v>105.459892</v>
      </c>
      <c r="E191" s="111">
        <v>92.657791000000003</v>
      </c>
      <c r="F191" s="111">
        <v>95.844481999999999</v>
      </c>
      <c r="G191" s="111">
        <v>72.700210999999996</v>
      </c>
      <c r="H191" s="111">
        <v>80.985911000000002</v>
      </c>
      <c r="I191" s="111">
        <v>71.164877000000004</v>
      </c>
      <c r="J191" s="111">
        <v>86.558627999999999</v>
      </c>
      <c r="K191" s="111">
        <v>64.755118999999993</v>
      </c>
      <c r="L191" s="111">
        <v>78.213511999999994</v>
      </c>
      <c r="M191" s="111">
        <v>49.694707000000001</v>
      </c>
      <c r="N191" s="111">
        <v>88.198836999999997</v>
      </c>
      <c r="O191" s="154">
        <f>N191/B191-1</f>
        <v>0.13537643799188537</v>
      </c>
      <c r="P191" s="152"/>
      <c r="Q191" s="152"/>
      <c r="S191" s="111"/>
      <c r="T191" s="111"/>
      <c r="U191" s="111"/>
    </row>
    <row r="192" spans="1:21">
      <c r="A192" s="124" t="s">
        <v>71</v>
      </c>
      <c r="B192" s="111">
        <v>73.119370000000004</v>
      </c>
      <c r="C192" s="111">
        <v>59.611581999999999</v>
      </c>
      <c r="D192" s="111">
        <v>81.554850999999999</v>
      </c>
      <c r="E192" s="111">
        <v>85.516738000000004</v>
      </c>
      <c r="F192" s="111">
        <v>100.845438</v>
      </c>
      <c r="G192" s="111">
        <v>88.146169</v>
      </c>
      <c r="H192" s="111">
        <v>58.699295999999997</v>
      </c>
      <c r="I192" s="111">
        <v>71.704355000000007</v>
      </c>
      <c r="J192" s="111">
        <v>68.034813999999997</v>
      </c>
      <c r="K192" s="111">
        <v>90.106879000000006</v>
      </c>
      <c r="L192" s="111">
        <v>88.275216</v>
      </c>
      <c r="M192" s="111">
        <v>92.510457000000002</v>
      </c>
      <c r="N192" s="111">
        <v>92.520251000000002</v>
      </c>
      <c r="O192" s="154">
        <f>N192/B192-1</f>
        <v>0.26533162142945166</v>
      </c>
      <c r="P192" s="154">
        <f>(N191+N192)/(B191+B192)-1</f>
        <v>0.19838788165385157</v>
      </c>
      <c r="Q192" s="152"/>
      <c r="S192" s="111"/>
      <c r="T192" s="111"/>
      <c r="U192" s="111"/>
    </row>
    <row r="193" spans="1:17">
      <c r="B193" s="167"/>
      <c r="M193" s="167"/>
      <c r="N193" s="167"/>
    </row>
    <row r="194" spans="1:17">
      <c r="A194" s="225" t="s">
        <v>172</v>
      </c>
      <c r="C194" s="142" t="str">
        <f t="shared" ref="C194:O194" si="9">MID(C196,6,1)</f>
        <v>E</v>
      </c>
      <c r="D194" s="142" t="str">
        <f t="shared" si="9"/>
        <v>F</v>
      </c>
      <c r="E194" s="142" t="str">
        <f t="shared" si="9"/>
        <v>M</v>
      </c>
      <c r="F194" s="142" t="str">
        <f t="shared" si="9"/>
        <v>A</v>
      </c>
      <c r="G194" s="142" t="str">
        <f t="shared" si="9"/>
        <v>M</v>
      </c>
      <c r="H194" s="142" t="str">
        <f t="shared" si="9"/>
        <v>J</v>
      </c>
      <c r="I194" s="142" t="str">
        <f t="shared" si="9"/>
        <v>J</v>
      </c>
      <c r="J194" s="142" t="str">
        <f t="shared" si="9"/>
        <v>A</v>
      </c>
      <c r="K194" s="142" t="str">
        <f t="shared" si="9"/>
        <v>S</v>
      </c>
      <c r="L194" s="142" t="str">
        <f t="shared" si="9"/>
        <v>O</v>
      </c>
      <c r="M194" s="142" t="str">
        <f t="shared" si="9"/>
        <v>N</v>
      </c>
      <c r="N194" s="142" t="str">
        <f t="shared" si="9"/>
        <v>D</v>
      </c>
      <c r="O194" s="142" t="str">
        <f t="shared" si="9"/>
        <v>E</v>
      </c>
    </row>
    <row r="195" spans="1:17">
      <c r="A195" s="122"/>
      <c r="B195" s="122" t="s">
        <v>27</v>
      </c>
      <c r="C195" s="241" t="s">
        <v>156</v>
      </c>
      <c r="D195" s="242"/>
      <c r="E195" s="242"/>
      <c r="F195" s="242"/>
      <c r="G195" s="242"/>
      <c r="H195" s="242"/>
      <c r="I195" s="242"/>
      <c r="J195" s="242"/>
      <c r="K195" s="242"/>
      <c r="L195" s="242"/>
      <c r="M195" s="242"/>
      <c r="N195" s="242"/>
      <c r="O195" s="242"/>
      <c r="P195" s="152"/>
      <c r="Q195" s="152"/>
    </row>
    <row r="196" spans="1:17">
      <c r="A196" s="122"/>
      <c r="B196" s="123" t="s">
        <v>86</v>
      </c>
      <c r="C196" s="145" t="s">
        <v>209</v>
      </c>
      <c r="D196" s="145" t="s">
        <v>211</v>
      </c>
      <c r="E196" s="145" t="s">
        <v>214</v>
      </c>
      <c r="F196" s="145" t="s">
        <v>224</v>
      </c>
      <c r="G196" s="145" t="s">
        <v>227</v>
      </c>
      <c r="H196" s="145" t="s">
        <v>229</v>
      </c>
      <c r="I196" s="145" t="s">
        <v>231</v>
      </c>
      <c r="J196" s="145" t="s">
        <v>234</v>
      </c>
      <c r="K196" s="145" t="s">
        <v>237</v>
      </c>
      <c r="L196" s="145" t="s">
        <v>241</v>
      </c>
      <c r="M196" s="145" t="s">
        <v>246</v>
      </c>
      <c r="N196" s="145" t="s">
        <v>249</v>
      </c>
      <c r="O196" s="145" t="s">
        <v>282</v>
      </c>
      <c r="P196" s="152"/>
      <c r="Q196" s="152"/>
    </row>
    <row r="197" spans="1:17">
      <c r="A197" s="122" t="s">
        <v>119</v>
      </c>
      <c r="B197" s="122" t="s">
        <v>120</v>
      </c>
      <c r="C197" s="193"/>
      <c r="D197" s="193"/>
      <c r="E197" s="193"/>
      <c r="F197" s="193"/>
      <c r="G197" s="193"/>
      <c r="H197" s="193"/>
      <c r="I197" s="193"/>
      <c r="J197" s="193"/>
      <c r="K197" s="193"/>
      <c r="L197" s="193"/>
      <c r="M197" s="193"/>
      <c r="N197" s="193"/>
      <c r="O197" s="192"/>
      <c r="P197" s="152"/>
      <c r="Q197" s="152"/>
    </row>
    <row r="198" spans="1:17">
      <c r="A198" s="249" t="s">
        <v>71</v>
      </c>
      <c r="B198" s="124" t="s">
        <v>82</v>
      </c>
      <c r="C198" s="125">
        <v>0</v>
      </c>
      <c r="D198" s="125">
        <v>0</v>
      </c>
      <c r="E198" s="125">
        <v>0</v>
      </c>
      <c r="F198" s="125">
        <v>0</v>
      </c>
      <c r="G198" s="125">
        <v>0</v>
      </c>
      <c r="H198" s="125">
        <v>0</v>
      </c>
      <c r="I198" s="125">
        <v>0</v>
      </c>
      <c r="J198" s="125">
        <v>0</v>
      </c>
      <c r="K198" s="125">
        <v>0</v>
      </c>
      <c r="L198" s="125">
        <v>0</v>
      </c>
      <c r="M198" s="125">
        <v>0</v>
      </c>
      <c r="N198" s="125">
        <v>0</v>
      </c>
      <c r="O198" s="125">
        <v>0</v>
      </c>
      <c r="P198" s="152"/>
      <c r="Q198" s="152"/>
    </row>
    <row r="199" spans="1:17">
      <c r="A199" s="251"/>
      <c r="B199" s="124" t="s">
        <v>73</v>
      </c>
      <c r="C199" s="125">
        <v>485.25</v>
      </c>
      <c r="D199" s="125">
        <v>155.25</v>
      </c>
      <c r="E199" s="125">
        <v>34.450000000000003</v>
      </c>
      <c r="F199" s="125">
        <v>30.05</v>
      </c>
      <c r="G199" s="125">
        <v>0</v>
      </c>
      <c r="H199" s="125">
        <v>83.15</v>
      </c>
      <c r="I199" s="125">
        <v>422.25</v>
      </c>
      <c r="J199" s="125">
        <v>0</v>
      </c>
      <c r="K199" s="125">
        <v>90</v>
      </c>
      <c r="L199" s="125">
        <v>457.41699999999997</v>
      </c>
      <c r="M199" s="125">
        <v>20</v>
      </c>
      <c r="N199" s="125">
        <v>252.51499999999999</v>
      </c>
      <c r="O199" s="125">
        <v>859</v>
      </c>
      <c r="P199" s="152"/>
      <c r="Q199" s="152"/>
    </row>
    <row r="200" spans="1:17">
      <c r="A200" s="251"/>
      <c r="B200" s="124" t="s">
        <v>23</v>
      </c>
      <c r="C200" s="125">
        <v>75138.25</v>
      </c>
      <c r="D200" s="125">
        <v>41086.735000000001</v>
      </c>
      <c r="E200" s="125">
        <v>42628.800000000003</v>
      </c>
      <c r="F200" s="125">
        <v>21334.2</v>
      </c>
      <c r="G200" s="125">
        <v>43474.65</v>
      </c>
      <c r="H200" s="125">
        <v>226890.22500000001</v>
      </c>
      <c r="I200" s="125">
        <v>209561.22500000001</v>
      </c>
      <c r="J200" s="125">
        <v>179282</v>
      </c>
      <c r="K200" s="125">
        <v>112488.129</v>
      </c>
      <c r="L200" s="125">
        <v>207007.23800000001</v>
      </c>
      <c r="M200" s="125">
        <v>207366.633</v>
      </c>
      <c r="N200" s="125">
        <v>266092.64399999997</v>
      </c>
      <c r="O200" s="125">
        <v>302103.14199999999</v>
      </c>
      <c r="P200" s="152"/>
      <c r="Q200" s="152"/>
    </row>
    <row r="201" spans="1:17">
      <c r="A201" s="251"/>
      <c r="B201" s="124" t="s">
        <v>80</v>
      </c>
      <c r="C201" s="125">
        <v>3</v>
      </c>
      <c r="D201" s="125">
        <v>0</v>
      </c>
      <c r="E201" s="125">
        <v>140</v>
      </c>
      <c r="F201" s="125">
        <v>52.5</v>
      </c>
      <c r="G201" s="125">
        <v>92.75</v>
      </c>
      <c r="H201" s="125">
        <v>209.25</v>
      </c>
      <c r="I201" s="125">
        <v>318.75</v>
      </c>
      <c r="J201" s="125">
        <v>173.25</v>
      </c>
      <c r="K201" s="125">
        <v>239.75</v>
      </c>
      <c r="L201" s="125">
        <v>542.86699999999996</v>
      </c>
      <c r="M201" s="125">
        <v>165.75</v>
      </c>
      <c r="N201" s="125">
        <v>189.25</v>
      </c>
      <c r="O201" s="125">
        <v>228</v>
      </c>
      <c r="P201" s="152"/>
      <c r="Q201" s="152"/>
    </row>
    <row r="202" spans="1:17">
      <c r="A202" s="251"/>
      <c r="B202" s="124" t="s">
        <v>74</v>
      </c>
      <c r="C202" s="125">
        <v>30294.2</v>
      </c>
      <c r="D202" s="125">
        <v>10732.416999999999</v>
      </c>
      <c r="E202" s="125">
        <v>30167.8</v>
      </c>
      <c r="F202" s="125">
        <v>25127.55</v>
      </c>
      <c r="G202" s="125">
        <v>28512.400000000001</v>
      </c>
      <c r="H202" s="125">
        <v>19186.8</v>
      </c>
      <c r="I202" s="125">
        <v>17123.95</v>
      </c>
      <c r="J202" s="125">
        <v>17965.3</v>
      </c>
      <c r="K202" s="125">
        <v>19717.983</v>
      </c>
      <c r="L202" s="125">
        <v>19655.100999999999</v>
      </c>
      <c r="M202" s="125">
        <v>31749.741000000002</v>
      </c>
      <c r="N202" s="125">
        <v>19420.499</v>
      </c>
      <c r="O202" s="125">
        <v>21825</v>
      </c>
      <c r="P202" s="152"/>
      <c r="Q202" s="152"/>
    </row>
    <row r="203" spans="1:17">
      <c r="A203" s="251"/>
      <c r="B203" s="124" t="s">
        <v>83</v>
      </c>
      <c r="C203" s="125">
        <v>0</v>
      </c>
      <c r="D203" s="125">
        <v>0</v>
      </c>
      <c r="E203" s="125">
        <v>0</v>
      </c>
      <c r="F203" s="125">
        <v>0</v>
      </c>
      <c r="G203" s="125">
        <v>0</v>
      </c>
      <c r="H203" s="125">
        <v>0</v>
      </c>
      <c r="I203" s="125">
        <v>0</v>
      </c>
      <c r="J203" s="125">
        <v>0</v>
      </c>
      <c r="K203" s="125">
        <v>0</v>
      </c>
      <c r="L203" s="125">
        <v>0</v>
      </c>
      <c r="M203" s="125">
        <v>0</v>
      </c>
      <c r="N203" s="125">
        <v>0</v>
      </c>
      <c r="O203" s="125">
        <v>0</v>
      </c>
      <c r="P203" s="152"/>
      <c r="Q203" s="152"/>
    </row>
    <row r="204" spans="1:17">
      <c r="A204" s="251"/>
      <c r="B204" s="124" t="s">
        <v>77</v>
      </c>
      <c r="C204" s="125">
        <v>24907.05</v>
      </c>
      <c r="D204" s="125">
        <v>9668.9809999999998</v>
      </c>
      <c r="E204" s="125">
        <v>31429.5</v>
      </c>
      <c r="F204" s="125">
        <v>27130.85</v>
      </c>
      <c r="G204" s="125">
        <v>43167.925000000003</v>
      </c>
      <c r="H204" s="125">
        <v>27497.7</v>
      </c>
      <c r="I204" s="125">
        <v>13989.3</v>
      </c>
      <c r="J204" s="125">
        <v>16005.75</v>
      </c>
      <c r="K204" s="125">
        <v>16576.755000000001</v>
      </c>
      <c r="L204" s="125">
        <v>26102.233</v>
      </c>
      <c r="M204" s="125">
        <v>21238.094000000001</v>
      </c>
      <c r="N204" s="125">
        <v>18071.8</v>
      </c>
      <c r="O204" s="125">
        <v>31834.75</v>
      </c>
      <c r="P204" s="152"/>
      <c r="Q204" s="152"/>
    </row>
    <row r="205" spans="1:17">
      <c r="A205" s="251"/>
      <c r="B205" s="124" t="s">
        <v>233</v>
      </c>
      <c r="C205" s="125">
        <v>0</v>
      </c>
      <c r="D205" s="125">
        <v>0</v>
      </c>
      <c r="E205" s="125">
        <v>0</v>
      </c>
      <c r="F205" s="125">
        <v>0</v>
      </c>
      <c r="G205" s="125">
        <v>0</v>
      </c>
      <c r="H205" s="125">
        <v>0</v>
      </c>
      <c r="I205" s="125">
        <v>0</v>
      </c>
      <c r="J205" s="125">
        <v>0</v>
      </c>
      <c r="K205" s="125">
        <v>0</v>
      </c>
      <c r="L205" s="125">
        <v>0</v>
      </c>
      <c r="M205" s="125">
        <v>0</v>
      </c>
      <c r="N205" s="125">
        <v>0</v>
      </c>
      <c r="O205" s="125">
        <v>0</v>
      </c>
      <c r="P205" s="152"/>
      <c r="Q205" s="152"/>
    </row>
    <row r="206" spans="1:17">
      <c r="A206" s="251"/>
      <c r="B206" s="124" t="s">
        <v>206</v>
      </c>
      <c r="C206" s="125">
        <v>0</v>
      </c>
      <c r="D206" s="125">
        <v>0</v>
      </c>
      <c r="E206" s="125">
        <v>0</v>
      </c>
      <c r="F206" s="125">
        <v>0</v>
      </c>
      <c r="G206" s="125">
        <v>0</v>
      </c>
      <c r="H206" s="125">
        <v>0</v>
      </c>
      <c r="I206" s="125">
        <v>0</v>
      </c>
      <c r="J206" s="125">
        <v>0</v>
      </c>
      <c r="K206" s="125">
        <v>29.75</v>
      </c>
      <c r="L206" s="125">
        <v>0</v>
      </c>
      <c r="M206" s="125">
        <v>0</v>
      </c>
      <c r="N206" s="125">
        <v>0</v>
      </c>
      <c r="O206" s="125">
        <v>0</v>
      </c>
      <c r="P206" s="152"/>
      <c r="Q206" s="152"/>
    </row>
    <row r="207" spans="1:17">
      <c r="A207" s="251"/>
      <c r="B207" s="124" t="s">
        <v>19</v>
      </c>
      <c r="C207" s="125">
        <v>30091.7</v>
      </c>
      <c r="D207" s="125">
        <v>17178.798999999999</v>
      </c>
      <c r="E207" s="125">
        <v>34297.5</v>
      </c>
      <c r="F207" s="125">
        <v>36079.15</v>
      </c>
      <c r="G207" s="125">
        <v>30711.75</v>
      </c>
      <c r="H207" s="125">
        <v>31774.95</v>
      </c>
      <c r="I207" s="125">
        <v>85316.175000000003</v>
      </c>
      <c r="J207" s="125">
        <v>54636.866999999998</v>
      </c>
      <c r="K207" s="125">
        <v>20999.040000000001</v>
      </c>
      <c r="L207" s="125">
        <v>52921.534</v>
      </c>
      <c r="M207" s="125">
        <v>43671.635000000002</v>
      </c>
      <c r="N207" s="125">
        <v>78431.933999999994</v>
      </c>
      <c r="O207" s="125">
        <v>67707.217999999993</v>
      </c>
      <c r="P207" s="152"/>
      <c r="Q207" s="152"/>
    </row>
    <row r="208" spans="1:17">
      <c r="A208" s="251"/>
      <c r="B208" s="124" t="s">
        <v>169</v>
      </c>
      <c r="C208" s="125">
        <v>0</v>
      </c>
      <c r="D208" s="125">
        <v>0</v>
      </c>
      <c r="E208" s="125">
        <v>0</v>
      </c>
      <c r="F208" s="125">
        <v>0</v>
      </c>
      <c r="G208" s="125">
        <v>0</v>
      </c>
      <c r="H208" s="125">
        <v>0</v>
      </c>
      <c r="I208" s="125">
        <v>0</v>
      </c>
      <c r="J208" s="125">
        <v>0</v>
      </c>
      <c r="K208" s="125">
        <v>0</v>
      </c>
      <c r="L208" s="125">
        <v>0</v>
      </c>
      <c r="M208" s="125">
        <v>0</v>
      </c>
      <c r="N208" s="125">
        <v>0</v>
      </c>
      <c r="O208" s="125">
        <v>0</v>
      </c>
      <c r="P208" s="152"/>
      <c r="Q208" s="152"/>
    </row>
    <row r="209" spans="1:17">
      <c r="A209" s="251"/>
      <c r="B209" s="124" t="s">
        <v>84</v>
      </c>
      <c r="C209" s="125">
        <v>34556.9</v>
      </c>
      <c r="D209" s="125">
        <v>28098.799999999999</v>
      </c>
      <c r="E209" s="125">
        <v>34080.6</v>
      </c>
      <c r="F209" s="125">
        <v>26275.474999999999</v>
      </c>
      <c r="G209" s="125">
        <v>35039.25</v>
      </c>
      <c r="H209" s="125">
        <v>33961.75</v>
      </c>
      <c r="I209" s="125">
        <v>27631.25</v>
      </c>
      <c r="J209" s="125">
        <v>39299.75</v>
      </c>
      <c r="K209" s="125">
        <v>29569.5</v>
      </c>
      <c r="L209" s="125">
        <v>15003</v>
      </c>
      <c r="M209" s="125">
        <v>4295.125</v>
      </c>
      <c r="N209" s="125">
        <v>46489.75</v>
      </c>
      <c r="O209" s="125">
        <v>46037.25</v>
      </c>
      <c r="P209" s="152"/>
      <c r="Q209" s="152"/>
    </row>
    <row r="210" spans="1:17">
      <c r="A210" s="251"/>
      <c r="B210" s="124" t="s">
        <v>72</v>
      </c>
      <c r="C210" s="125">
        <v>139.15</v>
      </c>
      <c r="D210" s="125">
        <v>0</v>
      </c>
      <c r="E210" s="125">
        <v>359.05</v>
      </c>
      <c r="F210" s="125">
        <v>364</v>
      </c>
      <c r="G210" s="125">
        <v>1965.25</v>
      </c>
      <c r="H210" s="125">
        <v>659</v>
      </c>
      <c r="I210" s="125">
        <v>742</v>
      </c>
      <c r="J210" s="125">
        <v>632.15</v>
      </c>
      <c r="K210" s="125">
        <v>153.69999999999999</v>
      </c>
      <c r="L210" s="125">
        <v>197.75</v>
      </c>
      <c r="M210" s="125">
        <v>817.75</v>
      </c>
      <c r="N210" s="125">
        <v>393.5</v>
      </c>
      <c r="O210" s="125">
        <v>266.25</v>
      </c>
      <c r="P210" s="152"/>
      <c r="Q210" s="152"/>
    </row>
    <row r="211" spans="1:17">
      <c r="A211" s="251"/>
      <c r="B211" s="124" t="s">
        <v>81</v>
      </c>
      <c r="C211" s="125">
        <v>85</v>
      </c>
      <c r="D211" s="125">
        <v>17.25</v>
      </c>
      <c r="E211" s="125">
        <v>304.89999999999998</v>
      </c>
      <c r="F211" s="125">
        <v>299.3</v>
      </c>
      <c r="G211" s="125">
        <v>1099.6500000000001</v>
      </c>
      <c r="H211" s="125">
        <v>445.65</v>
      </c>
      <c r="I211" s="125">
        <v>454.7</v>
      </c>
      <c r="J211" s="125">
        <v>547.04999999999995</v>
      </c>
      <c r="K211" s="125">
        <v>388.13299999999998</v>
      </c>
      <c r="L211" s="125">
        <v>801.88199999999995</v>
      </c>
      <c r="M211" s="125">
        <v>592.50099999999998</v>
      </c>
      <c r="N211" s="125">
        <v>703.6</v>
      </c>
      <c r="O211" s="125">
        <v>1370.1489999999999</v>
      </c>
      <c r="P211" s="152"/>
      <c r="Q211" s="152"/>
    </row>
    <row r="212" spans="1:17">
      <c r="A212" s="251"/>
      <c r="B212" s="124" t="s">
        <v>85</v>
      </c>
      <c r="C212" s="125">
        <v>0</v>
      </c>
      <c r="D212" s="125">
        <v>0</v>
      </c>
      <c r="E212" s="125">
        <v>0</v>
      </c>
      <c r="F212" s="125">
        <v>0</v>
      </c>
      <c r="G212" s="125">
        <v>0</v>
      </c>
      <c r="H212" s="125">
        <v>0</v>
      </c>
      <c r="I212" s="125">
        <v>0</v>
      </c>
      <c r="J212" s="125">
        <v>0</v>
      </c>
      <c r="K212" s="125">
        <v>0</v>
      </c>
      <c r="L212" s="125">
        <v>133.5</v>
      </c>
      <c r="M212" s="125">
        <v>901.5</v>
      </c>
      <c r="N212" s="125">
        <v>405.25</v>
      </c>
      <c r="O212" s="125">
        <v>414</v>
      </c>
      <c r="P212" s="152"/>
      <c r="Q212" s="152"/>
    </row>
    <row r="213" spans="1:17">
      <c r="A213" s="251"/>
      <c r="B213" s="124" t="s">
        <v>78</v>
      </c>
      <c r="C213" s="125">
        <v>3800</v>
      </c>
      <c r="D213" s="125">
        <v>2360.9009999999998</v>
      </c>
      <c r="E213" s="125">
        <v>6670.45</v>
      </c>
      <c r="F213" s="125">
        <v>9781.15</v>
      </c>
      <c r="G213" s="125">
        <v>14137.575000000001</v>
      </c>
      <c r="H213" s="125">
        <v>20985.474999999999</v>
      </c>
      <c r="I213" s="125">
        <v>14673.875</v>
      </c>
      <c r="J213" s="125">
        <v>22896.5</v>
      </c>
      <c r="K213" s="125">
        <v>14205.386</v>
      </c>
      <c r="L213" s="125">
        <v>9379.7669999999998</v>
      </c>
      <c r="M213" s="125">
        <v>4838.0010000000002</v>
      </c>
      <c r="N213" s="125">
        <v>4763.4480000000003</v>
      </c>
      <c r="O213" s="125">
        <v>6277.7669999999998</v>
      </c>
      <c r="P213" s="152"/>
      <c r="Q213" s="152"/>
    </row>
    <row r="214" spans="1:17">
      <c r="A214" s="251"/>
      <c r="B214" s="124" t="s">
        <v>79</v>
      </c>
      <c r="C214" s="125">
        <v>15.25</v>
      </c>
      <c r="D214" s="125">
        <v>4.75</v>
      </c>
      <c r="E214" s="125">
        <v>62.75</v>
      </c>
      <c r="F214" s="125">
        <v>157.75</v>
      </c>
      <c r="G214" s="125">
        <v>300.5</v>
      </c>
      <c r="H214" s="125">
        <v>170.25</v>
      </c>
      <c r="I214" s="125">
        <v>455.92500000000001</v>
      </c>
      <c r="J214" s="125">
        <v>301.75</v>
      </c>
      <c r="K214" s="125">
        <v>325.25</v>
      </c>
      <c r="L214" s="125">
        <v>563.25</v>
      </c>
      <c r="M214" s="125">
        <v>122.25</v>
      </c>
      <c r="N214" s="125">
        <v>165.25</v>
      </c>
      <c r="O214" s="125">
        <v>126.25</v>
      </c>
      <c r="P214" s="152"/>
      <c r="Q214" s="152"/>
    </row>
    <row r="215" spans="1:17">
      <c r="A215" s="251"/>
      <c r="B215" s="124" t="s">
        <v>76</v>
      </c>
      <c r="C215" s="125">
        <v>19331.099999999999</v>
      </c>
      <c r="D215" s="125">
        <v>5627</v>
      </c>
      <c r="E215" s="125">
        <v>14804.75</v>
      </c>
      <c r="F215" s="125">
        <v>16764.75</v>
      </c>
      <c r="G215" s="125">
        <v>23021.55</v>
      </c>
      <c r="H215" s="125">
        <v>17574.599999999999</v>
      </c>
      <c r="I215" s="125">
        <v>21808.125</v>
      </c>
      <c r="J215" s="125">
        <v>20287.816999999999</v>
      </c>
      <c r="K215" s="125">
        <v>18414.18</v>
      </c>
      <c r="L215" s="125">
        <v>16770.466</v>
      </c>
      <c r="M215" s="125">
        <v>17768.901999999998</v>
      </c>
      <c r="N215" s="125">
        <v>29822.548999999999</v>
      </c>
      <c r="O215" s="125">
        <v>42487.55</v>
      </c>
      <c r="P215" s="153"/>
      <c r="Q215" s="152"/>
    </row>
    <row r="216" spans="1:17">
      <c r="A216" s="250"/>
      <c r="B216" s="183" t="s">
        <v>0</v>
      </c>
      <c r="C216" s="195">
        <v>218846.85</v>
      </c>
      <c r="D216" s="195">
        <v>114930.883</v>
      </c>
      <c r="E216" s="195">
        <v>194980.55</v>
      </c>
      <c r="F216" s="195">
        <v>163396.72500000001</v>
      </c>
      <c r="G216" s="195">
        <v>221523.25</v>
      </c>
      <c r="H216" s="195">
        <v>379438.8</v>
      </c>
      <c r="I216" s="195">
        <v>392497.52500000002</v>
      </c>
      <c r="J216" s="195">
        <v>352028.18400000001</v>
      </c>
      <c r="K216" s="195">
        <v>233197.55600000001</v>
      </c>
      <c r="L216" s="195">
        <v>349536.005</v>
      </c>
      <c r="M216" s="195">
        <v>333547.88199999998</v>
      </c>
      <c r="N216" s="195">
        <v>465201.989</v>
      </c>
      <c r="O216" s="195">
        <v>521536.326</v>
      </c>
      <c r="P216" s="153">
        <f>O216/C216-1</f>
        <v>1.3831109563605781</v>
      </c>
      <c r="Q216" s="152"/>
    </row>
    <row r="217" spans="1:17">
      <c r="A217" s="259" t="s">
        <v>75</v>
      </c>
      <c r="B217" s="124" t="s">
        <v>82</v>
      </c>
      <c r="C217" s="125">
        <v>0</v>
      </c>
      <c r="D217" s="125">
        <v>0</v>
      </c>
      <c r="E217" s="125">
        <v>0</v>
      </c>
      <c r="F217" s="125">
        <v>0</v>
      </c>
      <c r="G217" s="125">
        <v>0</v>
      </c>
      <c r="H217" s="125">
        <v>0</v>
      </c>
      <c r="I217" s="125">
        <v>0</v>
      </c>
      <c r="J217" s="125">
        <v>0</v>
      </c>
      <c r="K217" s="125">
        <v>0</v>
      </c>
      <c r="L217" s="125">
        <v>0</v>
      </c>
      <c r="M217" s="125">
        <v>0</v>
      </c>
      <c r="N217" s="125">
        <v>0</v>
      </c>
      <c r="O217" s="125">
        <v>0</v>
      </c>
      <c r="P217" s="154"/>
      <c r="Q217" s="152"/>
    </row>
    <row r="218" spans="1:17">
      <c r="A218" s="251"/>
      <c r="B218" s="124" t="s">
        <v>73</v>
      </c>
      <c r="C218" s="125">
        <v>938.7</v>
      </c>
      <c r="D218" s="125">
        <v>339</v>
      </c>
      <c r="E218" s="125">
        <v>85</v>
      </c>
      <c r="F218" s="125">
        <v>105</v>
      </c>
      <c r="G218" s="125">
        <v>0</v>
      </c>
      <c r="H218" s="125">
        <v>83.75</v>
      </c>
      <c r="I218" s="125">
        <v>10</v>
      </c>
      <c r="J218" s="125">
        <v>0</v>
      </c>
      <c r="K218" s="125">
        <v>0</v>
      </c>
      <c r="L218" s="125">
        <v>0</v>
      </c>
      <c r="M218" s="125">
        <v>0</v>
      </c>
      <c r="N218" s="125">
        <v>2.5</v>
      </c>
      <c r="O218" s="125">
        <v>0</v>
      </c>
      <c r="P218" s="202"/>
      <c r="Q218" s="152"/>
    </row>
    <row r="219" spans="1:17">
      <c r="A219" s="251"/>
      <c r="B219" s="124" t="s">
        <v>23</v>
      </c>
      <c r="C219" s="125">
        <v>78421.95</v>
      </c>
      <c r="D219" s="125">
        <v>87805.447</v>
      </c>
      <c r="E219" s="125">
        <v>30848.534</v>
      </c>
      <c r="F219" s="125">
        <v>16612.3</v>
      </c>
      <c r="G219" s="125">
        <v>9449.5499999999993</v>
      </c>
      <c r="H219" s="125">
        <v>34376.15</v>
      </c>
      <c r="I219" s="125">
        <v>27134.55</v>
      </c>
      <c r="J219" s="125">
        <v>23693.05</v>
      </c>
      <c r="K219" s="125">
        <v>36576.124000000003</v>
      </c>
      <c r="L219" s="125">
        <v>43036.358999999997</v>
      </c>
      <c r="M219" s="125">
        <v>15669.689</v>
      </c>
      <c r="N219" s="125">
        <v>18577.234</v>
      </c>
      <c r="O219" s="125">
        <v>26667.285</v>
      </c>
      <c r="P219" s="152"/>
      <c r="Q219" s="152"/>
    </row>
    <row r="220" spans="1:17">
      <c r="A220" s="251"/>
      <c r="B220" s="124" t="s">
        <v>80</v>
      </c>
      <c r="C220" s="125">
        <v>668.6</v>
      </c>
      <c r="D220" s="125">
        <v>993.53399999999999</v>
      </c>
      <c r="E220" s="125">
        <v>1360.5</v>
      </c>
      <c r="F220" s="125">
        <v>1568.95</v>
      </c>
      <c r="G220" s="125">
        <v>863.15</v>
      </c>
      <c r="H220" s="125">
        <v>366.5</v>
      </c>
      <c r="I220" s="125">
        <v>941.3</v>
      </c>
      <c r="J220" s="125">
        <v>409.5</v>
      </c>
      <c r="K220" s="125">
        <v>383.58300000000003</v>
      </c>
      <c r="L220" s="125">
        <v>665</v>
      </c>
      <c r="M220" s="125">
        <v>436.983</v>
      </c>
      <c r="N220" s="125">
        <v>509.983</v>
      </c>
      <c r="O220" s="125">
        <v>1312.75</v>
      </c>
      <c r="P220" s="152"/>
      <c r="Q220" s="152"/>
    </row>
    <row r="221" spans="1:17">
      <c r="A221" s="251"/>
      <c r="B221" s="124" t="s">
        <v>74</v>
      </c>
      <c r="C221" s="125">
        <v>53314.275000000001</v>
      </c>
      <c r="D221" s="125">
        <v>76705.798999999999</v>
      </c>
      <c r="E221" s="125">
        <v>53970.15</v>
      </c>
      <c r="F221" s="125">
        <v>44515.75</v>
      </c>
      <c r="G221" s="125">
        <v>21756.775000000001</v>
      </c>
      <c r="H221" s="125">
        <v>9671.85</v>
      </c>
      <c r="I221" s="125">
        <v>22367.341</v>
      </c>
      <c r="J221" s="125">
        <v>22439.35</v>
      </c>
      <c r="K221" s="125">
        <v>24097.200000000001</v>
      </c>
      <c r="L221" s="125">
        <v>24716.331999999999</v>
      </c>
      <c r="M221" s="125">
        <v>15651.814</v>
      </c>
      <c r="N221" s="125">
        <v>21209.651000000002</v>
      </c>
      <c r="O221" s="125">
        <v>65291.366000000002</v>
      </c>
      <c r="P221" s="152"/>
      <c r="Q221" s="152"/>
    </row>
    <row r="222" spans="1:17">
      <c r="A222" s="251"/>
      <c r="B222" s="124" t="s">
        <v>83</v>
      </c>
      <c r="C222" s="125">
        <v>0</v>
      </c>
      <c r="D222" s="125">
        <v>0</v>
      </c>
      <c r="E222" s="125">
        <v>0</v>
      </c>
      <c r="F222" s="125">
        <v>0</v>
      </c>
      <c r="G222" s="125">
        <v>0</v>
      </c>
      <c r="H222" s="125">
        <v>0</v>
      </c>
      <c r="I222" s="125">
        <v>0</v>
      </c>
      <c r="J222" s="125">
        <v>0</v>
      </c>
      <c r="K222" s="125">
        <v>0</v>
      </c>
      <c r="L222" s="125">
        <v>0</v>
      </c>
      <c r="M222" s="125">
        <v>0</v>
      </c>
      <c r="N222" s="125">
        <v>0</v>
      </c>
      <c r="O222" s="125">
        <v>0</v>
      </c>
      <c r="P222" s="152"/>
      <c r="Q222" s="152"/>
    </row>
    <row r="223" spans="1:17">
      <c r="A223" s="251"/>
      <c r="B223" s="124" t="s">
        <v>77</v>
      </c>
      <c r="C223" s="125">
        <v>95848.875</v>
      </c>
      <c r="D223" s="125">
        <v>82469.11</v>
      </c>
      <c r="E223" s="125">
        <v>172995.63699999999</v>
      </c>
      <c r="F223" s="125">
        <v>130290.417</v>
      </c>
      <c r="G223" s="125">
        <v>60074.966999999997</v>
      </c>
      <c r="H223" s="125">
        <v>26082.375</v>
      </c>
      <c r="I223" s="125">
        <v>69061.966</v>
      </c>
      <c r="J223" s="125">
        <v>52735.925999999999</v>
      </c>
      <c r="K223" s="125">
        <v>63325.637000000002</v>
      </c>
      <c r="L223" s="125">
        <v>56825.010999999999</v>
      </c>
      <c r="M223" s="125">
        <v>74208.519</v>
      </c>
      <c r="N223" s="125">
        <v>31529.169000000002</v>
      </c>
      <c r="O223" s="125">
        <v>172075.13800000001</v>
      </c>
      <c r="P223" s="152"/>
      <c r="Q223" s="152"/>
    </row>
    <row r="224" spans="1:17">
      <c r="A224" s="251"/>
      <c r="B224" s="124" t="s">
        <v>233</v>
      </c>
      <c r="C224" s="125">
        <v>0</v>
      </c>
      <c r="D224" s="125">
        <v>0</v>
      </c>
      <c r="E224" s="125">
        <v>0</v>
      </c>
      <c r="F224" s="125">
        <v>0</v>
      </c>
      <c r="G224" s="125">
        <v>0</v>
      </c>
      <c r="H224" s="125">
        <v>0</v>
      </c>
      <c r="I224" s="125">
        <v>0</v>
      </c>
      <c r="J224" s="125">
        <v>0</v>
      </c>
      <c r="K224" s="125">
        <v>0</v>
      </c>
      <c r="L224" s="125">
        <v>0</v>
      </c>
      <c r="M224" s="125">
        <v>0</v>
      </c>
      <c r="N224" s="125">
        <v>0</v>
      </c>
      <c r="O224" s="125">
        <v>0</v>
      </c>
      <c r="P224" s="152"/>
      <c r="Q224" s="152"/>
    </row>
    <row r="225" spans="1:28">
      <c r="A225" s="251"/>
      <c r="B225" s="124" t="s">
        <v>206</v>
      </c>
      <c r="C225" s="125">
        <v>0</v>
      </c>
      <c r="D225" s="125">
        <v>0</v>
      </c>
      <c r="E225" s="125">
        <v>0</v>
      </c>
      <c r="F225" s="125">
        <v>22.75</v>
      </c>
      <c r="G225" s="125">
        <v>22</v>
      </c>
      <c r="H225" s="125">
        <v>0</v>
      </c>
      <c r="I225" s="125">
        <v>0</v>
      </c>
      <c r="J225" s="125">
        <v>0</v>
      </c>
      <c r="K225" s="125">
        <v>211.4</v>
      </c>
      <c r="L225" s="125">
        <v>15.25</v>
      </c>
      <c r="M225" s="125">
        <v>0</v>
      </c>
      <c r="N225" s="125">
        <v>0.5</v>
      </c>
      <c r="O225" s="125">
        <v>25.3</v>
      </c>
      <c r="P225" s="152"/>
      <c r="Q225" s="152"/>
    </row>
    <row r="226" spans="1:28">
      <c r="A226" s="251"/>
      <c r="B226" s="124" t="s">
        <v>19</v>
      </c>
      <c r="C226" s="125">
        <v>50536.925000000003</v>
      </c>
      <c r="D226" s="125">
        <v>84995.438999999998</v>
      </c>
      <c r="E226" s="125">
        <v>62327.576000000001</v>
      </c>
      <c r="F226" s="125">
        <v>66805.399999999994</v>
      </c>
      <c r="G226" s="125">
        <v>38696.474999999999</v>
      </c>
      <c r="H226" s="125">
        <v>56107.25</v>
      </c>
      <c r="I226" s="125">
        <v>28608.517</v>
      </c>
      <c r="J226" s="125">
        <v>11833.25</v>
      </c>
      <c r="K226" s="125">
        <v>35547.775999999998</v>
      </c>
      <c r="L226" s="125">
        <v>20297.741000000002</v>
      </c>
      <c r="M226" s="125">
        <v>14523.97</v>
      </c>
      <c r="N226" s="125">
        <v>20973.499</v>
      </c>
      <c r="O226" s="125">
        <v>50957.332999999999</v>
      </c>
      <c r="P226" s="152"/>
      <c r="Q226" s="152"/>
    </row>
    <row r="227" spans="1:28">
      <c r="A227" s="251"/>
      <c r="B227" s="124" t="s">
        <v>169</v>
      </c>
      <c r="C227" s="125">
        <v>0</v>
      </c>
      <c r="D227" s="125">
        <v>0</v>
      </c>
      <c r="E227" s="125">
        <v>0</v>
      </c>
      <c r="F227" s="125">
        <v>0</v>
      </c>
      <c r="G227" s="125">
        <v>0</v>
      </c>
      <c r="H227" s="125">
        <v>0</v>
      </c>
      <c r="I227" s="125">
        <v>0</v>
      </c>
      <c r="J227" s="125">
        <v>0</v>
      </c>
      <c r="K227" s="125">
        <v>0</v>
      </c>
      <c r="L227" s="125">
        <v>0</v>
      </c>
      <c r="M227" s="125">
        <v>0</v>
      </c>
      <c r="N227" s="125">
        <v>0</v>
      </c>
      <c r="O227" s="125">
        <v>0</v>
      </c>
      <c r="P227" s="152"/>
      <c r="Q227" s="152"/>
    </row>
    <row r="228" spans="1:28">
      <c r="A228" s="251"/>
      <c r="B228" s="124" t="s">
        <v>84</v>
      </c>
      <c r="C228" s="125">
        <v>26087.775000000001</v>
      </c>
      <c r="D228" s="125">
        <v>33505.375</v>
      </c>
      <c r="E228" s="125">
        <v>36555.050000000003</v>
      </c>
      <c r="F228" s="125">
        <v>42367.775000000001</v>
      </c>
      <c r="G228" s="125">
        <v>23024.25</v>
      </c>
      <c r="H228" s="125">
        <v>44160.5</v>
      </c>
      <c r="I228" s="125">
        <v>32261.5</v>
      </c>
      <c r="J228" s="125">
        <v>35004.25</v>
      </c>
      <c r="K228" s="125">
        <v>45108.25</v>
      </c>
      <c r="L228" s="125">
        <v>21705.724999999999</v>
      </c>
      <c r="M228" s="125">
        <v>6274.25</v>
      </c>
      <c r="N228" s="125">
        <v>33295.5</v>
      </c>
      <c r="O228" s="125">
        <v>33967.75</v>
      </c>
      <c r="P228" s="152"/>
      <c r="Q228" s="152"/>
    </row>
    <row r="229" spans="1:28">
      <c r="A229" s="251"/>
      <c r="B229" s="124" t="s">
        <v>72</v>
      </c>
      <c r="C229" s="125">
        <v>798.25</v>
      </c>
      <c r="D229" s="125">
        <v>703.5</v>
      </c>
      <c r="E229" s="125">
        <v>479.5</v>
      </c>
      <c r="F229" s="125">
        <v>203.75</v>
      </c>
      <c r="G229" s="125">
        <v>2702</v>
      </c>
      <c r="H229" s="125">
        <v>200.75</v>
      </c>
      <c r="I229" s="125">
        <v>0.5</v>
      </c>
      <c r="J229" s="125">
        <v>8</v>
      </c>
      <c r="K229" s="125">
        <v>350.21699999999998</v>
      </c>
      <c r="L229" s="125">
        <v>1195</v>
      </c>
      <c r="M229" s="125">
        <v>416.85</v>
      </c>
      <c r="N229" s="125">
        <v>643.25</v>
      </c>
      <c r="O229" s="125">
        <v>60.75</v>
      </c>
      <c r="P229" s="152"/>
      <c r="Q229" s="152"/>
    </row>
    <row r="230" spans="1:28">
      <c r="A230" s="251"/>
      <c r="B230" s="124" t="s">
        <v>81</v>
      </c>
      <c r="C230" s="125">
        <v>234</v>
      </c>
      <c r="D230" s="125">
        <v>980.66600000000005</v>
      </c>
      <c r="E230" s="125">
        <v>1739.683</v>
      </c>
      <c r="F230" s="125">
        <v>3896.5160000000001</v>
      </c>
      <c r="G230" s="125">
        <v>4437.6490000000003</v>
      </c>
      <c r="H230" s="125">
        <v>3327.3</v>
      </c>
      <c r="I230" s="125">
        <v>2881.4830000000002</v>
      </c>
      <c r="J230" s="125">
        <v>2162.366</v>
      </c>
      <c r="K230" s="125">
        <v>1952.1</v>
      </c>
      <c r="L230" s="125">
        <v>2226.7640000000001</v>
      </c>
      <c r="M230" s="125">
        <v>1742.778</v>
      </c>
      <c r="N230" s="125">
        <v>2462.2339999999999</v>
      </c>
      <c r="O230" s="125">
        <v>4065.0329999999999</v>
      </c>
      <c r="P230" s="152"/>
      <c r="Q230" s="152"/>
    </row>
    <row r="231" spans="1:28">
      <c r="A231" s="251"/>
      <c r="B231" s="124" t="s">
        <v>85</v>
      </c>
      <c r="C231" s="125">
        <v>0</v>
      </c>
      <c r="D231" s="125">
        <v>0</v>
      </c>
      <c r="E231" s="125">
        <v>0</v>
      </c>
      <c r="F231" s="125">
        <v>0</v>
      </c>
      <c r="G231" s="125">
        <v>0</v>
      </c>
      <c r="H231" s="125">
        <v>0</v>
      </c>
      <c r="I231" s="125">
        <v>0</v>
      </c>
      <c r="J231" s="125">
        <v>0</v>
      </c>
      <c r="K231" s="125">
        <v>0</v>
      </c>
      <c r="L231" s="125">
        <v>24</v>
      </c>
      <c r="M231" s="125">
        <v>11.75</v>
      </c>
      <c r="N231" s="125">
        <v>5</v>
      </c>
      <c r="O231" s="125">
        <v>0</v>
      </c>
      <c r="P231" s="152"/>
      <c r="Q231" s="152"/>
    </row>
    <row r="232" spans="1:28">
      <c r="A232" s="251"/>
      <c r="B232" s="124" t="s">
        <v>78</v>
      </c>
      <c r="C232" s="125">
        <v>23892.075000000001</v>
      </c>
      <c r="D232" s="125">
        <v>63591.995999999999</v>
      </c>
      <c r="E232" s="125">
        <v>87722.982999999993</v>
      </c>
      <c r="F232" s="125">
        <v>104779.283</v>
      </c>
      <c r="G232" s="125">
        <v>99194.45</v>
      </c>
      <c r="H232" s="125">
        <v>21212.375</v>
      </c>
      <c r="I232" s="125">
        <v>83232.362999999998</v>
      </c>
      <c r="J232" s="125">
        <v>66270.042000000001</v>
      </c>
      <c r="K232" s="125">
        <v>79062.11</v>
      </c>
      <c r="L232" s="125">
        <v>48759.669000000002</v>
      </c>
      <c r="M232" s="125">
        <v>25768.780999999999</v>
      </c>
      <c r="N232" s="125">
        <v>6381.4690000000001</v>
      </c>
      <c r="O232" s="125">
        <v>37857.144999999997</v>
      </c>
      <c r="P232" s="152"/>
      <c r="Q232" s="152"/>
    </row>
    <row r="233" spans="1:28">
      <c r="A233" s="251"/>
      <c r="B233" s="124" t="s">
        <v>79</v>
      </c>
      <c r="C233" s="125">
        <v>2461.75</v>
      </c>
      <c r="D233" s="125">
        <v>2296.4499999999998</v>
      </c>
      <c r="E233" s="125">
        <v>2136.5</v>
      </c>
      <c r="F233" s="125">
        <v>679</v>
      </c>
      <c r="G233" s="125">
        <v>1243.3</v>
      </c>
      <c r="H233" s="125">
        <v>979.75</v>
      </c>
      <c r="I233" s="125">
        <v>771.75</v>
      </c>
      <c r="J233" s="125">
        <v>1365</v>
      </c>
      <c r="K233" s="125">
        <v>807.75</v>
      </c>
      <c r="L233" s="125">
        <v>907.75</v>
      </c>
      <c r="M233" s="125">
        <v>86.75</v>
      </c>
      <c r="N233" s="125">
        <v>606.25</v>
      </c>
      <c r="O233" s="125">
        <v>1893.25</v>
      </c>
      <c r="P233" s="153"/>
      <c r="Q233" s="153"/>
    </row>
    <row r="234" spans="1:28">
      <c r="A234" s="251"/>
      <c r="B234" s="124" t="s">
        <v>76</v>
      </c>
      <c r="C234" s="125">
        <v>28796.799999999999</v>
      </c>
      <c r="D234" s="125">
        <v>30971.184000000001</v>
      </c>
      <c r="E234" s="125">
        <v>23083.05</v>
      </c>
      <c r="F234" s="125">
        <v>24323</v>
      </c>
      <c r="G234" s="125">
        <v>15956.517</v>
      </c>
      <c r="H234" s="125">
        <v>10532.25</v>
      </c>
      <c r="I234" s="125">
        <v>10383.450000000001</v>
      </c>
      <c r="J234" s="125">
        <v>10664.65</v>
      </c>
      <c r="K234" s="125">
        <v>13546.782999999999</v>
      </c>
      <c r="L234" s="125">
        <v>17059.75</v>
      </c>
      <c r="M234" s="125">
        <v>8942.5499999999993</v>
      </c>
      <c r="N234" s="125">
        <v>10255.6</v>
      </c>
      <c r="O234" s="125">
        <v>30050.967000000001</v>
      </c>
      <c r="P234" s="119"/>
      <c r="Q234" s="119"/>
    </row>
    <row r="235" spans="1:28">
      <c r="A235" s="250"/>
      <c r="B235" s="183" t="s">
        <v>0</v>
      </c>
      <c r="C235" s="195">
        <v>361999.97499999998</v>
      </c>
      <c r="D235" s="195">
        <v>465357.5</v>
      </c>
      <c r="E235" s="195">
        <v>473304.163</v>
      </c>
      <c r="F235" s="195">
        <v>436169.891</v>
      </c>
      <c r="G235" s="195">
        <v>277421.08299999998</v>
      </c>
      <c r="H235" s="195">
        <v>207100.79999999999</v>
      </c>
      <c r="I235" s="195">
        <v>277654.71999999997</v>
      </c>
      <c r="J235" s="195">
        <v>226585.38399999999</v>
      </c>
      <c r="K235" s="195">
        <v>300968.93</v>
      </c>
      <c r="L235" s="195">
        <v>237434.351</v>
      </c>
      <c r="M235" s="195">
        <v>163734.68400000001</v>
      </c>
      <c r="N235" s="195">
        <v>146451.83900000001</v>
      </c>
      <c r="O235" s="195">
        <v>424224.06699999998</v>
      </c>
      <c r="P235" s="153">
        <f>O235/C235-1</f>
        <v>0.17188976877691786</v>
      </c>
      <c r="Q235" s="153">
        <f>(O216+O235)/(C235+C216)-1</f>
        <v>0.62824406072978012</v>
      </c>
    </row>
    <row r="236" spans="1:28">
      <c r="C236" s="168"/>
      <c r="O236" s="168"/>
      <c r="P236" s="161"/>
      <c r="Q236" s="161"/>
      <c r="R236" s="161"/>
      <c r="S236" s="161"/>
      <c r="T236" s="161"/>
      <c r="U236" s="161"/>
      <c r="V236" s="161"/>
      <c r="W236" s="161"/>
      <c r="X236" s="161"/>
      <c r="Y236" s="161"/>
      <c r="Z236" s="161"/>
      <c r="AA236" s="161"/>
      <c r="AB236" s="161"/>
    </row>
    <row r="237" spans="1:28">
      <c r="O237" s="168"/>
      <c r="P237" s="161"/>
      <c r="Q237" s="161"/>
      <c r="R237" s="161"/>
      <c r="S237" s="161"/>
      <c r="T237" s="161"/>
      <c r="U237" s="161"/>
      <c r="V237" s="161"/>
      <c r="W237" s="161"/>
      <c r="X237" s="161"/>
      <c r="Y237" s="161"/>
      <c r="Z237" s="161"/>
      <c r="AA237" s="161"/>
      <c r="AB237" s="161"/>
    </row>
    <row r="238" spans="1:28">
      <c r="P238" s="161"/>
      <c r="Q238" s="161"/>
      <c r="R238" s="161"/>
      <c r="S238" s="161"/>
      <c r="T238" s="161"/>
      <c r="U238" s="161"/>
      <c r="V238" s="161"/>
      <c r="W238" s="161"/>
      <c r="X238" s="161"/>
      <c r="Y238" s="161"/>
      <c r="Z238" s="161"/>
      <c r="AA238" s="161"/>
      <c r="AB238" s="161"/>
    </row>
    <row r="239" spans="1:28">
      <c r="P239" s="161"/>
      <c r="Q239" s="161"/>
      <c r="R239" s="161"/>
      <c r="S239" s="161"/>
      <c r="T239" s="161"/>
      <c r="U239" s="161"/>
      <c r="V239" s="161"/>
      <c r="W239" s="161"/>
      <c r="X239" s="161"/>
      <c r="Y239" s="161"/>
      <c r="Z239" s="161"/>
      <c r="AA239" s="161"/>
      <c r="AB239" s="161"/>
    </row>
    <row r="240" spans="1:28">
      <c r="P240" s="161"/>
      <c r="Q240" s="161"/>
      <c r="R240" s="161"/>
      <c r="S240" s="161"/>
      <c r="T240" s="161"/>
      <c r="U240" s="161"/>
      <c r="V240" s="161"/>
      <c r="W240" s="161"/>
      <c r="X240" s="161"/>
      <c r="Y240" s="161"/>
      <c r="Z240" s="161"/>
      <c r="AA240" s="161"/>
      <c r="AB240" s="161"/>
    </row>
    <row r="241" spans="1:28">
      <c r="P241" s="161"/>
      <c r="Q241" s="161"/>
      <c r="R241" s="161"/>
      <c r="S241" s="161"/>
      <c r="T241" s="161"/>
      <c r="U241" s="161"/>
      <c r="V241" s="161"/>
      <c r="W241" s="161"/>
      <c r="X241" s="161"/>
      <c r="Y241" s="161"/>
      <c r="Z241" s="161"/>
      <c r="AA241" s="161"/>
      <c r="AB241" s="161"/>
    </row>
    <row r="242" spans="1:28">
      <c r="O242" s="168"/>
      <c r="P242" s="161"/>
      <c r="Q242" s="161"/>
      <c r="R242" s="161"/>
      <c r="S242" s="161"/>
      <c r="T242" s="161"/>
      <c r="U242" s="161"/>
      <c r="V242" s="161"/>
      <c r="W242" s="161"/>
      <c r="X242" s="161"/>
      <c r="Y242" s="161"/>
      <c r="Z242" s="161"/>
      <c r="AA242" s="161"/>
      <c r="AB242" s="161"/>
    </row>
    <row r="243" spans="1:28">
      <c r="O243" s="168"/>
      <c r="P243" s="161"/>
      <c r="Q243" s="161"/>
      <c r="R243" s="161"/>
      <c r="S243" s="161"/>
      <c r="T243" s="161"/>
      <c r="U243" s="161"/>
      <c r="V243" s="161"/>
      <c r="W243" s="161"/>
      <c r="X243" s="161"/>
      <c r="Y243" s="161"/>
      <c r="Z243" s="161"/>
      <c r="AA243" s="161"/>
      <c r="AB243" s="161"/>
    </row>
    <row r="244" spans="1:28">
      <c r="O244" s="168"/>
      <c r="P244" s="161"/>
      <c r="Q244" s="161"/>
      <c r="R244" s="161"/>
      <c r="S244" s="161"/>
      <c r="T244" s="161"/>
      <c r="U244" s="161"/>
      <c r="V244" s="161"/>
      <c r="W244" s="161"/>
      <c r="X244" s="161"/>
      <c r="Y244" s="161"/>
      <c r="Z244" s="161"/>
      <c r="AA244" s="161"/>
      <c r="AB244" s="161"/>
    </row>
    <row r="245" spans="1:28">
      <c r="P245" s="161"/>
      <c r="Q245" s="161"/>
      <c r="R245" s="161"/>
      <c r="S245" s="161"/>
      <c r="T245" s="161"/>
      <c r="U245" s="161"/>
      <c r="V245" s="161"/>
      <c r="W245" s="161"/>
      <c r="X245" s="161"/>
      <c r="Y245" s="161"/>
      <c r="Z245" s="161"/>
      <c r="AA245" s="161"/>
      <c r="AB245" s="161"/>
    </row>
    <row r="246" spans="1:28">
      <c r="P246" s="161"/>
      <c r="Q246" s="161"/>
      <c r="R246" s="161"/>
      <c r="S246" s="161"/>
      <c r="T246" s="161"/>
      <c r="U246" s="161"/>
      <c r="V246" s="161"/>
      <c r="W246" s="161"/>
      <c r="X246" s="161"/>
      <c r="Y246" s="161"/>
      <c r="Z246" s="161"/>
      <c r="AA246" s="161"/>
      <c r="AB246" s="161"/>
    </row>
    <row r="247" spans="1:28">
      <c r="O247" s="161"/>
      <c r="P247" s="161"/>
      <c r="Q247" s="161"/>
      <c r="R247" s="161"/>
      <c r="S247" s="161"/>
      <c r="T247" s="161"/>
      <c r="U247" s="161"/>
      <c r="V247" s="161"/>
      <c r="W247" s="161"/>
      <c r="X247" s="161"/>
      <c r="Y247" s="161"/>
      <c r="Z247" s="161"/>
      <c r="AA247" s="161"/>
      <c r="AB247" s="161"/>
    </row>
    <row r="248" spans="1:28">
      <c r="O248" s="161"/>
      <c r="P248" s="161"/>
      <c r="Q248" s="161"/>
      <c r="R248" s="161"/>
      <c r="S248" s="161"/>
      <c r="T248" s="161"/>
      <c r="U248" s="161"/>
      <c r="V248" s="161"/>
      <c r="W248" s="161"/>
      <c r="X248" s="161"/>
      <c r="Y248" s="161"/>
      <c r="Z248" s="161"/>
      <c r="AA248" s="161"/>
      <c r="AB248" s="161"/>
    </row>
    <row r="249" spans="1:28">
      <c r="A249" s="162"/>
      <c r="B249" s="161"/>
      <c r="C249" s="161"/>
      <c r="D249" s="161"/>
      <c r="E249" s="161"/>
      <c r="F249" s="161"/>
      <c r="G249" s="161"/>
      <c r="H249" s="161"/>
      <c r="I249" s="161"/>
      <c r="J249" s="161"/>
      <c r="K249" s="161"/>
      <c r="L249" s="161"/>
      <c r="M249" s="161"/>
      <c r="N249" s="161"/>
      <c r="O249" s="161"/>
      <c r="P249" s="161"/>
      <c r="Q249" s="161"/>
      <c r="R249" s="161"/>
      <c r="S249" s="161"/>
      <c r="T249" s="161"/>
      <c r="U249" s="161"/>
      <c r="V249" s="161"/>
      <c r="W249" s="161"/>
      <c r="X249" s="161"/>
      <c r="Y249" s="161"/>
      <c r="Z249" s="161"/>
      <c r="AA249" s="161"/>
      <c r="AB249" s="161"/>
    </row>
    <row r="250" spans="1:28">
      <c r="P250" s="161"/>
      <c r="Q250" s="161"/>
      <c r="R250" s="161"/>
      <c r="S250" s="161"/>
      <c r="T250" s="161"/>
      <c r="U250" s="161"/>
      <c r="V250" s="161"/>
      <c r="W250" s="161"/>
      <c r="X250" s="161"/>
      <c r="Y250" s="161"/>
      <c r="Z250" s="161"/>
      <c r="AA250" s="161"/>
      <c r="AB250" s="161"/>
    </row>
    <row r="251" spans="1:28">
      <c r="P251" s="161"/>
      <c r="Q251" s="161"/>
      <c r="R251" s="161"/>
      <c r="S251" s="161"/>
      <c r="T251" s="161"/>
      <c r="U251" s="161"/>
      <c r="V251" s="161"/>
      <c r="W251" s="161"/>
      <c r="X251" s="161"/>
      <c r="Y251" s="161"/>
      <c r="Z251" s="161"/>
      <c r="AA251" s="161"/>
      <c r="AB251" s="161"/>
    </row>
    <row r="252" spans="1:28">
      <c r="Q252" s="161"/>
      <c r="R252" s="161"/>
      <c r="S252" s="161"/>
      <c r="T252" s="161"/>
      <c r="U252" s="161"/>
      <c r="V252" s="161"/>
      <c r="W252" s="161"/>
      <c r="X252" s="161"/>
      <c r="Y252" s="161"/>
      <c r="Z252" s="161"/>
      <c r="AA252" s="161"/>
      <c r="AB252" s="161"/>
    </row>
    <row r="253" spans="1:28">
      <c r="Q253" s="152"/>
    </row>
    <row r="254" spans="1:28">
      <c r="Q254" s="152"/>
    </row>
    <row r="255" spans="1:28">
      <c r="Q255" s="152"/>
    </row>
    <row r="256" spans="1:28">
      <c r="A256" s="84" t="s">
        <v>173</v>
      </c>
      <c r="C256" s="164" t="str">
        <f>MID(C258,6,1)</f>
        <v>E</v>
      </c>
      <c r="D256" s="164" t="str">
        <f t="shared" ref="D256:O256" si="10">MID(D258,6,1)</f>
        <v>F</v>
      </c>
      <c r="E256" s="164" t="str">
        <f t="shared" si="10"/>
        <v>M</v>
      </c>
      <c r="F256" s="164" t="str">
        <f t="shared" si="10"/>
        <v>A</v>
      </c>
      <c r="G256" s="164" t="str">
        <f t="shared" si="10"/>
        <v>M</v>
      </c>
      <c r="H256" s="164" t="str">
        <f t="shared" si="10"/>
        <v>J</v>
      </c>
      <c r="I256" s="164" t="str">
        <f t="shared" si="10"/>
        <v>J</v>
      </c>
      <c r="J256" s="164" t="str">
        <f t="shared" si="10"/>
        <v>A</v>
      </c>
      <c r="K256" s="164" t="str">
        <f t="shared" si="10"/>
        <v>S</v>
      </c>
      <c r="L256" s="164" t="str">
        <f t="shared" si="10"/>
        <v>O</v>
      </c>
      <c r="M256" s="164" t="str">
        <f t="shared" si="10"/>
        <v>N</v>
      </c>
      <c r="N256" s="164" t="str">
        <f t="shared" si="10"/>
        <v>D</v>
      </c>
      <c r="O256" s="164" t="str">
        <f t="shared" si="10"/>
        <v>E</v>
      </c>
      <c r="Q256" s="152"/>
    </row>
    <row r="257" spans="1:17">
      <c r="A257" s="122"/>
      <c r="B257" s="122" t="s">
        <v>27</v>
      </c>
      <c r="C257" s="247" t="s">
        <v>170</v>
      </c>
      <c r="D257" s="248"/>
      <c r="E257" s="248"/>
      <c r="F257" s="248"/>
      <c r="G257" s="248"/>
      <c r="H257" s="248"/>
      <c r="I257" s="248"/>
      <c r="J257" s="248"/>
      <c r="K257" s="248"/>
      <c r="L257" s="248"/>
      <c r="M257" s="248"/>
      <c r="N257" s="248"/>
      <c r="O257" s="248"/>
      <c r="Q257" s="152"/>
    </row>
    <row r="258" spans="1:17">
      <c r="A258" s="122"/>
      <c r="B258" s="122" t="s">
        <v>86</v>
      </c>
      <c r="C258" s="145" t="s">
        <v>209</v>
      </c>
      <c r="D258" s="145" t="s">
        <v>211</v>
      </c>
      <c r="E258" s="145" t="s">
        <v>214</v>
      </c>
      <c r="F258" s="145" t="s">
        <v>224</v>
      </c>
      <c r="G258" s="145" t="s">
        <v>227</v>
      </c>
      <c r="H258" s="145" t="s">
        <v>229</v>
      </c>
      <c r="I258" s="145" t="s">
        <v>231</v>
      </c>
      <c r="J258" s="145" t="s">
        <v>234</v>
      </c>
      <c r="K258" s="145" t="s">
        <v>237</v>
      </c>
      <c r="L258" s="145" t="s">
        <v>241</v>
      </c>
      <c r="M258" s="145" t="s">
        <v>246</v>
      </c>
      <c r="N258" s="145" t="s">
        <v>249</v>
      </c>
      <c r="O258" s="145" t="s">
        <v>282</v>
      </c>
      <c r="Q258" s="152"/>
    </row>
    <row r="259" spans="1:17">
      <c r="A259" s="122" t="s">
        <v>119</v>
      </c>
      <c r="B259" s="122" t="s">
        <v>120</v>
      </c>
      <c r="C259" s="143"/>
      <c r="D259" s="143"/>
      <c r="E259" s="143"/>
      <c r="F259" s="143"/>
      <c r="G259" s="143"/>
      <c r="H259" s="143"/>
      <c r="I259" s="143"/>
      <c r="J259" s="143"/>
      <c r="K259" s="143"/>
      <c r="L259" s="143"/>
      <c r="M259" s="143"/>
      <c r="N259" s="143"/>
      <c r="O259" s="143"/>
      <c r="Q259" s="152"/>
    </row>
    <row r="260" spans="1:17">
      <c r="A260" s="252" t="s">
        <v>71</v>
      </c>
      <c r="B260" s="124" t="s">
        <v>82</v>
      </c>
      <c r="C260" s="125">
        <v>0</v>
      </c>
      <c r="D260" s="125">
        <v>0</v>
      </c>
      <c r="E260" s="125">
        <v>0</v>
      </c>
      <c r="F260" s="125">
        <v>0</v>
      </c>
      <c r="G260" s="125">
        <v>0</v>
      </c>
      <c r="H260" s="125">
        <v>0</v>
      </c>
      <c r="I260" s="125">
        <v>0</v>
      </c>
      <c r="J260" s="125">
        <v>0</v>
      </c>
      <c r="K260" s="125">
        <v>0</v>
      </c>
      <c r="L260" s="125">
        <v>0</v>
      </c>
      <c r="M260" s="125">
        <v>0</v>
      </c>
      <c r="N260" s="125">
        <v>0</v>
      </c>
      <c r="O260" s="125"/>
      <c r="Q260" s="152"/>
    </row>
    <row r="261" spans="1:17">
      <c r="A261" s="253"/>
      <c r="B261" s="124" t="s">
        <v>73</v>
      </c>
      <c r="C261" s="125">
        <v>693</v>
      </c>
      <c r="D261" s="125">
        <v>260</v>
      </c>
      <c r="E261" s="125">
        <v>897.77499999999998</v>
      </c>
      <c r="F261" s="125">
        <v>298.75</v>
      </c>
      <c r="G261" s="125">
        <v>0</v>
      </c>
      <c r="H261" s="125">
        <v>45</v>
      </c>
      <c r="I261" s="125">
        <v>75.974999999999994</v>
      </c>
      <c r="J261" s="125">
        <v>0</v>
      </c>
      <c r="K261" s="125">
        <v>140</v>
      </c>
      <c r="L261" s="125">
        <v>133</v>
      </c>
      <c r="M261" s="125">
        <v>0</v>
      </c>
      <c r="N261" s="125">
        <v>0</v>
      </c>
      <c r="O261" s="125"/>
      <c r="Q261" s="152"/>
    </row>
    <row r="262" spans="1:17">
      <c r="A262" s="253"/>
      <c r="B262" s="124" t="s">
        <v>23</v>
      </c>
      <c r="C262" s="125">
        <v>129121.52499999999</v>
      </c>
      <c r="D262" s="125">
        <v>119835.95</v>
      </c>
      <c r="E262" s="125">
        <v>65766.524999999994</v>
      </c>
      <c r="F262" s="125">
        <v>18888.825000000001</v>
      </c>
      <c r="G262" s="125">
        <v>20152.424999999999</v>
      </c>
      <c r="H262" s="125">
        <v>150562.97500000001</v>
      </c>
      <c r="I262" s="125">
        <v>111394.65</v>
      </c>
      <c r="J262" s="125">
        <v>161963.32500000001</v>
      </c>
      <c r="K262" s="125">
        <v>74319.425000000003</v>
      </c>
      <c r="L262" s="125">
        <v>99176.3</v>
      </c>
      <c r="M262" s="125">
        <v>179691.27499999999</v>
      </c>
      <c r="N262" s="125">
        <v>264347.05</v>
      </c>
      <c r="O262" s="125"/>
      <c r="P262" s="152"/>
      <c r="Q262" s="152"/>
    </row>
    <row r="263" spans="1:17">
      <c r="A263" s="253"/>
      <c r="B263" s="124" t="s">
        <v>80</v>
      </c>
      <c r="C263" s="125">
        <v>0</v>
      </c>
      <c r="D263" s="125">
        <v>0</v>
      </c>
      <c r="E263" s="125">
        <v>99.275000000000006</v>
      </c>
      <c r="F263" s="125">
        <v>7.25</v>
      </c>
      <c r="G263" s="125">
        <v>35.174999999999997</v>
      </c>
      <c r="H263" s="125">
        <v>74.724999999999994</v>
      </c>
      <c r="I263" s="125">
        <v>111</v>
      </c>
      <c r="J263" s="125">
        <v>60.625</v>
      </c>
      <c r="K263" s="125">
        <v>75.25</v>
      </c>
      <c r="L263" s="125">
        <v>415.25</v>
      </c>
      <c r="M263" s="125">
        <v>69</v>
      </c>
      <c r="N263" s="125">
        <v>129</v>
      </c>
      <c r="O263" s="125"/>
      <c r="P263" s="152"/>
      <c r="Q263" s="152"/>
    </row>
    <row r="264" spans="1:17">
      <c r="A264" s="253"/>
      <c r="B264" s="124" t="s">
        <v>74</v>
      </c>
      <c r="C264" s="125">
        <v>12204.95</v>
      </c>
      <c r="D264" s="125">
        <v>6649.75</v>
      </c>
      <c r="E264" s="125">
        <v>13922</v>
      </c>
      <c r="F264" s="125">
        <v>7157.5749999999998</v>
      </c>
      <c r="G264" s="125">
        <v>13771.375</v>
      </c>
      <c r="H264" s="125">
        <v>10233.450000000001</v>
      </c>
      <c r="I264" s="125">
        <v>3364.5</v>
      </c>
      <c r="J264" s="125">
        <v>4842.1000000000004</v>
      </c>
      <c r="K264" s="125">
        <v>4681.25</v>
      </c>
      <c r="L264" s="125">
        <v>6193.5</v>
      </c>
      <c r="M264" s="125">
        <v>15193.5</v>
      </c>
      <c r="N264" s="125">
        <v>10242.799999999999</v>
      </c>
      <c r="O264" s="125"/>
      <c r="P264" s="152"/>
      <c r="Q264" s="152"/>
    </row>
    <row r="265" spans="1:17">
      <c r="A265" s="253"/>
      <c r="B265" s="124" t="s">
        <v>83</v>
      </c>
      <c r="C265" s="125">
        <v>0</v>
      </c>
      <c r="D265" s="125">
        <v>0</v>
      </c>
      <c r="E265" s="125">
        <v>0</v>
      </c>
      <c r="F265" s="125">
        <v>0</v>
      </c>
      <c r="G265" s="125">
        <v>0</v>
      </c>
      <c r="H265" s="125">
        <v>0</v>
      </c>
      <c r="I265" s="125">
        <v>0</v>
      </c>
      <c r="J265" s="125">
        <v>0</v>
      </c>
      <c r="K265" s="125">
        <v>0</v>
      </c>
      <c r="L265" s="125">
        <v>0</v>
      </c>
      <c r="M265" s="125">
        <v>0</v>
      </c>
      <c r="N265" s="125">
        <v>0</v>
      </c>
      <c r="O265" s="125"/>
      <c r="P265" s="153"/>
      <c r="Q265" s="152"/>
    </row>
    <row r="266" spans="1:17">
      <c r="A266" s="253"/>
      <c r="B266" s="124" t="s">
        <v>77</v>
      </c>
      <c r="C266" s="125">
        <v>19423.2</v>
      </c>
      <c r="D266" s="125">
        <v>12835.85</v>
      </c>
      <c r="E266" s="125">
        <v>17127.724999999999</v>
      </c>
      <c r="F266" s="125">
        <v>14921.8</v>
      </c>
      <c r="G266" s="125">
        <v>16516.95</v>
      </c>
      <c r="H266" s="125">
        <v>18618.8</v>
      </c>
      <c r="I266" s="125">
        <v>14987.65</v>
      </c>
      <c r="J266" s="125">
        <v>13106.95</v>
      </c>
      <c r="K266" s="125">
        <v>8238.0249999999996</v>
      </c>
      <c r="L266" s="125">
        <v>13448.6</v>
      </c>
      <c r="M266" s="125">
        <v>27925.05</v>
      </c>
      <c r="N266" s="125">
        <v>15554.725</v>
      </c>
      <c r="O266" s="125"/>
      <c r="P266" s="152"/>
      <c r="Q266" s="152"/>
    </row>
    <row r="267" spans="1:17">
      <c r="A267" s="253"/>
      <c r="B267" s="124" t="s">
        <v>233</v>
      </c>
      <c r="C267" s="125">
        <v>0</v>
      </c>
      <c r="D267" s="125">
        <v>0</v>
      </c>
      <c r="E267" s="125">
        <v>0</v>
      </c>
      <c r="F267" s="125">
        <v>0</v>
      </c>
      <c r="G267" s="125">
        <v>0</v>
      </c>
      <c r="H267" s="125">
        <v>0</v>
      </c>
      <c r="I267" s="125">
        <v>0</v>
      </c>
      <c r="J267" s="125">
        <v>0</v>
      </c>
      <c r="K267" s="125">
        <v>0</v>
      </c>
      <c r="L267" s="125">
        <v>0</v>
      </c>
      <c r="M267" s="125">
        <v>0</v>
      </c>
      <c r="N267" s="125">
        <v>0</v>
      </c>
      <c r="O267" s="125"/>
      <c r="P267" s="152"/>
      <c r="Q267" s="152"/>
    </row>
    <row r="268" spans="1:17">
      <c r="A268" s="253"/>
      <c r="B268" s="124" t="s">
        <v>206</v>
      </c>
      <c r="C268" s="125">
        <v>0</v>
      </c>
      <c r="D268" s="125">
        <v>0</v>
      </c>
      <c r="E268" s="125">
        <v>0</v>
      </c>
      <c r="F268" s="125">
        <v>0</v>
      </c>
      <c r="G268" s="125">
        <v>0</v>
      </c>
      <c r="H268" s="125">
        <v>0</v>
      </c>
      <c r="I268" s="125">
        <v>0</v>
      </c>
      <c r="J268" s="125">
        <v>0</v>
      </c>
      <c r="K268" s="125">
        <v>0.57499999999999996</v>
      </c>
      <c r="L268" s="125">
        <v>0</v>
      </c>
      <c r="M268" s="125">
        <v>0</v>
      </c>
      <c r="N268" s="125">
        <v>0</v>
      </c>
      <c r="O268" s="125"/>
      <c r="P268" s="152"/>
      <c r="Q268" s="152"/>
    </row>
    <row r="269" spans="1:17">
      <c r="A269" s="253"/>
      <c r="B269" s="124" t="s">
        <v>19</v>
      </c>
      <c r="C269" s="125">
        <v>30557.85</v>
      </c>
      <c r="D269" s="125">
        <v>23615.575000000001</v>
      </c>
      <c r="E269" s="125">
        <v>26903.4</v>
      </c>
      <c r="F269" s="125">
        <v>24686.325000000001</v>
      </c>
      <c r="G269" s="125">
        <v>20361.7</v>
      </c>
      <c r="H269" s="125">
        <v>15819.9</v>
      </c>
      <c r="I269" s="125">
        <v>27721.9</v>
      </c>
      <c r="J269" s="125">
        <v>27274.55</v>
      </c>
      <c r="K269" s="125">
        <v>9782.4750000000004</v>
      </c>
      <c r="L269" s="125">
        <v>15907.825000000001</v>
      </c>
      <c r="M269" s="125">
        <v>30043.625</v>
      </c>
      <c r="N269" s="125">
        <v>50532.5</v>
      </c>
      <c r="O269" s="125"/>
      <c r="P269" s="152"/>
      <c r="Q269" s="152"/>
    </row>
    <row r="270" spans="1:17">
      <c r="A270" s="253"/>
      <c r="B270" s="124" t="s">
        <v>169</v>
      </c>
      <c r="C270" s="125">
        <v>0</v>
      </c>
      <c r="D270" s="125">
        <v>0</v>
      </c>
      <c r="E270" s="125">
        <v>0</v>
      </c>
      <c r="F270" s="125">
        <v>0</v>
      </c>
      <c r="G270" s="125">
        <v>0</v>
      </c>
      <c r="H270" s="125">
        <v>0</v>
      </c>
      <c r="I270" s="125">
        <v>0</v>
      </c>
      <c r="J270" s="125">
        <v>0</v>
      </c>
      <c r="K270" s="125">
        <v>0</v>
      </c>
      <c r="L270" s="125">
        <v>0</v>
      </c>
      <c r="M270" s="125">
        <v>0</v>
      </c>
      <c r="N270" s="125">
        <v>0</v>
      </c>
      <c r="O270" s="125"/>
      <c r="P270" s="152"/>
      <c r="Q270" s="152"/>
    </row>
    <row r="271" spans="1:17">
      <c r="A271" s="253"/>
      <c r="B271" s="124" t="s">
        <v>84</v>
      </c>
      <c r="C271" s="125">
        <v>0</v>
      </c>
      <c r="D271" s="125">
        <v>0</v>
      </c>
      <c r="E271" s="125">
        <v>0</v>
      </c>
      <c r="F271" s="125">
        <v>0</v>
      </c>
      <c r="G271" s="125">
        <v>0</v>
      </c>
      <c r="H271" s="125">
        <v>0</v>
      </c>
      <c r="I271" s="125">
        <v>0</v>
      </c>
      <c r="J271" s="125">
        <v>0</v>
      </c>
      <c r="K271" s="125">
        <v>0</v>
      </c>
      <c r="L271" s="125">
        <v>0</v>
      </c>
      <c r="M271" s="125">
        <v>0</v>
      </c>
      <c r="N271" s="125">
        <v>0</v>
      </c>
      <c r="O271" s="125"/>
      <c r="P271" s="152"/>
      <c r="Q271" s="152"/>
    </row>
    <row r="272" spans="1:17">
      <c r="A272" s="253"/>
      <c r="B272" s="124" t="s">
        <v>72</v>
      </c>
      <c r="C272" s="125">
        <v>369.95</v>
      </c>
      <c r="D272" s="125">
        <v>0</v>
      </c>
      <c r="E272" s="125">
        <v>384.25</v>
      </c>
      <c r="F272" s="125">
        <v>324.5</v>
      </c>
      <c r="G272" s="125">
        <v>1562.875</v>
      </c>
      <c r="H272" s="125">
        <v>1112.175</v>
      </c>
      <c r="I272" s="125">
        <v>171.25</v>
      </c>
      <c r="J272" s="125">
        <v>85</v>
      </c>
      <c r="K272" s="125">
        <v>0.25</v>
      </c>
      <c r="L272" s="125">
        <v>18.75</v>
      </c>
      <c r="M272" s="125">
        <v>649.5</v>
      </c>
      <c r="N272" s="125">
        <v>24.25</v>
      </c>
      <c r="O272" s="125"/>
      <c r="P272" s="152"/>
      <c r="Q272" s="152"/>
    </row>
    <row r="273" spans="1:18">
      <c r="A273" s="253"/>
      <c r="B273" s="124" t="s">
        <v>81</v>
      </c>
      <c r="C273" s="125">
        <v>0</v>
      </c>
      <c r="D273" s="125">
        <v>28</v>
      </c>
      <c r="E273" s="125">
        <v>266.25</v>
      </c>
      <c r="F273" s="125">
        <v>44.25</v>
      </c>
      <c r="G273" s="125">
        <v>17.75</v>
      </c>
      <c r="H273" s="125">
        <v>4</v>
      </c>
      <c r="I273" s="125">
        <v>3</v>
      </c>
      <c r="J273" s="125">
        <v>46.25</v>
      </c>
      <c r="K273" s="125">
        <v>10.75</v>
      </c>
      <c r="L273" s="125">
        <v>9.5</v>
      </c>
      <c r="M273" s="125">
        <v>27.25</v>
      </c>
      <c r="N273" s="125">
        <v>3</v>
      </c>
      <c r="O273" s="125"/>
      <c r="P273" s="152"/>
      <c r="Q273" s="152"/>
    </row>
    <row r="274" spans="1:18">
      <c r="A274" s="253"/>
      <c r="B274" s="124" t="s">
        <v>85</v>
      </c>
      <c r="C274" s="125">
        <v>0</v>
      </c>
      <c r="D274" s="125">
        <v>0</v>
      </c>
      <c r="E274" s="125">
        <v>0</v>
      </c>
      <c r="F274" s="125">
        <v>0</v>
      </c>
      <c r="G274" s="125">
        <v>0</v>
      </c>
      <c r="H274" s="125">
        <v>0</v>
      </c>
      <c r="I274" s="125">
        <v>0</v>
      </c>
      <c r="J274" s="125">
        <v>0</v>
      </c>
      <c r="K274" s="125">
        <v>0</v>
      </c>
      <c r="L274" s="125">
        <v>0</v>
      </c>
      <c r="M274" s="125">
        <v>0</v>
      </c>
      <c r="N274" s="125">
        <v>0</v>
      </c>
      <c r="O274" s="125"/>
      <c r="P274" s="152"/>
      <c r="Q274" s="152"/>
    </row>
    <row r="275" spans="1:18">
      <c r="A275" s="253"/>
      <c r="B275" s="124" t="s">
        <v>78</v>
      </c>
      <c r="C275" s="125">
        <v>4828.8</v>
      </c>
      <c r="D275" s="125">
        <v>5984.15</v>
      </c>
      <c r="E275" s="125">
        <v>6692.5249999999996</v>
      </c>
      <c r="F275" s="125">
        <v>4274.6750000000002</v>
      </c>
      <c r="G275" s="125">
        <v>6754.4</v>
      </c>
      <c r="H275" s="125">
        <v>14755.35</v>
      </c>
      <c r="I275" s="125">
        <v>7808.2749999999996</v>
      </c>
      <c r="J275" s="125">
        <v>13868.125</v>
      </c>
      <c r="K275" s="125">
        <v>5893.8</v>
      </c>
      <c r="L275" s="125">
        <v>3504.1</v>
      </c>
      <c r="M275" s="125">
        <v>5531.55</v>
      </c>
      <c r="N275" s="125">
        <v>5355.3</v>
      </c>
      <c r="O275" s="125"/>
      <c r="P275" s="152"/>
      <c r="Q275" s="152"/>
    </row>
    <row r="276" spans="1:18">
      <c r="A276" s="253"/>
      <c r="B276" s="124" t="s">
        <v>79</v>
      </c>
      <c r="C276" s="125">
        <v>103.5</v>
      </c>
      <c r="D276" s="125">
        <v>86</v>
      </c>
      <c r="E276" s="125">
        <v>265.75</v>
      </c>
      <c r="F276" s="125">
        <v>984</v>
      </c>
      <c r="G276" s="125">
        <v>815.25</v>
      </c>
      <c r="H276" s="125">
        <v>770.25</v>
      </c>
      <c r="I276" s="125">
        <v>864.57500000000005</v>
      </c>
      <c r="J276" s="125">
        <v>907.3</v>
      </c>
      <c r="K276" s="125">
        <v>575.5</v>
      </c>
      <c r="L276" s="125">
        <v>788.17499999999995</v>
      </c>
      <c r="M276" s="125">
        <v>691.75</v>
      </c>
      <c r="N276" s="125">
        <v>392.375</v>
      </c>
      <c r="O276" s="125"/>
      <c r="P276" s="152"/>
      <c r="Q276" s="152"/>
    </row>
    <row r="277" spans="1:18">
      <c r="A277" s="253"/>
      <c r="B277" s="124" t="s">
        <v>76</v>
      </c>
      <c r="C277" s="125">
        <v>15439.674999999999</v>
      </c>
      <c r="D277" s="125">
        <v>8457.2749999999996</v>
      </c>
      <c r="E277" s="125">
        <v>13758.475</v>
      </c>
      <c r="F277" s="125">
        <v>13137.825000000001</v>
      </c>
      <c r="G277" s="125">
        <v>16514.55</v>
      </c>
      <c r="H277" s="125">
        <v>15115.8</v>
      </c>
      <c r="I277" s="125">
        <v>6738.7</v>
      </c>
      <c r="J277" s="125">
        <v>19303.125</v>
      </c>
      <c r="K277" s="125">
        <v>6517.85</v>
      </c>
      <c r="L277" s="125">
        <v>6593.15</v>
      </c>
      <c r="M277" s="125">
        <v>13094.475</v>
      </c>
      <c r="N277" s="125">
        <v>11431.225</v>
      </c>
      <c r="O277" s="125"/>
      <c r="P277" s="153"/>
      <c r="Q277" s="153"/>
    </row>
    <row r="278" spans="1:18">
      <c r="A278" s="254"/>
      <c r="B278" s="183" t="s">
        <v>0</v>
      </c>
      <c r="C278" s="195">
        <v>212742.45</v>
      </c>
      <c r="D278" s="195">
        <v>177752.55</v>
      </c>
      <c r="E278" s="195">
        <v>146083.95000000001</v>
      </c>
      <c r="F278" s="195">
        <v>84725.774999999994</v>
      </c>
      <c r="G278" s="195">
        <v>96502.45</v>
      </c>
      <c r="H278" s="195">
        <v>227112.42499999999</v>
      </c>
      <c r="I278" s="195">
        <v>173241.47500000001</v>
      </c>
      <c r="J278" s="195">
        <v>241457.35</v>
      </c>
      <c r="K278" s="195">
        <v>110235.15</v>
      </c>
      <c r="L278" s="195">
        <v>146188.15</v>
      </c>
      <c r="M278" s="195">
        <v>272916.97499999998</v>
      </c>
      <c r="N278" s="195">
        <v>358012.22499999998</v>
      </c>
      <c r="O278" s="195"/>
      <c r="P278" s="153">
        <f>O278/C278-1</f>
        <v>-1</v>
      </c>
      <c r="Q278" s="153"/>
    </row>
    <row r="279" spans="1:18">
      <c r="A279" s="255" t="s">
        <v>75</v>
      </c>
      <c r="B279" s="124" t="s">
        <v>82</v>
      </c>
      <c r="C279" s="125">
        <v>0</v>
      </c>
      <c r="D279" s="125">
        <v>0</v>
      </c>
      <c r="E279" s="125">
        <v>0</v>
      </c>
      <c r="F279" s="125">
        <v>0</v>
      </c>
      <c r="G279" s="125">
        <v>0</v>
      </c>
      <c r="H279" s="125">
        <v>0</v>
      </c>
      <c r="I279" s="125">
        <v>0</v>
      </c>
      <c r="J279" s="125">
        <v>0</v>
      </c>
      <c r="K279" s="125">
        <v>0</v>
      </c>
      <c r="L279" s="125">
        <v>0</v>
      </c>
      <c r="M279" s="125">
        <v>0</v>
      </c>
      <c r="N279" s="125">
        <v>0</v>
      </c>
      <c r="O279" s="125"/>
    </row>
    <row r="280" spans="1:18">
      <c r="A280" s="256"/>
      <c r="B280" s="124" t="s">
        <v>73</v>
      </c>
      <c r="C280" s="125">
        <v>810</v>
      </c>
      <c r="D280" s="125">
        <v>132</v>
      </c>
      <c r="E280" s="125">
        <v>28.75</v>
      </c>
      <c r="F280" s="125">
        <v>155.75</v>
      </c>
      <c r="G280" s="125">
        <v>0</v>
      </c>
      <c r="H280" s="125">
        <v>11.5</v>
      </c>
      <c r="I280" s="125">
        <v>0</v>
      </c>
      <c r="J280" s="125">
        <v>0</v>
      </c>
      <c r="K280" s="125">
        <v>0</v>
      </c>
      <c r="L280" s="125">
        <v>0</v>
      </c>
      <c r="M280" s="125">
        <v>0</v>
      </c>
      <c r="N280" s="125">
        <v>8</v>
      </c>
      <c r="O280" s="125"/>
    </row>
    <row r="281" spans="1:18">
      <c r="A281" s="256"/>
      <c r="B281" s="124" t="s">
        <v>23</v>
      </c>
      <c r="C281" s="125">
        <v>40918.074999999997</v>
      </c>
      <c r="D281" s="125">
        <v>55261.525000000001</v>
      </c>
      <c r="E281" s="125">
        <v>35693.599999999999</v>
      </c>
      <c r="F281" s="125">
        <v>15588.025</v>
      </c>
      <c r="G281" s="125">
        <v>9638.65</v>
      </c>
      <c r="H281" s="125">
        <v>14278.375</v>
      </c>
      <c r="I281" s="125">
        <v>13517.6</v>
      </c>
      <c r="J281" s="125">
        <v>17210.974999999999</v>
      </c>
      <c r="K281" s="125">
        <v>26083.525000000001</v>
      </c>
      <c r="L281" s="125">
        <v>27133.95</v>
      </c>
      <c r="M281" s="125">
        <v>4904.3500000000004</v>
      </c>
      <c r="N281" s="125">
        <v>14093.6</v>
      </c>
      <c r="O281" s="125"/>
      <c r="P281" s="161"/>
      <c r="Q281" s="161"/>
      <c r="R281" s="161"/>
    </row>
    <row r="282" spans="1:18">
      <c r="A282" s="256"/>
      <c r="B282" s="124" t="s">
        <v>80</v>
      </c>
      <c r="C282" s="125">
        <v>765.1</v>
      </c>
      <c r="D282" s="125">
        <v>17</v>
      </c>
      <c r="E282" s="125">
        <v>461.27499999999998</v>
      </c>
      <c r="F282" s="125">
        <v>424</v>
      </c>
      <c r="G282" s="125">
        <v>44.6</v>
      </c>
      <c r="H282" s="125">
        <v>142.15</v>
      </c>
      <c r="I282" s="125">
        <v>382.25</v>
      </c>
      <c r="J282" s="125">
        <v>334.7</v>
      </c>
      <c r="K282" s="125">
        <v>675.3</v>
      </c>
      <c r="L282" s="125">
        <v>329.2</v>
      </c>
      <c r="M282" s="125">
        <v>159.92500000000001</v>
      </c>
      <c r="N282" s="125">
        <v>146.75</v>
      </c>
      <c r="O282" s="125"/>
      <c r="P282" s="161"/>
      <c r="Q282" s="161"/>
      <c r="R282" s="161"/>
    </row>
    <row r="283" spans="1:18">
      <c r="A283" s="256"/>
      <c r="B283" s="124" t="s">
        <v>74</v>
      </c>
      <c r="C283" s="125">
        <v>50389.4</v>
      </c>
      <c r="D283" s="125">
        <v>53214.7</v>
      </c>
      <c r="E283" s="125">
        <v>66433.399999999994</v>
      </c>
      <c r="F283" s="125">
        <v>60650.9</v>
      </c>
      <c r="G283" s="125">
        <v>30223.3</v>
      </c>
      <c r="H283" s="125">
        <v>10803.025</v>
      </c>
      <c r="I283" s="125">
        <v>29063.4</v>
      </c>
      <c r="J283" s="125">
        <v>33584.800000000003</v>
      </c>
      <c r="K283" s="125">
        <v>50212.175000000003</v>
      </c>
      <c r="L283" s="125">
        <v>31660.924999999999</v>
      </c>
      <c r="M283" s="125">
        <v>18738</v>
      </c>
      <c r="N283" s="125">
        <v>17762.55</v>
      </c>
      <c r="O283" s="125"/>
      <c r="P283" s="161"/>
      <c r="Q283" s="161"/>
      <c r="R283" s="161"/>
    </row>
    <row r="284" spans="1:18">
      <c r="A284" s="256"/>
      <c r="B284" s="124" t="s">
        <v>83</v>
      </c>
      <c r="C284" s="125">
        <v>0</v>
      </c>
      <c r="D284" s="125">
        <v>0</v>
      </c>
      <c r="E284" s="125">
        <v>0</v>
      </c>
      <c r="F284" s="125">
        <v>0</v>
      </c>
      <c r="G284" s="125">
        <v>0</v>
      </c>
      <c r="H284" s="125">
        <v>0</v>
      </c>
      <c r="I284" s="125">
        <v>0</v>
      </c>
      <c r="J284" s="125">
        <v>0</v>
      </c>
      <c r="K284" s="125">
        <v>0</v>
      </c>
      <c r="L284" s="125">
        <v>0</v>
      </c>
      <c r="M284" s="125">
        <v>0</v>
      </c>
      <c r="N284" s="125">
        <v>0</v>
      </c>
      <c r="O284" s="125"/>
      <c r="P284" s="161"/>
      <c r="Q284" s="161"/>
      <c r="R284" s="161"/>
    </row>
    <row r="285" spans="1:18">
      <c r="A285" s="256"/>
      <c r="B285" s="124" t="s">
        <v>77</v>
      </c>
      <c r="C285" s="125">
        <v>101824.35</v>
      </c>
      <c r="D285" s="125">
        <v>121282.75</v>
      </c>
      <c r="E285" s="125">
        <v>183823.9</v>
      </c>
      <c r="F285" s="125">
        <v>142915.9</v>
      </c>
      <c r="G285" s="125">
        <v>40362.474999999999</v>
      </c>
      <c r="H285" s="125">
        <v>27645.625</v>
      </c>
      <c r="I285" s="125">
        <v>78708.975000000006</v>
      </c>
      <c r="J285" s="125">
        <v>84855.975000000006</v>
      </c>
      <c r="K285" s="125">
        <v>132430.125</v>
      </c>
      <c r="L285" s="125">
        <v>76987.074999999997</v>
      </c>
      <c r="M285" s="125">
        <v>68351.8</v>
      </c>
      <c r="N285" s="125">
        <v>26891.474999999999</v>
      </c>
      <c r="O285" s="125"/>
      <c r="P285" s="161"/>
      <c r="Q285" s="161"/>
      <c r="R285" s="161"/>
    </row>
    <row r="286" spans="1:18">
      <c r="A286" s="256"/>
      <c r="B286" s="124" t="s">
        <v>233</v>
      </c>
      <c r="C286" s="125">
        <v>0</v>
      </c>
      <c r="D286" s="125">
        <v>0</v>
      </c>
      <c r="E286" s="125">
        <v>0</v>
      </c>
      <c r="F286" s="125">
        <v>0</v>
      </c>
      <c r="G286" s="125">
        <v>0</v>
      </c>
      <c r="H286" s="125">
        <v>0</v>
      </c>
      <c r="I286" s="125">
        <v>0</v>
      </c>
      <c r="J286" s="125">
        <v>0</v>
      </c>
      <c r="K286" s="125">
        <v>0</v>
      </c>
      <c r="L286" s="125">
        <v>0</v>
      </c>
      <c r="M286" s="125">
        <v>0</v>
      </c>
      <c r="N286" s="125">
        <v>0</v>
      </c>
      <c r="O286" s="125"/>
      <c r="P286" s="161"/>
      <c r="Q286" s="161"/>
      <c r="R286" s="161"/>
    </row>
    <row r="287" spans="1:18">
      <c r="A287" s="256"/>
      <c r="B287" s="124" t="s">
        <v>206</v>
      </c>
      <c r="C287" s="125">
        <v>0</v>
      </c>
      <c r="D287" s="125">
        <v>0</v>
      </c>
      <c r="E287" s="125">
        <v>0</v>
      </c>
      <c r="F287" s="125">
        <v>27</v>
      </c>
      <c r="G287" s="125">
        <v>41.875</v>
      </c>
      <c r="H287" s="125">
        <v>0</v>
      </c>
      <c r="I287" s="125">
        <v>0</v>
      </c>
      <c r="J287" s="125">
        <v>0</v>
      </c>
      <c r="K287" s="125">
        <v>594.22500000000002</v>
      </c>
      <c r="L287" s="125">
        <v>0</v>
      </c>
      <c r="M287" s="125">
        <v>0</v>
      </c>
      <c r="N287" s="125">
        <v>0</v>
      </c>
      <c r="O287" s="125"/>
      <c r="P287" s="161"/>
      <c r="Q287" s="161"/>
      <c r="R287" s="161"/>
    </row>
    <row r="288" spans="1:18">
      <c r="A288" s="256"/>
      <c r="B288" s="124" t="s">
        <v>19</v>
      </c>
      <c r="C288" s="125">
        <v>49899.25</v>
      </c>
      <c r="D288" s="125">
        <v>69284.95</v>
      </c>
      <c r="E288" s="125">
        <v>84328.975000000006</v>
      </c>
      <c r="F288" s="125">
        <v>66921.95</v>
      </c>
      <c r="G288" s="125">
        <v>28568.724999999999</v>
      </c>
      <c r="H288" s="125">
        <v>34246.75</v>
      </c>
      <c r="I288" s="125">
        <v>23127.05</v>
      </c>
      <c r="J288" s="125">
        <v>12644.575000000001</v>
      </c>
      <c r="K288" s="125">
        <v>32428.275000000001</v>
      </c>
      <c r="L288" s="125">
        <v>15988.174999999999</v>
      </c>
      <c r="M288" s="125">
        <v>15686.325000000001</v>
      </c>
      <c r="N288" s="125">
        <v>17452.025000000001</v>
      </c>
      <c r="O288" s="125"/>
      <c r="P288" s="161"/>
      <c r="Q288" s="161"/>
      <c r="R288" s="161"/>
    </row>
    <row r="289" spans="1:18">
      <c r="A289" s="256"/>
      <c r="B289" s="124" t="s">
        <v>169</v>
      </c>
      <c r="C289" s="125">
        <v>0</v>
      </c>
      <c r="D289" s="125">
        <v>0</v>
      </c>
      <c r="E289" s="125">
        <v>0</v>
      </c>
      <c r="F289" s="125">
        <v>0</v>
      </c>
      <c r="G289" s="125">
        <v>0</v>
      </c>
      <c r="H289" s="125">
        <v>0</v>
      </c>
      <c r="I289" s="125">
        <v>0</v>
      </c>
      <c r="J289" s="125">
        <v>0</v>
      </c>
      <c r="K289" s="125">
        <v>0</v>
      </c>
      <c r="L289" s="125">
        <v>0</v>
      </c>
      <c r="M289" s="125">
        <v>0</v>
      </c>
      <c r="N289" s="125">
        <v>0</v>
      </c>
      <c r="O289" s="125"/>
      <c r="P289" s="161"/>
      <c r="Q289" s="161"/>
      <c r="R289" s="161"/>
    </row>
    <row r="290" spans="1:18">
      <c r="A290" s="256"/>
      <c r="B290" s="124" t="s">
        <v>84</v>
      </c>
      <c r="C290" s="125">
        <v>0</v>
      </c>
      <c r="D290" s="125">
        <v>0</v>
      </c>
      <c r="E290" s="125">
        <v>0</v>
      </c>
      <c r="F290" s="125">
        <v>0</v>
      </c>
      <c r="G290" s="125">
        <v>0</v>
      </c>
      <c r="H290" s="125">
        <v>0</v>
      </c>
      <c r="I290" s="125">
        <v>0</v>
      </c>
      <c r="J290" s="125">
        <v>0</v>
      </c>
      <c r="K290" s="125">
        <v>0</v>
      </c>
      <c r="L290" s="125">
        <v>0</v>
      </c>
      <c r="M290" s="125">
        <v>0</v>
      </c>
      <c r="N290" s="125">
        <v>0</v>
      </c>
      <c r="O290" s="125"/>
      <c r="P290" s="161"/>
      <c r="Q290" s="161"/>
      <c r="R290" s="161"/>
    </row>
    <row r="291" spans="1:18">
      <c r="A291" s="256"/>
      <c r="B291" s="124" t="s">
        <v>72</v>
      </c>
      <c r="C291" s="125">
        <v>855.6</v>
      </c>
      <c r="D291" s="125">
        <v>2488.5</v>
      </c>
      <c r="E291" s="125">
        <v>368.6</v>
      </c>
      <c r="F291" s="125">
        <v>1670.625</v>
      </c>
      <c r="G291" s="125">
        <v>4390.55</v>
      </c>
      <c r="H291" s="125">
        <v>1115.9000000000001</v>
      </c>
      <c r="I291" s="125">
        <v>0</v>
      </c>
      <c r="J291" s="125">
        <v>33</v>
      </c>
      <c r="K291" s="125">
        <v>321.97500000000002</v>
      </c>
      <c r="L291" s="125">
        <v>2131.5</v>
      </c>
      <c r="M291" s="125">
        <v>572.57500000000005</v>
      </c>
      <c r="N291" s="125">
        <v>80.525000000000006</v>
      </c>
      <c r="O291" s="125"/>
      <c r="P291" s="161"/>
      <c r="Q291" s="161"/>
      <c r="R291" s="161"/>
    </row>
    <row r="292" spans="1:18">
      <c r="A292" s="256"/>
      <c r="B292" s="124" t="s">
        <v>81</v>
      </c>
      <c r="C292" s="125">
        <v>51</v>
      </c>
      <c r="D292" s="125">
        <v>147</v>
      </c>
      <c r="E292" s="125">
        <v>6</v>
      </c>
      <c r="F292" s="125">
        <v>406.75</v>
      </c>
      <c r="G292" s="125">
        <v>112</v>
      </c>
      <c r="H292" s="125">
        <v>60</v>
      </c>
      <c r="I292" s="125">
        <v>17.5</v>
      </c>
      <c r="J292" s="125">
        <v>210</v>
      </c>
      <c r="K292" s="125">
        <v>36</v>
      </c>
      <c r="L292" s="125">
        <v>72</v>
      </c>
      <c r="M292" s="125">
        <v>70</v>
      </c>
      <c r="N292" s="125">
        <v>194.5</v>
      </c>
      <c r="O292" s="125"/>
      <c r="P292" s="161"/>
      <c r="Q292" s="161"/>
      <c r="R292" s="161"/>
    </row>
    <row r="293" spans="1:18">
      <c r="A293" s="256"/>
      <c r="B293" s="124" t="s">
        <v>85</v>
      </c>
      <c r="C293" s="125">
        <v>0</v>
      </c>
      <c r="D293" s="125">
        <v>0</v>
      </c>
      <c r="E293" s="125">
        <v>0</v>
      </c>
      <c r="F293" s="125">
        <v>0</v>
      </c>
      <c r="G293" s="125">
        <v>0</v>
      </c>
      <c r="H293" s="125">
        <v>0</v>
      </c>
      <c r="I293" s="125">
        <v>0</v>
      </c>
      <c r="J293" s="125">
        <v>0</v>
      </c>
      <c r="K293" s="125">
        <v>0</v>
      </c>
      <c r="L293" s="125">
        <v>0</v>
      </c>
      <c r="M293" s="125">
        <v>0</v>
      </c>
      <c r="N293" s="125">
        <v>0</v>
      </c>
      <c r="O293" s="125"/>
      <c r="P293" s="161"/>
      <c r="Q293" s="161"/>
      <c r="R293" s="161"/>
    </row>
    <row r="294" spans="1:18">
      <c r="A294" s="256"/>
      <c r="B294" s="124" t="s">
        <v>78</v>
      </c>
      <c r="C294" s="125">
        <v>23535.525000000001</v>
      </c>
      <c r="D294" s="125">
        <v>42195.45</v>
      </c>
      <c r="E294" s="125">
        <v>96803.75</v>
      </c>
      <c r="F294" s="125">
        <v>144982.54999999999</v>
      </c>
      <c r="G294" s="125">
        <v>92281.725000000006</v>
      </c>
      <c r="H294" s="125">
        <v>30492.3</v>
      </c>
      <c r="I294" s="125">
        <v>78426.2</v>
      </c>
      <c r="J294" s="125">
        <v>114413.125</v>
      </c>
      <c r="K294" s="125">
        <v>117703.4</v>
      </c>
      <c r="L294" s="125">
        <v>50232.224999999999</v>
      </c>
      <c r="M294" s="125">
        <v>24104.95</v>
      </c>
      <c r="N294" s="125">
        <v>8104.4250000000002</v>
      </c>
      <c r="O294" s="125"/>
      <c r="P294" s="161"/>
      <c r="Q294" s="161"/>
      <c r="R294" s="161"/>
    </row>
    <row r="295" spans="1:18">
      <c r="A295" s="256"/>
      <c r="B295" s="124" t="s">
        <v>79</v>
      </c>
      <c r="C295" s="125">
        <v>17053.275000000001</v>
      </c>
      <c r="D295" s="125">
        <v>17562.8</v>
      </c>
      <c r="E295" s="125">
        <v>11071.275</v>
      </c>
      <c r="F295" s="125">
        <v>9716.75</v>
      </c>
      <c r="G295" s="125">
        <v>3151.25</v>
      </c>
      <c r="H295" s="125">
        <v>3067.5</v>
      </c>
      <c r="I295" s="125">
        <v>1371</v>
      </c>
      <c r="J295" s="125">
        <v>1764.75</v>
      </c>
      <c r="K295" s="125">
        <v>2619</v>
      </c>
      <c r="L295" s="125">
        <v>1674.45</v>
      </c>
      <c r="M295" s="125">
        <v>1156.5</v>
      </c>
      <c r="N295" s="125">
        <v>591.35</v>
      </c>
      <c r="O295" s="125"/>
      <c r="P295" s="161"/>
      <c r="Q295" s="161"/>
      <c r="R295" s="161"/>
    </row>
    <row r="296" spans="1:18">
      <c r="A296" s="256"/>
      <c r="B296" s="124" t="s">
        <v>76</v>
      </c>
      <c r="C296" s="125">
        <v>46658.175000000003</v>
      </c>
      <c r="D296" s="125">
        <v>51895.625</v>
      </c>
      <c r="E296" s="125">
        <v>37795.15</v>
      </c>
      <c r="F296" s="125">
        <v>27303.9</v>
      </c>
      <c r="G296" s="125">
        <v>14841.9</v>
      </c>
      <c r="H296" s="125">
        <v>10692.35</v>
      </c>
      <c r="I296" s="125">
        <v>13728.975</v>
      </c>
      <c r="J296" s="125">
        <v>13260.225</v>
      </c>
      <c r="K296" s="125">
        <v>20307.424999999999</v>
      </c>
      <c r="L296" s="125">
        <v>19480.775000000001</v>
      </c>
      <c r="M296" s="125">
        <v>10449.799999999999</v>
      </c>
      <c r="N296" s="125">
        <v>10315.25</v>
      </c>
      <c r="O296" s="125"/>
      <c r="P296" s="161"/>
      <c r="Q296" s="161"/>
      <c r="R296" s="161"/>
    </row>
    <row r="297" spans="1:18">
      <c r="A297" s="257"/>
      <c r="B297" s="183" t="s">
        <v>0</v>
      </c>
      <c r="C297" s="195">
        <v>332759.75</v>
      </c>
      <c r="D297" s="195">
        <v>413482.3</v>
      </c>
      <c r="E297" s="195">
        <v>516814.67499999999</v>
      </c>
      <c r="F297" s="195">
        <v>470764.1</v>
      </c>
      <c r="G297" s="195">
        <v>223657.05</v>
      </c>
      <c r="H297" s="195">
        <v>132555.47500000001</v>
      </c>
      <c r="I297" s="195">
        <v>238342.95</v>
      </c>
      <c r="J297" s="195">
        <v>278312.125</v>
      </c>
      <c r="K297" s="195">
        <v>383411.42499999999</v>
      </c>
      <c r="L297" s="195">
        <v>225690.27499999999</v>
      </c>
      <c r="M297" s="195">
        <v>144194.22500000001</v>
      </c>
      <c r="N297" s="195">
        <v>95640.45</v>
      </c>
      <c r="O297" s="195"/>
      <c r="P297" s="153">
        <f>O297/C297-1</f>
        <v>-1</v>
      </c>
      <c r="Q297" s="153">
        <f>(O278+O297)/(C297+C278)-1</f>
        <v>-1</v>
      </c>
      <c r="R297" s="161"/>
    </row>
    <row r="298" spans="1:18">
      <c r="P298" s="185"/>
      <c r="Q298" s="185"/>
      <c r="R298" s="161"/>
    </row>
    <row r="299" spans="1:18">
      <c r="P299" s="185"/>
      <c r="Q299" s="185"/>
      <c r="R299" s="161"/>
    </row>
    <row r="300" spans="1:18">
      <c r="P300" s="185"/>
      <c r="Q300" s="185"/>
    </row>
    <row r="301" spans="1:18">
      <c r="P301" s="186"/>
      <c r="Q301" s="186"/>
    </row>
    <row r="305" spans="1:18">
      <c r="Q305" s="152"/>
      <c r="R305" s="152"/>
    </row>
    <row r="306" spans="1:18">
      <c r="Q306" s="152"/>
      <c r="R306" s="152"/>
    </row>
    <row r="307" spans="1:18">
      <c r="Q307" s="152"/>
      <c r="R307" s="152"/>
    </row>
    <row r="308" spans="1:18">
      <c r="P308" s="125"/>
      <c r="Q308" s="152"/>
      <c r="R308" s="152"/>
    </row>
    <row r="309" spans="1:18">
      <c r="P309" s="125"/>
      <c r="Q309" s="152"/>
      <c r="R309" s="152"/>
    </row>
    <row r="310" spans="1:18">
      <c r="P310" s="125"/>
      <c r="Q310" s="152"/>
      <c r="R310" s="152"/>
    </row>
    <row r="311" spans="1:18">
      <c r="P311" s="125"/>
      <c r="Q311" s="152"/>
      <c r="R311" s="152"/>
    </row>
    <row r="312" spans="1:18">
      <c r="A312" s="84" t="s">
        <v>174</v>
      </c>
      <c r="B312" s="164" t="str">
        <f>MID(B313,6,1)</f>
        <v>E</v>
      </c>
      <c r="C312" s="164" t="str">
        <f t="shared" ref="C312:N312" si="11">MID(C313,6,1)</f>
        <v>F</v>
      </c>
      <c r="D312" s="164" t="str">
        <f t="shared" si="11"/>
        <v>M</v>
      </c>
      <c r="E312" s="164" t="str">
        <f t="shared" si="11"/>
        <v>A</v>
      </c>
      <c r="F312" s="164" t="str">
        <f t="shared" si="11"/>
        <v>M</v>
      </c>
      <c r="G312" s="164" t="str">
        <f t="shared" si="11"/>
        <v>J</v>
      </c>
      <c r="H312" s="164" t="str">
        <f t="shared" si="11"/>
        <v>J</v>
      </c>
      <c r="I312" s="164" t="str">
        <f t="shared" si="11"/>
        <v>A</v>
      </c>
      <c r="J312" s="164" t="str">
        <f t="shared" si="11"/>
        <v>S</v>
      </c>
      <c r="K312" s="164" t="str">
        <f t="shared" si="11"/>
        <v>O</v>
      </c>
      <c r="L312" s="164" t="str">
        <f t="shared" si="11"/>
        <v>N</v>
      </c>
      <c r="M312" s="164" t="str">
        <f t="shared" si="11"/>
        <v>D</v>
      </c>
      <c r="N312" s="164" t="str">
        <f t="shared" si="11"/>
        <v>E</v>
      </c>
      <c r="O312" s="125"/>
      <c r="P312" s="125"/>
      <c r="Q312" s="152"/>
      <c r="R312" s="152"/>
    </row>
    <row r="313" spans="1:18">
      <c r="A313" s="122" t="s">
        <v>86</v>
      </c>
      <c r="B313" s="145" t="s">
        <v>209</v>
      </c>
      <c r="C313" s="145" t="s">
        <v>211</v>
      </c>
      <c r="D313" s="145" t="s">
        <v>214</v>
      </c>
      <c r="E313" s="145" t="s">
        <v>224</v>
      </c>
      <c r="F313" s="145" t="s">
        <v>227</v>
      </c>
      <c r="G313" s="145" t="s">
        <v>229</v>
      </c>
      <c r="H313" s="145" t="s">
        <v>231</v>
      </c>
      <c r="I313" s="145" t="s">
        <v>234</v>
      </c>
      <c r="J313" s="145" t="s">
        <v>237</v>
      </c>
      <c r="K313" s="145" t="s">
        <v>241</v>
      </c>
      <c r="L313" s="145" t="s">
        <v>246</v>
      </c>
      <c r="M313" s="145" t="s">
        <v>249</v>
      </c>
      <c r="N313" s="145" t="s">
        <v>282</v>
      </c>
      <c r="O313" s="125"/>
      <c r="P313" s="125"/>
      <c r="Q313" s="152"/>
      <c r="R313" s="152"/>
    </row>
    <row r="314" spans="1:18">
      <c r="A314" s="122" t="s">
        <v>27</v>
      </c>
      <c r="B314" s="143"/>
      <c r="C314" s="143"/>
      <c r="D314" s="143"/>
      <c r="E314" s="143"/>
      <c r="F314" s="143"/>
      <c r="G314" s="143"/>
      <c r="H314" s="143"/>
      <c r="I314" s="143"/>
      <c r="J314" s="143"/>
      <c r="K314" s="143"/>
      <c r="L314" s="143"/>
      <c r="M314" s="143"/>
      <c r="N314" s="143"/>
      <c r="P314" s="125"/>
      <c r="Q314" s="152"/>
      <c r="R314" s="152"/>
    </row>
    <row r="315" spans="1:18">
      <c r="A315" s="124" t="s">
        <v>71</v>
      </c>
      <c r="B315" s="125">
        <v>90348.25</v>
      </c>
      <c r="C315" s="125">
        <v>44962.25</v>
      </c>
      <c r="D315" s="125">
        <v>68619</v>
      </c>
      <c r="E315" s="125">
        <v>41863.5</v>
      </c>
      <c r="F315" s="125">
        <v>74085.75</v>
      </c>
      <c r="G315" s="125">
        <v>181182</v>
      </c>
      <c r="H315" s="125">
        <v>130987</v>
      </c>
      <c r="I315" s="125">
        <v>228947.75</v>
      </c>
      <c r="J315" s="125">
        <v>79264.25</v>
      </c>
      <c r="K315" s="125">
        <v>101717.5</v>
      </c>
      <c r="L315" s="125">
        <v>243754</v>
      </c>
      <c r="M315" s="125">
        <v>287199.25</v>
      </c>
      <c r="N315" s="125">
        <v>0</v>
      </c>
      <c r="Q315" s="152"/>
      <c r="R315" s="152"/>
    </row>
    <row r="316" spans="1:18">
      <c r="A316" s="124" t="s">
        <v>75</v>
      </c>
      <c r="B316" s="125">
        <v>265986.25</v>
      </c>
      <c r="C316" s="125">
        <v>396960.5</v>
      </c>
      <c r="D316" s="125">
        <v>417916.5</v>
      </c>
      <c r="E316" s="125">
        <v>399899.75</v>
      </c>
      <c r="F316" s="125">
        <v>196774</v>
      </c>
      <c r="G316" s="125">
        <v>82639.5</v>
      </c>
      <c r="H316" s="125">
        <v>181301.75</v>
      </c>
      <c r="I316" s="125">
        <v>169070</v>
      </c>
      <c r="J316" s="125">
        <v>238398.25</v>
      </c>
      <c r="K316" s="125">
        <v>145326</v>
      </c>
      <c r="L316" s="125">
        <v>85584.5</v>
      </c>
      <c r="M316" s="125">
        <v>31645</v>
      </c>
      <c r="N316" s="125">
        <v>0</v>
      </c>
    </row>
    <row r="317" spans="1:18">
      <c r="A317" s="200" t="s">
        <v>243</v>
      </c>
      <c r="B317" s="201">
        <f>SUM(B315:B316)</f>
        <v>356334.5</v>
      </c>
      <c r="C317" s="201">
        <f t="shared" ref="C317:N317" si="12">SUM(C315:C316)</f>
        <v>441922.75</v>
      </c>
      <c r="D317" s="201">
        <f t="shared" si="12"/>
        <v>486535.5</v>
      </c>
      <c r="E317" s="201">
        <f t="shared" si="12"/>
        <v>441763.25</v>
      </c>
      <c r="F317" s="201">
        <f t="shared" si="12"/>
        <v>270859.75</v>
      </c>
      <c r="G317" s="201">
        <f t="shared" si="12"/>
        <v>263821.5</v>
      </c>
      <c r="H317" s="201">
        <f t="shared" si="12"/>
        <v>312288.75</v>
      </c>
      <c r="I317" s="201">
        <f t="shared" si="12"/>
        <v>398017.75</v>
      </c>
      <c r="J317" s="201">
        <f t="shared" si="12"/>
        <v>317662.5</v>
      </c>
      <c r="K317" s="201">
        <f t="shared" si="12"/>
        <v>247043.5</v>
      </c>
      <c r="L317" s="201">
        <f t="shared" si="12"/>
        <v>329338.5</v>
      </c>
      <c r="M317" s="201">
        <f t="shared" si="12"/>
        <v>318844.25</v>
      </c>
      <c r="N317" s="201">
        <f t="shared" si="12"/>
        <v>0</v>
      </c>
      <c r="P317" s="152"/>
      <c r="Q317" s="152"/>
    </row>
    <row r="318" spans="1:18">
      <c r="A318" s="84" t="s">
        <v>162</v>
      </c>
      <c r="P318" s="152"/>
      <c r="Q318" s="152"/>
    </row>
    <row r="319" spans="1:18">
      <c r="A319" s="122"/>
      <c r="B319" s="122"/>
      <c r="C319" s="122" t="s">
        <v>27</v>
      </c>
      <c r="D319" s="235" t="s">
        <v>194</v>
      </c>
      <c r="E319" s="236"/>
      <c r="F319" s="236"/>
      <c r="G319" s="236"/>
      <c r="H319" s="236"/>
      <c r="I319" s="236"/>
      <c r="J319" s="236"/>
      <c r="K319" s="236"/>
      <c r="L319" s="236"/>
      <c r="M319" s="236"/>
      <c r="N319" s="236"/>
      <c r="O319" s="236"/>
      <c r="P319" s="236"/>
      <c r="Q319" s="152"/>
    </row>
    <row r="320" spans="1:18">
      <c r="A320" s="122"/>
      <c r="B320" s="122"/>
      <c r="C320" s="122" t="s">
        <v>86</v>
      </c>
      <c r="D320" s="145" t="s">
        <v>209</v>
      </c>
      <c r="E320" s="145" t="s">
        <v>211</v>
      </c>
      <c r="F320" s="145" t="s">
        <v>214</v>
      </c>
      <c r="G320" s="145" t="s">
        <v>224</v>
      </c>
      <c r="H320" s="145" t="s">
        <v>227</v>
      </c>
      <c r="I320" s="145" t="s">
        <v>229</v>
      </c>
      <c r="J320" s="145" t="s">
        <v>231</v>
      </c>
      <c r="K320" s="145" t="s">
        <v>234</v>
      </c>
      <c r="L320" s="145" t="s">
        <v>237</v>
      </c>
      <c r="M320" s="145" t="s">
        <v>241</v>
      </c>
      <c r="N320" s="145" t="s">
        <v>246</v>
      </c>
      <c r="O320" s="145" t="s">
        <v>249</v>
      </c>
      <c r="P320" s="145" t="s">
        <v>282</v>
      </c>
      <c r="Q320" s="152"/>
    </row>
    <row r="321" spans="1:21">
      <c r="A321" s="122" t="s">
        <v>119</v>
      </c>
      <c r="B321" s="122" t="s">
        <v>142</v>
      </c>
      <c r="C321" s="122" t="s">
        <v>143</v>
      </c>
      <c r="D321" s="143"/>
      <c r="E321" s="143"/>
      <c r="F321" s="143"/>
      <c r="G321" s="143"/>
      <c r="H321" s="143"/>
      <c r="I321" s="143"/>
      <c r="J321" s="143"/>
      <c r="K321" s="143"/>
      <c r="L321" s="143"/>
      <c r="M321" s="143"/>
      <c r="N321" s="143"/>
      <c r="O321" s="143"/>
      <c r="P321" s="143"/>
      <c r="Q321" s="152"/>
    </row>
    <row r="322" spans="1:21">
      <c r="A322" s="249" t="s">
        <v>137</v>
      </c>
      <c r="B322" s="249" t="s">
        <v>138</v>
      </c>
      <c r="C322" s="124" t="s">
        <v>139</v>
      </c>
      <c r="D322" s="125">
        <v>18787</v>
      </c>
      <c r="E322" s="125">
        <v>12671</v>
      </c>
      <c r="F322" s="125">
        <v>13320.25</v>
      </c>
      <c r="G322" s="125">
        <v>681.75</v>
      </c>
      <c r="H322" s="125">
        <v>287.25</v>
      </c>
      <c r="I322" s="125">
        <v>5295.4750000000004</v>
      </c>
      <c r="J322" s="125">
        <v>2319</v>
      </c>
      <c r="K322" s="125">
        <v>3809</v>
      </c>
      <c r="L322" s="125">
        <v>515.75</v>
      </c>
      <c r="M322" s="125">
        <v>499.25</v>
      </c>
      <c r="N322" s="125">
        <v>106.52500000000001</v>
      </c>
      <c r="O322" s="125">
        <v>7.25</v>
      </c>
      <c r="P322" s="125">
        <v>0</v>
      </c>
      <c r="Q322" s="152"/>
      <c r="U322" s="168"/>
    </row>
    <row r="323" spans="1:21">
      <c r="A323" s="251"/>
      <c r="B323" s="250"/>
      <c r="C323" s="124" t="s">
        <v>140</v>
      </c>
      <c r="D323" s="125">
        <v>67725.7</v>
      </c>
      <c r="E323" s="125">
        <v>37653.699999999997</v>
      </c>
      <c r="F323" s="125">
        <v>90855.824999999997</v>
      </c>
      <c r="G323" s="125">
        <v>107349.6</v>
      </c>
      <c r="H323" s="125">
        <v>45497.95</v>
      </c>
      <c r="I323" s="125">
        <v>58107.324999999997</v>
      </c>
      <c r="J323" s="125">
        <v>87431.875</v>
      </c>
      <c r="K323" s="125">
        <v>151069.52499999999</v>
      </c>
      <c r="L323" s="125">
        <v>169281.95</v>
      </c>
      <c r="M323" s="125">
        <v>87906.774999999994</v>
      </c>
      <c r="N323" s="125">
        <v>79773.399999999994</v>
      </c>
      <c r="O323" s="125">
        <v>68561.274999999994</v>
      </c>
      <c r="P323" s="125">
        <v>0</v>
      </c>
      <c r="Q323" s="152"/>
    </row>
    <row r="324" spans="1:21">
      <c r="A324" s="251"/>
      <c r="B324" s="259" t="s">
        <v>141</v>
      </c>
      <c r="C324" s="124" t="s">
        <v>139</v>
      </c>
      <c r="D324" s="125">
        <v>0</v>
      </c>
      <c r="E324" s="125">
        <v>0</v>
      </c>
      <c r="F324" s="125">
        <v>0</v>
      </c>
      <c r="G324" s="125">
        <v>0</v>
      </c>
      <c r="H324" s="125">
        <v>0</v>
      </c>
      <c r="I324" s="125">
        <v>0</v>
      </c>
      <c r="J324" s="125">
        <v>0</v>
      </c>
      <c r="K324" s="125">
        <v>0</v>
      </c>
      <c r="L324" s="125">
        <v>0</v>
      </c>
      <c r="M324" s="125">
        <v>0</v>
      </c>
      <c r="N324" s="125">
        <v>0</v>
      </c>
      <c r="O324" s="125">
        <v>0</v>
      </c>
      <c r="P324" s="125">
        <v>0</v>
      </c>
      <c r="Q324" s="152"/>
    </row>
    <row r="325" spans="1:21">
      <c r="A325" s="250"/>
      <c r="B325" s="250"/>
      <c r="C325" s="124" t="s">
        <v>140</v>
      </c>
      <c r="D325" s="125">
        <v>0</v>
      </c>
      <c r="E325" s="125">
        <v>0</v>
      </c>
      <c r="F325" s="125">
        <v>0</v>
      </c>
      <c r="G325" s="125">
        <v>0</v>
      </c>
      <c r="H325" s="125">
        <v>0</v>
      </c>
      <c r="I325" s="125">
        <v>0</v>
      </c>
      <c r="J325" s="125">
        <v>0</v>
      </c>
      <c r="K325" s="125">
        <v>0</v>
      </c>
      <c r="L325" s="125">
        <v>0</v>
      </c>
      <c r="M325" s="125">
        <v>0</v>
      </c>
      <c r="N325" s="125">
        <v>0</v>
      </c>
      <c r="O325" s="125">
        <v>0</v>
      </c>
      <c r="P325" s="125">
        <v>0</v>
      </c>
      <c r="Q325" s="152"/>
    </row>
    <row r="326" spans="1:21">
      <c r="A326" s="259" t="s">
        <v>166</v>
      </c>
      <c r="B326" s="259" t="s">
        <v>138</v>
      </c>
      <c r="C326" s="124" t="s">
        <v>139</v>
      </c>
      <c r="D326" s="125">
        <v>25033</v>
      </c>
      <c r="E326" s="125">
        <v>30692</v>
      </c>
      <c r="F326" s="125">
        <v>11006.25</v>
      </c>
      <c r="G326" s="125">
        <v>7049</v>
      </c>
      <c r="H326" s="125">
        <v>2391.75</v>
      </c>
      <c r="I326" s="125">
        <v>1830.55</v>
      </c>
      <c r="J326" s="125">
        <v>6831.75</v>
      </c>
      <c r="K326" s="125">
        <v>22222.5</v>
      </c>
      <c r="L326" s="125">
        <v>11528</v>
      </c>
      <c r="M326" s="125">
        <v>5142.5</v>
      </c>
      <c r="N326" s="125">
        <v>1643.75</v>
      </c>
      <c r="O326" s="125">
        <v>348</v>
      </c>
      <c r="P326" s="125">
        <v>0</v>
      </c>
      <c r="Q326" s="152"/>
    </row>
    <row r="327" spans="1:21">
      <c r="A327" s="251"/>
      <c r="B327" s="250"/>
      <c r="C327" s="124" t="s">
        <v>140</v>
      </c>
      <c r="D327" s="125">
        <v>117100.4</v>
      </c>
      <c r="E327" s="125">
        <v>135901.20000000001</v>
      </c>
      <c r="F327" s="125">
        <v>69626.600000000006</v>
      </c>
      <c r="G327" s="125">
        <v>72019.05</v>
      </c>
      <c r="H327" s="125">
        <v>38927.1</v>
      </c>
      <c r="I327" s="125">
        <v>57586.7</v>
      </c>
      <c r="J327" s="125">
        <v>68132.399999999994</v>
      </c>
      <c r="K327" s="125">
        <v>35923.474999999999</v>
      </c>
      <c r="L327" s="125">
        <v>44227.425000000003</v>
      </c>
      <c r="M327" s="125">
        <v>47369.9</v>
      </c>
      <c r="N327" s="125">
        <v>48789.425000000003</v>
      </c>
      <c r="O327" s="125">
        <v>75038.05</v>
      </c>
      <c r="P327" s="125">
        <v>0</v>
      </c>
      <c r="Q327" s="152"/>
    </row>
    <row r="328" spans="1:21">
      <c r="A328" s="251"/>
      <c r="B328" s="259" t="s">
        <v>141</v>
      </c>
      <c r="C328" s="124" t="s">
        <v>139</v>
      </c>
      <c r="D328" s="125">
        <v>0</v>
      </c>
      <c r="E328" s="125">
        <v>0</v>
      </c>
      <c r="F328" s="125">
        <v>0</v>
      </c>
      <c r="G328" s="125">
        <v>0</v>
      </c>
      <c r="H328" s="125">
        <v>0</v>
      </c>
      <c r="I328" s="125">
        <v>0</v>
      </c>
      <c r="J328" s="125">
        <v>0</v>
      </c>
      <c r="K328" s="125">
        <v>0</v>
      </c>
      <c r="L328" s="125">
        <v>0</v>
      </c>
      <c r="M328" s="125">
        <v>0</v>
      </c>
      <c r="N328" s="125">
        <v>0</v>
      </c>
      <c r="O328" s="125">
        <v>0</v>
      </c>
      <c r="P328" s="125">
        <v>0</v>
      </c>
      <c r="Q328" s="152"/>
    </row>
    <row r="329" spans="1:21">
      <c r="A329" s="250"/>
      <c r="B329" s="250"/>
      <c r="C329" s="124" t="s">
        <v>140</v>
      </c>
      <c r="D329" s="125">
        <v>0</v>
      </c>
      <c r="E329" s="125">
        <v>0</v>
      </c>
      <c r="F329" s="125">
        <v>0</v>
      </c>
      <c r="G329" s="125">
        <v>0</v>
      </c>
      <c r="H329" s="125">
        <v>0</v>
      </c>
      <c r="I329" s="125">
        <v>0</v>
      </c>
      <c r="J329" s="125">
        <v>0</v>
      </c>
      <c r="K329" s="125">
        <v>0</v>
      </c>
      <c r="L329" s="125">
        <v>0</v>
      </c>
      <c r="M329" s="125">
        <v>0</v>
      </c>
      <c r="N329" s="125">
        <v>0</v>
      </c>
      <c r="O329" s="125">
        <v>0</v>
      </c>
      <c r="P329" s="125">
        <v>0</v>
      </c>
      <c r="Q329" s="152"/>
    </row>
    <row r="330" spans="1:21">
      <c r="Q330" s="152"/>
    </row>
    <row r="331" spans="1:21">
      <c r="A331" s="159"/>
      <c r="B331" s="124"/>
      <c r="C331" s="125"/>
      <c r="D331" s="125"/>
      <c r="E331" s="125"/>
      <c r="F331" s="125"/>
      <c r="G331" s="125"/>
      <c r="H331" s="125"/>
      <c r="I331" s="125"/>
      <c r="J331" s="125"/>
      <c r="K331" s="125"/>
      <c r="L331" s="125"/>
      <c r="M331" s="125"/>
      <c r="N331" s="125"/>
      <c r="O331" s="125"/>
      <c r="P331" s="152"/>
      <c r="Q331" s="152"/>
    </row>
    <row r="332" spans="1:21">
      <c r="A332" s="159"/>
      <c r="B332" s="124"/>
      <c r="C332" s="125"/>
      <c r="D332" s="125"/>
      <c r="E332" s="125"/>
      <c r="F332" s="125"/>
      <c r="G332" s="125"/>
      <c r="H332" s="125"/>
      <c r="I332" s="125"/>
      <c r="J332" s="125"/>
      <c r="K332" s="125"/>
      <c r="L332" s="125"/>
      <c r="M332" s="125"/>
      <c r="N332" s="125"/>
      <c r="O332" s="125"/>
      <c r="P332" s="152"/>
      <c r="Q332" s="152"/>
    </row>
    <row r="333" spans="1:21">
      <c r="A333" s="159"/>
      <c r="B333" s="124"/>
      <c r="C333" s="125"/>
      <c r="D333" s="125"/>
      <c r="E333" s="125"/>
      <c r="F333" s="125"/>
      <c r="G333" s="125"/>
      <c r="H333" s="125"/>
      <c r="I333" s="125"/>
      <c r="J333" s="125"/>
      <c r="K333" s="125"/>
      <c r="L333" s="125"/>
      <c r="M333" s="125"/>
      <c r="N333" s="125"/>
      <c r="O333" s="125"/>
      <c r="P333" s="152"/>
      <c r="Q333" s="152"/>
    </row>
    <row r="334" spans="1:21">
      <c r="A334" s="159"/>
      <c r="B334" s="124"/>
      <c r="C334" s="125"/>
      <c r="D334" s="125"/>
      <c r="E334" s="125"/>
      <c r="F334" s="125"/>
      <c r="G334" s="125"/>
      <c r="H334" s="125"/>
      <c r="I334" s="125"/>
      <c r="J334" s="125"/>
      <c r="K334" s="125"/>
      <c r="L334" s="125"/>
      <c r="M334" s="125"/>
      <c r="N334" s="125"/>
      <c r="O334" s="125"/>
      <c r="P334" s="152"/>
      <c r="Q334" s="152"/>
    </row>
    <row r="335" spans="1:21">
      <c r="A335" s="84" t="s">
        <v>175</v>
      </c>
      <c r="C335" s="142" t="str">
        <f>MID(C337,6,1)</f>
        <v>E</v>
      </c>
      <c r="D335" s="142" t="str">
        <f t="shared" ref="D335:O335" si="13">MID(D337,6,1)</f>
        <v>F</v>
      </c>
      <c r="E335" s="142" t="str">
        <f t="shared" si="13"/>
        <v>M</v>
      </c>
      <c r="F335" s="142" t="str">
        <f t="shared" si="13"/>
        <v>A</v>
      </c>
      <c r="G335" s="142" t="str">
        <f t="shared" si="13"/>
        <v>M</v>
      </c>
      <c r="H335" s="142" t="str">
        <f t="shared" si="13"/>
        <v>J</v>
      </c>
      <c r="I335" s="142" t="str">
        <f t="shared" si="13"/>
        <v>J</v>
      </c>
      <c r="J335" s="142" t="str">
        <f t="shared" si="13"/>
        <v>A</v>
      </c>
      <c r="K335" s="142" t="str">
        <f t="shared" si="13"/>
        <v>S</v>
      </c>
      <c r="L335" s="142" t="str">
        <f t="shared" si="13"/>
        <v>O</v>
      </c>
      <c r="M335" s="142" t="str">
        <f t="shared" si="13"/>
        <v>N</v>
      </c>
      <c r="N335" s="142" t="str">
        <f t="shared" si="13"/>
        <v>D</v>
      </c>
      <c r="O335" s="142" t="str">
        <f t="shared" si="13"/>
        <v>E</v>
      </c>
      <c r="P335" s="152"/>
      <c r="Q335" s="152"/>
    </row>
    <row r="336" spans="1:21">
      <c r="A336" s="122"/>
      <c r="B336" s="122" t="s">
        <v>27</v>
      </c>
      <c r="C336" s="258" t="s">
        <v>152</v>
      </c>
      <c r="D336" s="240"/>
      <c r="E336" s="240"/>
      <c r="F336" s="240"/>
      <c r="G336" s="240"/>
      <c r="H336" s="240"/>
      <c r="I336" s="240"/>
      <c r="J336" s="240"/>
      <c r="K336" s="240"/>
      <c r="L336" s="240"/>
      <c r="M336" s="240"/>
      <c r="N336" s="240"/>
      <c r="O336" s="240"/>
      <c r="P336" s="152"/>
      <c r="Q336" s="152"/>
    </row>
    <row r="337" spans="1:22">
      <c r="A337" s="122"/>
      <c r="B337" s="122" t="s">
        <v>86</v>
      </c>
      <c r="C337" s="145" t="s">
        <v>209</v>
      </c>
      <c r="D337" s="145" t="s">
        <v>211</v>
      </c>
      <c r="E337" s="145" t="s">
        <v>214</v>
      </c>
      <c r="F337" s="145" t="s">
        <v>224</v>
      </c>
      <c r="G337" s="145" t="s">
        <v>227</v>
      </c>
      <c r="H337" s="145" t="s">
        <v>229</v>
      </c>
      <c r="I337" s="145" t="s">
        <v>231</v>
      </c>
      <c r="J337" s="145" t="s">
        <v>234</v>
      </c>
      <c r="K337" s="145" t="s">
        <v>237</v>
      </c>
      <c r="L337" s="145" t="s">
        <v>241</v>
      </c>
      <c r="M337" s="145" t="s">
        <v>246</v>
      </c>
      <c r="N337" s="145" t="s">
        <v>249</v>
      </c>
      <c r="O337" s="145" t="s">
        <v>282</v>
      </c>
      <c r="P337" s="152"/>
      <c r="Q337" s="152"/>
    </row>
    <row r="338" spans="1:22">
      <c r="A338" s="122" t="s">
        <v>119</v>
      </c>
      <c r="B338" s="122" t="s">
        <v>120</v>
      </c>
      <c r="C338" s="143"/>
      <c r="D338" s="143"/>
      <c r="E338" s="143"/>
      <c r="F338" s="143"/>
      <c r="G338" s="143"/>
      <c r="H338" s="143"/>
      <c r="I338" s="143"/>
      <c r="J338" s="143"/>
      <c r="K338" s="143"/>
      <c r="L338" s="143"/>
      <c r="M338" s="143"/>
      <c r="N338" s="143"/>
      <c r="O338" s="143"/>
      <c r="P338" s="152"/>
      <c r="Q338" s="152"/>
    </row>
    <row r="339" spans="1:22">
      <c r="A339" s="260" t="s">
        <v>71</v>
      </c>
      <c r="B339" s="124" t="s">
        <v>205</v>
      </c>
      <c r="C339" s="125">
        <v>0</v>
      </c>
      <c r="D339" s="125">
        <v>0</v>
      </c>
      <c r="E339" s="125">
        <v>0</v>
      </c>
      <c r="F339" s="125">
        <v>0</v>
      </c>
      <c r="G339" s="125">
        <v>0</v>
      </c>
      <c r="H339" s="125">
        <v>0</v>
      </c>
      <c r="I339" s="125">
        <v>0</v>
      </c>
      <c r="J339" s="125">
        <v>0</v>
      </c>
      <c r="K339" s="125">
        <v>0</v>
      </c>
      <c r="L339" s="125">
        <v>0</v>
      </c>
      <c r="M339" s="125">
        <v>0</v>
      </c>
      <c r="N339" s="125">
        <v>0</v>
      </c>
      <c r="O339" s="125">
        <v>0</v>
      </c>
      <c r="P339" s="152"/>
      <c r="Q339" s="155"/>
    </row>
    <row r="340" spans="1:22">
      <c r="A340" s="251"/>
      <c r="B340" s="124" t="s">
        <v>73</v>
      </c>
      <c r="C340" s="125">
        <v>14285</v>
      </c>
      <c r="D340" s="125">
        <v>20485</v>
      </c>
      <c r="E340" s="125">
        <v>7623.75</v>
      </c>
      <c r="F340" s="125">
        <v>3547.56</v>
      </c>
      <c r="G340" s="125">
        <v>0</v>
      </c>
      <c r="H340" s="125">
        <v>9705</v>
      </c>
      <c r="I340" s="125">
        <v>3130</v>
      </c>
      <c r="J340" s="125">
        <v>0</v>
      </c>
      <c r="K340" s="125">
        <v>3588.75</v>
      </c>
      <c r="L340" s="125">
        <v>6311.25</v>
      </c>
      <c r="M340" s="125">
        <v>165</v>
      </c>
      <c r="N340" s="125">
        <v>421.8</v>
      </c>
      <c r="O340" s="125">
        <v>1340.95</v>
      </c>
      <c r="P340" s="152"/>
      <c r="Q340" s="152"/>
    </row>
    <row r="341" spans="1:22">
      <c r="A341" s="251"/>
      <c r="B341" s="124" t="s">
        <v>23</v>
      </c>
      <c r="C341" s="125">
        <v>451588.02500000002</v>
      </c>
      <c r="D341" s="125">
        <v>797594.67099999997</v>
      </c>
      <c r="E341" s="125">
        <v>640773.63699999999</v>
      </c>
      <c r="F341" s="125">
        <v>339272.77500000002</v>
      </c>
      <c r="G341" s="125">
        <v>190030.19</v>
      </c>
      <c r="H341" s="125">
        <v>486259.94</v>
      </c>
      <c r="I341" s="125">
        <v>438078.424</v>
      </c>
      <c r="J341" s="125">
        <v>365321.88400000002</v>
      </c>
      <c r="K341" s="125">
        <v>477468.94300000003</v>
      </c>
      <c r="L341" s="125">
        <v>388843.01699999999</v>
      </c>
      <c r="M341" s="125">
        <v>137334.99900000001</v>
      </c>
      <c r="N341" s="125">
        <v>144683.02499999999</v>
      </c>
      <c r="O341" s="125">
        <v>225562.05</v>
      </c>
      <c r="P341" s="152"/>
      <c r="Q341" s="152"/>
    </row>
    <row r="342" spans="1:22">
      <c r="A342" s="251"/>
      <c r="B342" s="124" t="s">
        <v>80</v>
      </c>
      <c r="C342" s="125">
        <v>0</v>
      </c>
      <c r="D342" s="125">
        <v>0</v>
      </c>
      <c r="E342" s="125">
        <v>0</v>
      </c>
      <c r="F342" s="125">
        <v>0</v>
      </c>
      <c r="G342" s="125">
        <v>48.424999999999997</v>
      </c>
      <c r="H342" s="125">
        <v>0</v>
      </c>
      <c r="I342" s="125">
        <v>0</v>
      </c>
      <c r="J342" s="125">
        <v>0</v>
      </c>
      <c r="K342" s="125">
        <v>0</v>
      </c>
      <c r="L342" s="125">
        <v>0</v>
      </c>
      <c r="M342" s="125">
        <v>0</v>
      </c>
      <c r="N342" s="125">
        <v>16.5</v>
      </c>
      <c r="O342" s="125">
        <v>0</v>
      </c>
      <c r="P342" s="152"/>
      <c r="Q342" s="152"/>
    </row>
    <row r="343" spans="1:22">
      <c r="A343" s="251"/>
      <c r="B343" s="124" t="s">
        <v>74</v>
      </c>
      <c r="C343" s="125">
        <v>1875</v>
      </c>
      <c r="D343" s="125">
        <v>2238.683</v>
      </c>
      <c r="E343" s="125">
        <v>5818.2749999999996</v>
      </c>
      <c r="F343" s="125">
        <v>2631.1329999999998</v>
      </c>
      <c r="G343" s="125">
        <v>948.5</v>
      </c>
      <c r="H343" s="125">
        <v>12797.075000000001</v>
      </c>
      <c r="I343" s="125">
        <v>12438.968000000001</v>
      </c>
      <c r="J343" s="125">
        <v>7902.0079999999998</v>
      </c>
      <c r="K343" s="125">
        <v>3616.067</v>
      </c>
      <c r="L343" s="125">
        <v>10614.259</v>
      </c>
      <c r="M343" s="125">
        <v>2955</v>
      </c>
      <c r="N343" s="125">
        <v>596.20000000000005</v>
      </c>
      <c r="O343" s="125">
        <v>6614.0829999999996</v>
      </c>
      <c r="P343" s="152"/>
      <c r="Q343" s="152"/>
    </row>
    <row r="344" spans="1:22">
      <c r="A344" s="251"/>
      <c r="B344" s="124" t="s">
        <v>83</v>
      </c>
      <c r="C344" s="125">
        <v>40</v>
      </c>
      <c r="D344" s="125">
        <v>1099.2</v>
      </c>
      <c r="E344" s="125">
        <v>729.7</v>
      </c>
      <c r="F344" s="125">
        <v>554.1</v>
      </c>
      <c r="G344" s="125">
        <v>910.22500000000002</v>
      </c>
      <c r="H344" s="125">
        <v>984</v>
      </c>
      <c r="I344" s="125">
        <v>2865.4</v>
      </c>
      <c r="J344" s="125">
        <v>1132.875</v>
      </c>
      <c r="K344" s="125">
        <v>479.1</v>
      </c>
      <c r="L344" s="125">
        <v>621.32500000000005</v>
      </c>
      <c r="M344" s="125">
        <v>399</v>
      </c>
      <c r="N344" s="125">
        <v>0</v>
      </c>
      <c r="O344" s="125">
        <v>1193</v>
      </c>
      <c r="P344" s="152"/>
      <c r="Q344" s="152"/>
    </row>
    <row r="345" spans="1:22">
      <c r="A345" s="251"/>
      <c r="B345" s="124" t="s">
        <v>77</v>
      </c>
      <c r="C345" s="125">
        <v>0</v>
      </c>
      <c r="D345" s="125">
        <v>0</v>
      </c>
      <c r="E345" s="125">
        <v>0</v>
      </c>
      <c r="F345" s="125">
        <v>0</v>
      </c>
      <c r="G345" s="125">
        <v>5.8</v>
      </c>
      <c r="H345" s="125">
        <v>0</v>
      </c>
      <c r="I345" s="125">
        <v>54.15</v>
      </c>
      <c r="J345" s="125">
        <v>137.5</v>
      </c>
      <c r="K345" s="125">
        <v>0</v>
      </c>
      <c r="L345" s="125">
        <v>0</v>
      </c>
      <c r="M345" s="125">
        <v>0</v>
      </c>
      <c r="N345" s="125">
        <v>0</v>
      </c>
      <c r="O345" s="125">
        <v>0</v>
      </c>
      <c r="P345" s="152"/>
      <c r="Q345" s="152"/>
    </row>
    <row r="346" spans="1:22">
      <c r="A346" s="251"/>
      <c r="B346" s="124" t="s">
        <v>206</v>
      </c>
      <c r="C346" s="125">
        <v>0</v>
      </c>
      <c r="D346" s="125">
        <v>0</v>
      </c>
      <c r="E346" s="125">
        <v>0</v>
      </c>
      <c r="F346" s="125">
        <v>0</v>
      </c>
      <c r="G346" s="125">
        <v>0</v>
      </c>
      <c r="H346" s="125">
        <v>0</v>
      </c>
      <c r="I346" s="125">
        <v>0</v>
      </c>
      <c r="J346" s="125">
        <v>0</v>
      </c>
      <c r="K346" s="125">
        <v>0</v>
      </c>
      <c r="L346" s="125">
        <v>0</v>
      </c>
      <c r="M346" s="125">
        <v>0</v>
      </c>
      <c r="N346" s="125">
        <v>0</v>
      </c>
      <c r="O346" s="125">
        <v>0</v>
      </c>
      <c r="P346" s="152"/>
      <c r="Q346" s="152"/>
    </row>
    <row r="347" spans="1:22">
      <c r="A347" s="251"/>
      <c r="B347" s="124" t="s">
        <v>19</v>
      </c>
      <c r="C347" s="125">
        <v>0</v>
      </c>
      <c r="D347" s="125">
        <v>2</v>
      </c>
      <c r="E347" s="125">
        <v>481.66699999999997</v>
      </c>
      <c r="F347" s="125">
        <v>5753.75</v>
      </c>
      <c r="G347" s="125">
        <v>7951.9669999999996</v>
      </c>
      <c r="H347" s="125">
        <v>7231.6369999999997</v>
      </c>
      <c r="I347" s="125">
        <v>502</v>
      </c>
      <c r="J347" s="125">
        <v>455</v>
      </c>
      <c r="K347" s="125">
        <v>0</v>
      </c>
      <c r="L347" s="125">
        <v>5425.1909999999998</v>
      </c>
      <c r="M347" s="125">
        <v>20969.683000000001</v>
      </c>
      <c r="N347" s="125">
        <v>5425.7330000000002</v>
      </c>
      <c r="O347" s="125">
        <v>4712.3</v>
      </c>
      <c r="P347" s="152"/>
      <c r="Q347" s="153"/>
    </row>
    <row r="348" spans="1:22">
      <c r="A348" s="251"/>
      <c r="B348" s="124" t="s">
        <v>169</v>
      </c>
      <c r="C348" s="125">
        <v>0</v>
      </c>
      <c r="D348" s="125">
        <v>0</v>
      </c>
      <c r="E348" s="125">
        <v>0</v>
      </c>
      <c r="F348" s="125">
        <v>0</v>
      </c>
      <c r="G348" s="125">
        <v>0</v>
      </c>
      <c r="H348" s="125">
        <v>0</v>
      </c>
      <c r="I348" s="125">
        <v>0</v>
      </c>
      <c r="J348" s="125">
        <v>0</v>
      </c>
      <c r="K348" s="125">
        <v>0</v>
      </c>
      <c r="L348" s="125">
        <v>0</v>
      </c>
      <c r="M348" s="125">
        <v>0</v>
      </c>
      <c r="N348" s="125">
        <v>0</v>
      </c>
      <c r="O348" s="125">
        <v>0</v>
      </c>
      <c r="P348" s="152"/>
      <c r="Q348" s="153"/>
    </row>
    <row r="349" spans="1:22">
      <c r="A349" s="251"/>
      <c r="B349" s="124" t="s">
        <v>84</v>
      </c>
      <c r="C349" s="125">
        <v>0</v>
      </c>
      <c r="D349" s="125">
        <v>0</v>
      </c>
      <c r="E349" s="125">
        <v>0</v>
      </c>
      <c r="F349" s="125">
        <v>0</v>
      </c>
      <c r="G349" s="125">
        <v>0</v>
      </c>
      <c r="H349" s="125">
        <v>801.6</v>
      </c>
      <c r="I349" s="125">
        <v>0</v>
      </c>
      <c r="J349" s="125">
        <v>471.21699999999998</v>
      </c>
      <c r="K349" s="125">
        <v>0</v>
      </c>
      <c r="L349" s="125">
        <v>71.599999999999994</v>
      </c>
      <c r="M349" s="125">
        <v>0</v>
      </c>
      <c r="N349" s="125">
        <v>0</v>
      </c>
      <c r="O349" s="125">
        <v>0</v>
      </c>
      <c r="P349" s="152"/>
      <c r="Q349" s="160"/>
      <c r="R349" s="160"/>
      <c r="S349" s="160"/>
      <c r="T349" s="160"/>
      <c r="U349" s="160"/>
      <c r="V349" s="160"/>
    </row>
    <row r="350" spans="1:22">
      <c r="A350" s="251"/>
      <c r="B350" s="124" t="s">
        <v>72</v>
      </c>
      <c r="C350" s="125">
        <v>0</v>
      </c>
      <c r="D350" s="125">
        <v>0</v>
      </c>
      <c r="E350" s="125">
        <v>0</v>
      </c>
      <c r="F350" s="125">
        <v>4387.5</v>
      </c>
      <c r="G350" s="125">
        <v>0</v>
      </c>
      <c r="H350" s="125">
        <v>0</v>
      </c>
      <c r="I350" s="125">
        <v>0</v>
      </c>
      <c r="J350" s="125">
        <v>0</v>
      </c>
      <c r="K350" s="125">
        <v>0</v>
      </c>
      <c r="L350" s="125">
        <v>0</v>
      </c>
      <c r="M350" s="125">
        <v>0</v>
      </c>
      <c r="N350" s="125">
        <v>0</v>
      </c>
      <c r="O350" s="125">
        <v>0</v>
      </c>
      <c r="P350" s="152"/>
      <c r="Q350" s="160"/>
      <c r="R350" s="160"/>
      <c r="S350" s="160"/>
      <c r="T350" s="160"/>
      <c r="U350" s="160"/>
      <c r="V350" s="160"/>
    </row>
    <row r="351" spans="1:22">
      <c r="A351" s="251"/>
      <c r="B351" s="124" t="s">
        <v>81</v>
      </c>
      <c r="C351" s="125">
        <v>0</v>
      </c>
      <c r="D351" s="125">
        <v>0</v>
      </c>
      <c r="E351" s="125">
        <v>6</v>
      </c>
      <c r="F351" s="125">
        <v>0</v>
      </c>
      <c r="G351" s="125">
        <v>5.5</v>
      </c>
      <c r="H351" s="125">
        <v>0</v>
      </c>
      <c r="I351" s="125">
        <v>0</v>
      </c>
      <c r="J351" s="125">
        <v>0</v>
      </c>
      <c r="K351" s="125">
        <v>0</v>
      </c>
      <c r="L351" s="125">
        <v>0</v>
      </c>
      <c r="M351" s="125">
        <v>0</v>
      </c>
      <c r="N351" s="125">
        <v>0</v>
      </c>
      <c r="O351" s="125">
        <v>0</v>
      </c>
      <c r="P351" s="152"/>
      <c r="Q351" s="160"/>
      <c r="R351" s="160"/>
      <c r="S351" s="160"/>
      <c r="T351" s="160"/>
      <c r="U351" s="160"/>
      <c r="V351" s="160"/>
    </row>
    <row r="352" spans="1:22">
      <c r="A352" s="251"/>
      <c r="B352" s="124" t="s">
        <v>85</v>
      </c>
      <c r="C352" s="125">
        <v>0</v>
      </c>
      <c r="D352" s="125">
        <v>0</v>
      </c>
      <c r="E352" s="125">
        <v>0</v>
      </c>
      <c r="F352" s="125">
        <v>0</v>
      </c>
      <c r="G352" s="125">
        <v>0</v>
      </c>
      <c r="H352" s="125">
        <v>0</v>
      </c>
      <c r="I352" s="125">
        <v>0</v>
      </c>
      <c r="J352" s="125">
        <v>0</v>
      </c>
      <c r="K352" s="125">
        <v>0</v>
      </c>
      <c r="L352" s="125">
        <v>0</v>
      </c>
      <c r="M352" s="125">
        <v>0</v>
      </c>
      <c r="N352" s="125">
        <v>0</v>
      </c>
      <c r="O352" s="125">
        <v>0</v>
      </c>
      <c r="P352" s="152"/>
      <c r="Q352" s="160"/>
      <c r="R352" s="160"/>
      <c r="S352" s="160"/>
      <c r="T352" s="160"/>
      <c r="U352" s="160"/>
      <c r="V352" s="160"/>
    </row>
    <row r="353" spans="1:22">
      <c r="A353" s="251"/>
      <c r="B353" s="124" t="s">
        <v>78</v>
      </c>
      <c r="C353" s="125">
        <v>0.27500000000000002</v>
      </c>
      <c r="D353" s="125">
        <v>0</v>
      </c>
      <c r="E353" s="125">
        <v>0.17499999999999999</v>
      </c>
      <c r="F353" s="125">
        <v>0</v>
      </c>
      <c r="G353" s="125">
        <v>3.5</v>
      </c>
      <c r="H353" s="125">
        <v>1.425</v>
      </c>
      <c r="I353" s="125">
        <v>0.75</v>
      </c>
      <c r="J353" s="125">
        <v>3.6749999999999998</v>
      </c>
      <c r="K353" s="125">
        <v>0</v>
      </c>
      <c r="L353" s="125">
        <v>0.15</v>
      </c>
      <c r="M353" s="125">
        <v>0</v>
      </c>
      <c r="N353" s="125">
        <v>0</v>
      </c>
      <c r="O353" s="125">
        <v>0</v>
      </c>
      <c r="P353" s="152"/>
      <c r="Q353" s="160"/>
      <c r="R353" s="160"/>
      <c r="S353" s="160"/>
      <c r="T353" s="160"/>
      <c r="U353" s="160"/>
      <c r="V353" s="160"/>
    </row>
    <row r="354" spans="1:22">
      <c r="A354" s="251"/>
      <c r="B354" s="124" t="s">
        <v>79</v>
      </c>
      <c r="C354" s="125">
        <v>0</v>
      </c>
      <c r="D354" s="125">
        <v>0</v>
      </c>
      <c r="E354" s="125">
        <v>0</v>
      </c>
      <c r="F354" s="125">
        <v>0</v>
      </c>
      <c r="G354" s="125">
        <v>0</v>
      </c>
      <c r="H354" s="125">
        <v>0</v>
      </c>
      <c r="I354" s="125">
        <v>0</v>
      </c>
      <c r="J354" s="125">
        <v>0</v>
      </c>
      <c r="K354" s="125">
        <v>0</v>
      </c>
      <c r="L354" s="125">
        <v>0</v>
      </c>
      <c r="M354" s="125">
        <v>0</v>
      </c>
      <c r="N354" s="125">
        <v>0</v>
      </c>
      <c r="O354" s="125">
        <v>0</v>
      </c>
      <c r="P354" s="153">
        <f>O357/C357-1</f>
        <v>-0.47000919729796509</v>
      </c>
      <c r="Q354" s="160"/>
      <c r="R354" s="160"/>
      <c r="S354" s="160"/>
      <c r="T354" s="160"/>
      <c r="U354" s="160"/>
      <c r="V354" s="160"/>
    </row>
    <row r="355" spans="1:22">
      <c r="A355" s="251"/>
      <c r="B355" s="124" t="s">
        <v>233</v>
      </c>
      <c r="C355" s="125">
        <v>0</v>
      </c>
      <c r="D355" s="125">
        <v>0</v>
      </c>
      <c r="E355" s="125">
        <v>0</v>
      </c>
      <c r="F355" s="125">
        <v>0</v>
      </c>
      <c r="G355" s="125">
        <v>0</v>
      </c>
      <c r="H355" s="125">
        <v>0</v>
      </c>
      <c r="I355" s="125">
        <v>22</v>
      </c>
      <c r="J355" s="125">
        <v>0</v>
      </c>
      <c r="K355" s="125">
        <v>0</v>
      </c>
      <c r="L355" s="125">
        <v>0</v>
      </c>
      <c r="M355" s="125">
        <v>0</v>
      </c>
      <c r="N355" s="125">
        <v>1007.875</v>
      </c>
      <c r="O355" s="125">
        <v>222.07499999999999</v>
      </c>
      <c r="P355" s="153"/>
      <c r="Q355" s="160"/>
      <c r="R355" s="160"/>
      <c r="S355" s="160"/>
      <c r="T355" s="160"/>
      <c r="U355" s="160"/>
      <c r="V355" s="160"/>
    </row>
    <row r="356" spans="1:22">
      <c r="A356" s="251"/>
      <c r="B356" s="124" t="s">
        <v>76</v>
      </c>
      <c r="C356" s="125">
        <v>66.5</v>
      </c>
      <c r="D356" s="125">
        <v>1200</v>
      </c>
      <c r="E356" s="125">
        <v>1179.3330000000001</v>
      </c>
      <c r="F356" s="125">
        <v>497.25</v>
      </c>
      <c r="G356" s="125">
        <v>325</v>
      </c>
      <c r="H356" s="125">
        <v>860</v>
      </c>
      <c r="I356" s="125">
        <v>2186.4</v>
      </c>
      <c r="J356" s="125">
        <v>4850.1750000000002</v>
      </c>
      <c r="K356" s="125">
        <v>9429.009</v>
      </c>
      <c r="L356" s="125">
        <v>4580.5249999999996</v>
      </c>
      <c r="M356" s="125">
        <v>1509.3330000000001</v>
      </c>
      <c r="N356" s="125">
        <v>2219.7420000000002</v>
      </c>
      <c r="O356" s="125">
        <v>8314.2829999999994</v>
      </c>
      <c r="P356" s="152"/>
      <c r="Q356" s="160"/>
      <c r="R356" s="160"/>
      <c r="S356" s="160"/>
      <c r="T356" s="160"/>
      <c r="U356" s="160"/>
      <c r="V356" s="160"/>
    </row>
    <row r="357" spans="1:22">
      <c r="A357" s="250"/>
      <c r="B357" s="183" t="s">
        <v>0</v>
      </c>
      <c r="C357" s="195">
        <v>467854.8</v>
      </c>
      <c r="D357" s="195">
        <v>822619.554</v>
      </c>
      <c r="E357" s="195">
        <v>656612.53700000001</v>
      </c>
      <c r="F357" s="195">
        <v>356644.06800000003</v>
      </c>
      <c r="G357" s="195">
        <v>200229.10699999999</v>
      </c>
      <c r="H357" s="195">
        <v>518640.67700000003</v>
      </c>
      <c r="I357" s="195">
        <v>459278.092</v>
      </c>
      <c r="J357" s="195">
        <v>380274.33399999997</v>
      </c>
      <c r="K357" s="195">
        <v>494581.86900000001</v>
      </c>
      <c r="L357" s="195">
        <v>416467.31699999998</v>
      </c>
      <c r="M357" s="195">
        <v>163333.01500000001</v>
      </c>
      <c r="N357" s="195">
        <v>154370.875</v>
      </c>
      <c r="O357" s="195">
        <v>247958.74100000001</v>
      </c>
      <c r="P357" s="152"/>
      <c r="Q357" s="160"/>
      <c r="R357" s="160"/>
      <c r="S357" s="160"/>
      <c r="T357" s="160"/>
      <c r="U357" s="160"/>
      <c r="V357" s="160"/>
    </row>
    <row r="358" spans="1:22">
      <c r="A358" s="261" t="s">
        <v>75</v>
      </c>
      <c r="B358" s="124" t="s">
        <v>205</v>
      </c>
      <c r="C358" s="125">
        <v>0</v>
      </c>
      <c r="D358" s="125">
        <v>0</v>
      </c>
      <c r="E358" s="125">
        <v>0</v>
      </c>
      <c r="F358" s="125">
        <v>0</v>
      </c>
      <c r="G358" s="125">
        <v>0</v>
      </c>
      <c r="H358" s="125">
        <v>0</v>
      </c>
      <c r="I358" s="125">
        <v>0</v>
      </c>
      <c r="J358" s="125">
        <v>0</v>
      </c>
      <c r="K358" s="125">
        <v>0</v>
      </c>
      <c r="L358" s="125">
        <v>0</v>
      </c>
      <c r="M358" s="125">
        <v>0</v>
      </c>
      <c r="N358" s="125">
        <v>0</v>
      </c>
      <c r="O358" s="125">
        <v>0</v>
      </c>
      <c r="P358" s="152"/>
      <c r="Q358" s="160"/>
      <c r="R358" s="160"/>
      <c r="S358" s="160"/>
      <c r="T358" s="160"/>
      <c r="U358" s="160"/>
      <c r="V358" s="160"/>
    </row>
    <row r="359" spans="1:22">
      <c r="A359" s="251"/>
      <c r="B359" s="124" t="s">
        <v>73</v>
      </c>
      <c r="C359" s="125">
        <v>0</v>
      </c>
      <c r="D359" s="125">
        <v>0</v>
      </c>
      <c r="E359" s="125">
        <v>120</v>
      </c>
      <c r="F359" s="125">
        <v>0</v>
      </c>
      <c r="G359" s="125">
        <v>0</v>
      </c>
      <c r="H359" s="125">
        <v>0</v>
      </c>
      <c r="I359" s="125">
        <v>0</v>
      </c>
      <c r="J359" s="125">
        <v>0</v>
      </c>
      <c r="K359" s="125">
        <v>0</v>
      </c>
      <c r="L359" s="125">
        <v>0</v>
      </c>
      <c r="M359" s="125">
        <v>0</v>
      </c>
      <c r="N359" s="125">
        <v>0</v>
      </c>
      <c r="O359" s="125">
        <v>0</v>
      </c>
      <c r="P359" s="152"/>
      <c r="Q359" s="160"/>
      <c r="R359" s="160"/>
      <c r="S359" s="160"/>
      <c r="T359" s="160"/>
      <c r="U359" s="160"/>
      <c r="V359" s="160"/>
    </row>
    <row r="360" spans="1:22">
      <c r="A360" s="251"/>
      <c r="B360" s="124" t="s">
        <v>23</v>
      </c>
      <c r="C360" s="125">
        <v>690.8</v>
      </c>
      <c r="D360" s="125">
        <v>0</v>
      </c>
      <c r="E360" s="125">
        <v>7.65</v>
      </c>
      <c r="F360" s="125">
        <v>139.28299999999999</v>
      </c>
      <c r="G360" s="125">
        <v>2.5000000000000001E-2</v>
      </c>
      <c r="H360" s="125">
        <v>625.5</v>
      </c>
      <c r="I360" s="125">
        <v>3000.125</v>
      </c>
      <c r="J360" s="125">
        <v>1021.775</v>
      </c>
      <c r="K360" s="125">
        <v>3133.625</v>
      </c>
      <c r="L360" s="125">
        <v>12633.041999999999</v>
      </c>
      <c r="M360" s="125">
        <v>572.625</v>
      </c>
      <c r="N360" s="125">
        <v>1128.8</v>
      </c>
      <c r="O360" s="125">
        <v>1669.25</v>
      </c>
      <c r="P360" s="152"/>
      <c r="Q360" s="160"/>
      <c r="R360" s="160"/>
      <c r="S360" s="160"/>
      <c r="T360" s="160"/>
      <c r="U360" s="160"/>
      <c r="V360" s="160"/>
    </row>
    <row r="361" spans="1:22">
      <c r="A361" s="251"/>
      <c r="B361" s="124" t="s">
        <v>80</v>
      </c>
      <c r="C361" s="125">
        <v>17.097000000000001</v>
      </c>
      <c r="D361" s="125">
        <v>18.25</v>
      </c>
      <c r="E361" s="125">
        <v>352.702</v>
      </c>
      <c r="F361" s="125">
        <v>1314.1389999999999</v>
      </c>
      <c r="G361" s="125">
        <v>893.82399999999996</v>
      </c>
      <c r="H361" s="125">
        <v>2378.8139999999999</v>
      </c>
      <c r="I361" s="125">
        <v>6273.4949999999999</v>
      </c>
      <c r="J361" s="125">
        <v>4302.4539999999997</v>
      </c>
      <c r="K361" s="125">
        <v>2024.335</v>
      </c>
      <c r="L361" s="125">
        <v>2029.9390000000001</v>
      </c>
      <c r="M361" s="125">
        <v>273.53800000000001</v>
      </c>
      <c r="N361" s="125">
        <v>377.13200000000001</v>
      </c>
      <c r="O361" s="125">
        <v>786.62800000000004</v>
      </c>
      <c r="P361" s="152"/>
      <c r="Q361" s="160"/>
      <c r="R361" s="160"/>
      <c r="S361" s="160"/>
      <c r="T361" s="160"/>
      <c r="U361" s="160"/>
      <c r="V361" s="160"/>
    </row>
    <row r="362" spans="1:22">
      <c r="A362" s="251"/>
      <c r="B362" s="124" t="s">
        <v>74</v>
      </c>
      <c r="C362" s="125">
        <v>14398.216</v>
      </c>
      <c r="D362" s="125">
        <v>2875.8339999999998</v>
      </c>
      <c r="E362" s="125">
        <v>1714.424</v>
      </c>
      <c r="F362" s="125">
        <v>2159.3330000000001</v>
      </c>
      <c r="G362" s="125">
        <v>5583.5</v>
      </c>
      <c r="H362" s="125">
        <v>2946.4760000000001</v>
      </c>
      <c r="I362" s="125">
        <v>3981.25</v>
      </c>
      <c r="J362" s="125">
        <v>6001.4319999999998</v>
      </c>
      <c r="K362" s="125">
        <v>3894.6080000000002</v>
      </c>
      <c r="L362" s="125">
        <v>15149.841</v>
      </c>
      <c r="M362" s="125">
        <v>10963.05</v>
      </c>
      <c r="N362" s="125">
        <v>25532.89</v>
      </c>
      <c r="O362" s="125">
        <v>14325.141</v>
      </c>
      <c r="P362" s="152"/>
      <c r="Q362" s="160"/>
      <c r="R362" s="160"/>
      <c r="S362" s="160"/>
      <c r="T362" s="160"/>
      <c r="U362" s="160"/>
      <c r="V362" s="160"/>
    </row>
    <row r="363" spans="1:22">
      <c r="A363" s="251"/>
      <c r="B363" s="124" t="s">
        <v>83</v>
      </c>
      <c r="C363" s="125">
        <v>0</v>
      </c>
      <c r="D363" s="125">
        <v>0</v>
      </c>
      <c r="E363" s="125">
        <v>30.225000000000001</v>
      </c>
      <c r="F363" s="125">
        <v>42.7</v>
      </c>
      <c r="G363" s="125">
        <v>0</v>
      </c>
      <c r="H363" s="125">
        <v>0</v>
      </c>
      <c r="I363" s="125">
        <v>17.925000000000001</v>
      </c>
      <c r="J363" s="125">
        <v>13.3</v>
      </c>
      <c r="K363" s="125">
        <v>0</v>
      </c>
      <c r="L363" s="125">
        <v>0.1</v>
      </c>
      <c r="M363" s="125">
        <v>40</v>
      </c>
      <c r="N363" s="125">
        <v>0</v>
      </c>
      <c r="O363" s="125">
        <v>0</v>
      </c>
      <c r="P363" s="152"/>
      <c r="Q363" s="160"/>
      <c r="R363" s="160"/>
      <c r="S363" s="160"/>
      <c r="T363" s="160"/>
      <c r="U363" s="160"/>
      <c r="V363" s="160"/>
    </row>
    <row r="364" spans="1:22">
      <c r="A364" s="251"/>
      <c r="B364" s="124" t="s">
        <v>77</v>
      </c>
      <c r="C364" s="125">
        <v>16272.343999999999</v>
      </c>
      <c r="D364" s="125">
        <v>5190.7349999999997</v>
      </c>
      <c r="E364" s="125">
        <v>21109.850999999999</v>
      </c>
      <c r="F364" s="125">
        <v>10600.206</v>
      </c>
      <c r="G364" s="125">
        <v>15107.638999999999</v>
      </c>
      <c r="H364" s="125">
        <v>13384.953</v>
      </c>
      <c r="I364" s="125">
        <v>131985.40100000001</v>
      </c>
      <c r="J364" s="125">
        <v>53466.71</v>
      </c>
      <c r="K364" s="125">
        <v>31702.144</v>
      </c>
      <c r="L364" s="125">
        <v>78564.706000000006</v>
      </c>
      <c r="M364" s="125">
        <v>31349.627</v>
      </c>
      <c r="N364" s="125">
        <v>41919.404000000002</v>
      </c>
      <c r="O364" s="125">
        <v>19118.609</v>
      </c>
      <c r="P364" s="152"/>
      <c r="Q364" s="160"/>
      <c r="R364" s="160"/>
      <c r="S364" s="160"/>
      <c r="T364" s="160"/>
      <c r="U364" s="160"/>
      <c r="V364" s="160"/>
    </row>
    <row r="365" spans="1:22">
      <c r="A365" s="251"/>
      <c r="B365" s="124" t="s">
        <v>206</v>
      </c>
      <c r="C365" s="125">
        <v>4.125</v>
      </c>
      <c r="D365" s="125">
        <v>14.95</v>
      </c>
      <c r="E365" s="125">
        <v>639.66700000000003</v>
      </c>
      <c r="F365" s="125">
        <v>1319.4960000000001</v>
      </c>
      <c r="G365" s="125">
        <v>943.077</v>
      </c>
      <c r="H365" s="125">
        <v>2505.9189999999999</v>
      </c>
      <c r="I365" s="125">
        <v>4386.8270000000002</v>
      </c>
      <c r="J365" s="125">
        <v>1433.252</v>
      </c>
      <c r="K365" s="125">
        <v>1680.0920000000001</v>
      </c>
      <c r="L365" s="125">
        <v>3212.7779999999998</v>
      </c>
      <c r="M365" s="125">
        <v>1972.2629999999999</v>
      </c>
      <c r="N365" s="125">
        <v>1066.75</v>
      </c>
      <c r="O365" s="125">
        <v>3403.2849999999999</v>
      </c>
      <c r="P365" s="152"/>
      <c r="Q365" s="160"/>
      <c r="R365" s="160"/>
      <c r="S365" s="160"/>
      <c r="T365" s="160"/>
      <c r="U365" s="160"/>
      <c r="V365" s="160"/>
    </row>
    <row r="366" spans="1:22">
      <c r="A366" s="251"/>
      <c r="B366" s="124" t="s">
        <v>19</v>
      </c>
      <c r="C366" s="125">
        <v>735.99199999999996</v>
      </c>
      <c r="D366" s="125">
        <v>42.469000000000001</v>
      </c>
      <c r="E366" s="125">
        <v>65.772999999999996</v>
      </c>
      <c r="F366" s="125">
        <v>2249.5949999999998</v>
      </c>
      <c r="G366" s="125">
        <v>2043.925</v>
      </c>
      <c r="H366" s="125">
        <v>3560.598</v>
      </c>
      <c r="I366" s="125">
        <v>5141.38</v>
      </c>
      <c r="J366" s="125">
        <v>5499.3530000000001</v>
      </c>
      <c r="K366" s="125">
        <v>188.095</v>
      </c>
      <c r="L366" s="125">
        <v>505.98399999999998</v>
      </c>
      <c r="M366" s="125">
        <v>150.90899999999999</v>
      </c>
      <c r="N366" s="125">
        <v>733.23500000000001</v>
      </c>
      <c r="O366" s="125">
        <v>800.19</v>
      </c>
      <c r="P366" s="152"/>
      <c r="Q366" s="160"/>
      <c r="R366" s="160"/>
      <c r="S366" s="160"/>
      <c r="T366" s="160"/>
      <c r="U366" s="160"/>
      <c r="V366" s="160"/>
    </row>
    <row r="367" spans="1:22">
      <c r="A367" s="251"/>
      <c r="B367" s="124" t="s">
        <v>169</v>
      </c>
      <c r="C367" s="125">
        <v>0</v>
      </c>
      <c r="D367" s="125">
        <v>0</v>
      </c>
      <c r="E367" s="125">
        <v>0</v>
      </c>
      <c r="F367" s="125">
        <v>0</v>
      </c>
      <c r="G367" s="125">
        <v>0</v>
      </c>
      <c r="H367" s="125">
        <v>0</v>
      </c>
      <c r="I367" s="125">
        <v>0</v>
      </c>
      <c r="J367" s="125">
        <v>0</v>
      </c>
      <c r="K367" s="125">
        <v>0</v>
      </c>
      <c r="L367" s="125">
        <v>0</v>
      </c>
      <c r="M367" s="125">
        <v>0</v>
      </c>
      <c r="N367" s="125">
        <v>0</v>
      </c>
      <c r="O367" s="125">
        <v>0</v>
      </c>
      <c r="P367" s="152"/>
      <c r="Q367" s="160"/>
      <c r="R367" s="160"/>
      <c r="S367" s="160"/>
      <c r="T367" s="160"/>
      <c r="U367" s="160"/>
      <c r="V367" s="160"/>
    </row>
    <row r="368" spans="1:22">
      <c r="A368" s="251"/>
      <c r="B368" s="124" t="s">
        <v>84</v>
      </c>
      <c r="C368" s="125">
        <v>0</v>
      </c>
      <c r="D368" s="125">
        <v>0</v>
      </c>
      <c r="E368" s="125">
        <v>0</v>
      </c>
      <c r="F368" s="125">
        <v>0</v>
      </c>
      <c r="G368" s="125">
        <v>0</v>
      </c>
      <c r="H368" s="125">
        <v>0</v>
      </c>
      <c r="I368" s="125">
        <v>0</v>
      </c>
      <c r="J368" s="125">
        <v>0</v>
      </c>
      <c r="K368" s="125">
        <v>0</v>
      </c>
      <c r="L368" s="125">
        <v>0</v>
      </c>
      <c r="M368" s="125">
        <v>0</v>
      </c>
      <c r="N368" s="125">
        <v>0</v>
      </c>
      <c r="O368" s="125">
        <v>0</v>
      </c>
      <c r="P368" s="152"/>
      <c r="Q368" s="160"/>
      <c r="R368" s="160"/>
      <c r="S368" s="160"/>
      <c r="T368" s="160"/>
      <c r="U368" s="160"/>
      <c r="V368" s="160"/>
    </row>
    <row r="369" spans="1:17">
      <c r="A369" s="251"/>
      <c r="B369" s="124" t="s">
        <v>72</v>
      </c>
      <c r="C369" s="125">
        <v>0</v>
      </c>
      <c r="D369" s="125">
        <v>0</v>
      </c>
      <c r="E369" s="125">
        <v>0</v>
      </c>
      <c r="F369" s="125">
        <v>0</v>
      </c>
      <c r="G369" s="125">
        <v>0</v>
      </c>
      <c r="H369" s="125">
        <v>0</v>
      </c>
      <c r="I369" s="125">
        <v>0</v>
      </c>
      <c r="J369" s="125">
        <v>0</v>
      </c>
      <c r="K369" s="125">
        <v>0</v>
      </c>
      <c r="L369" s="125">
        <v>0</v>
      </c>
      <c r="M369" s="125">
        <v>0</v>
      </c>
      <c r="N369" s="125">
        <v>0</v>
      </c>
      <c r="O369" s="125">
        <v>0</v>
      </c>
      <c r="P369" s="152"/>
    </row>
    <row r="370" spans="1:17">
      <c r="A370" s="251"/>
      <c r="B370" s="124" t="s">
        <v>81</v>
      </c>
      <c r="C370" s="125">
        <v>10.464</v>
      </c>
      <c r="D370" s="125">
        <v>0</v>
      </c>
      <c r="E370" s="125">
        <v>274.47500000000002</v>
      </c>
      <c r="F370" s="125">
        <v>1254.827</v>
      </c>
      <c r="G370" s="125">
        <v>1793.0419999999999</v>
      </c>
      <c r="H370" s="125">
        <v>2355.221</v>
      </c>
      <c r="I370" s="125">
        <v>2419.3009999999999</v>
      </c>
      <c r="J370" s="125">
        <v>1658.9880000000001</v>
      </c>
      <c r="K370" s="125">
        <v>1278.7840000000001</v>
      </c>
      <c r="L370" s="125">
        <v>1742.4670000000001</v>
      </c>
      <c r="M370" s="125">
        <v>18.949000000000002</v>
      </c>
      <c r="N370" s="125">
        <v>39.518999999999998</v>
      </c>
      <c r="O370" s="125">
        <v>262.69600000000003</v>
      </c>
      <c r="P370" s="152"/>
    </row>
    <row r="371" spans="1:17">
      <c r="A371" s="251"/>
      <c r="B371" s="124" t="s">
        <v>85</v>
      </c>
      <c r="C371" s="125">
        <v>0</v>
      </c>
      <c r="D371" s="125">
        <v>0</v>
      </c>
      <c r="E371" s="125">
        <v>0</v>
      </c>
      <c r="F371" s="125">
        <v>0</v>
      </c>
      <c r="G371" s="125">
        <v>0</v>
      </c>
      <c r="H371" s="125">
        <v>122.68300000000001</v>
      </c>
      <c r="I371" s="125">
        <v>1111.912</v>
      </c>
      <c r="J371" s="125">
        <v>779.20500000000004</v>
      </c>
      <c r="K371" s="125">
        <v>0</v>
      </c>
      <c r="L371" s="125">
        <v>0.16800000000000001</v>
      </c>
      <c r="M371" s="125">
        <v>25.091000000000001</v>
      </c>
      <c r="N371" s="125">
        <v>0</v>
      </c>
      <c r="O371" s="125">
        <v>0</v>
      </c>
      <c r="P371" s="153">
        <f>O376/C376-1</f>
        <v>0.51490668569822873</v>
      </c>
      <c r="Q371" s="153">
        <f>(O357+O376)/(C376+C357)-1</f>
        <v>-0.40478779368485529</v>
      </c>
    </row>
    <row r="372" spans="1:17">
      <c r="A372" s="251"/>
      <c r="B372" s="124" t="s">
        <v>78</v>
      </c>
      <c r="C372" s="125">
        <v>297.23099999999999</v>
      </c>
      <c r="D372" s="125">
        <v>1129.2550000000001</v>
      </c>
      <c r="E372" s="125">
        <v>38619.468999999997</v>
      </c>
      <c r="F372" s="125">
        <v>36877.692000000003</v>
      </c>
      <c r="G372" s="125">
        <v>51954.457000000002</v>
      </c>
      <c r="H372" s="125">
        <v>132370.96599999999</v>
      </c>
      <c r="I372" s="125">
        <v>223344.245</v>
      </c>
      <c r="J372" s="125">
        <v>63965.084000000003</v>
      </c>
      <c r="K372" s="125">
        <v>19560.11</v>
      </c>
      <c r="L372" s="125">
        <v>61583.904999999999</v>
      </c>
      <c r="M372" s="125">
        <v>6305.0339999999997</v>
      </c>
      <c r="N372" s="125">
        <v>1891.778</v>
      </c>
      <c r="O372" s="125">
        <v>2707.0210000000002</v>
      </c>
      <c r="P372" s="152"/>
    </row>
    <row r="373" spans="1:17">
      <c r="A373" s="251"/>
      <c r="B373" s="124" t="s">
        <v>79</v>
      </c>
      <c r="C373" s="125">
        <v>102.47499999999999</v>
      </c>
      <c r="D373" s="125">
        <v>151.67500000000001</v>
      </c>
      <c r="E373" s="125">
        <v>2600.2660000000001</v>
      </c>
      <c r="F373" s="125">
        <v>15191.608</v>
      </c>
      <c r="G373" s="125">
        <v>25605.382000000001</v>
      </c>
      <c r="H373" s="125">
        <v>37295.190999999999</v>
      </c>
      <c r="I373" s="125">
        <v>32322.863000000001</v>
      </c>
      <c r="J373" s="125">
        <v>16218.591</v>
      </c>
      <c r="K373" s="125">
        <v>5669.5519999999997</v>
      </c>
      <c r="L373" s="125">
        <v>8192.3739999999998</v>
      </c>
      <c r="M373" s="125">
        <v>221.136</v>
      </c>
      <c r="N373" s="125">
        <v>6.3490000000000002</v>
      </c>
      <c r="O373" s="125">
        <v>44.374000000000002</v>
      </c>
      <c r="P373" s="152"/>
    </row>
    <row r="374" spans="1:17">
      <c r="A374" s="251"/>
      <c r="B374" s="124" t="s">
        <v>233</v>
      </c>
      <c r="C374" s="125">
        <v>0</v>
      </c>
      <c r="D374" s="125">
        <v>0</v>
      </c>
      <c r="E374" s="125">
        <v>0</v>
      </c>
      <c r="F374" s="125">
        <v>0</v>
      </c>
      <c r="G374" s="125">
        <v>0</v>
      </c>
      <c r="H374" s="125">
        <v>0</v>
      </c>
      <c r="I374" s="125">
        <v>0</v>
      </c>
      <c r="J374" s="125">
        <v>0</v>
      </c>
      <c r="K374" s="125">
        <v>0</v>
      </c>
      <c r="L374" s="125">
        <v>0</v>
      </c>
      <c r="M374" s="125">
        <v>0</v>
      </c>
      <c r="N374" s="125">
        <v>0</v>
      </c>
      <c r="O374" s="125">
        <v>0</v>
      </c>
      <c r="P374" s="152"/>
    </row>
    <row r="375" spans="1:17">
      <c r="A375" s="251"/>
      <c r="B375" s="124" t="s">
        <v>76</v>
      </c>
      <c r="C375" s="125">
        <v>649.82500000000005</v>
      </c>
      <c r="D375" s="125">
        <v>0</v>
      </c>
      <c r="E375" s="125">
        <v>1116.925</v>
      </c>
      <c r="F375" s="125">
        <v>147.36600000000001</v>
      </c>
      <c r="G375" s="125">
        <v>3262.7249999999999</v>
      </c>
      <c r="H375" s="125">
        <v>2493.3420000000001</v>
      </c>
      <c r="I375" s="125">
        <v>31460.519</v>
      </c>
      <c r="J375" s="125">
        <v>14627.808000000001</v>
      </c>
      <c r="K375" s="125">
        <v>439.1</v>
      </c>
      <c r="L375" s="125">
        <v>116.1</v>
      </c>
      <c r="M375" s="125">
        <v>65.5</v>
      </c>
      <c r="N375" s="125">
        <v>6874.9160000000002</v>
      </c>
      <c r="O375" s="125">
        <v>7145.2420000000002</v>
      </c>
      <c r="P375" s="152"/>
    </row>
    <row r="376" spans="1:17">
      <c r="A376" s="250"/>
      <c r="B376" s="183" t="s">
        <v>0</v>
      </c>
      <c r="C376" s="195">
        <v>33178.569000000003</v>
      </c>
      <c r="D376" s="195">
        <v>9423.1679999999997</v>
      </c>
      <c r="E376" s="195">
        <v>66651.426999999996</v>
      </c>
      <c r="F376" s="195">
        <v>71296.244999999995</v>
      </c>
      <c r="G376" s="195">
        <v>107187.59600000001</v>
      </c>
      <c r="H376" s="195">
        <v>200039.663</v>
      </c>
      <c r="I376" s="195">
        <v>445445.24300000002</v>
      </c>
      <c r="J376" s="195">
        <v>168987.95199999999</v>
      </c>
      <c r="K376" s="195">
        <v>69570.445000000007</v>
      </c>
      <c r="L376" s="195">
        <v>183731.40400000001</v>
      </c>
      <c r="M376" s="195">
        <v>51957.722000000002</v>
      </c>
      <c r="N376" s="195">
        <v>79570.773000000001</v>
      </c>
      <c r="O376" s="195">
        <v>50262.436000000002</v>
      </c>
      <c r="P376" s="152"/>
    </row>
    <row r="377" spans="1:17">
      <c r="A377" s="160"/>
      <c r="B377" s="160"/>
      <c r="C377" s="160"/>
      <c r="D377" s="160"/>
      <c r="E377" s="160"/>
      <c r="F377" s="160"/>
      <c r="G377" s="160"/>
      <c r="H377" s="160"/>
      <c r="I377" s="160"/>
      <c r="J377" s="160"/>
      <c r="K377" s="160"/>
      <c r="L377" s="160"/>
      <c r="M377" s="160"/>
      <c r="N377" s="160"/>
      <c r="P377" s="152"/>
    </row>
    <row r="378" spans="1:17">
      <c r="A378" s="160"/>
      <c r="B378" s="160"/>
      <c r="C378" s="160"/>
      <c r="D378" s="160"/>
      <c r="E378" s="160"/>
      <c r="F378" s="160"/>
      <c r="G378" s="160"/>
      <c r="H378" s="160"/>
      <c r="I378" s="160"/>
      <c r="J378" s="160"/>
      <c r="K378" s="160"/>
      <c r="L378" s="160"/>
      <c r="M378" s="160"/>
      <c r="N378" s="160"/>
    </row>
    <row r="379" spans="1:17">
      <c r="A379" s="160"/>
      <c r="B379" s="160"/>
      <c r="C379" s="160"/>
      <c r="D379" s="160"/>
      <c r="E379" s="160"/>
      <c r="F379" s="160"/>
      <c r="G379" s="160"/>
      <c r="H379" s="160"/>
      <c r="I379" s="160"/>
      <c r="J379" s="160"/>
      <c r="K379" s="160"/>
      <c r="L379" s="160"/>
      <c r="M379" s="160"/>
      <c r="N379" s="160"/>
    </row>
    <row r="380" spans="1:17">
      <c r="A380" s="84"/>
    </row>
    <row r="381" spans="1:17">
      <c r="A381" s="84"/>
    </row>
    <row r="383" spans="1:17">
      <c r="A383" s="84"/>
    </row>
    <row r="384" spans="1:17">
      <c r="A384" s="84"/>
    </row>
    <row r="385" spans="1:15">
      <c r="A385" s="84"/>
    </row>
    <row r="386" spans="1:15">
      <c r="A386" s="84"/>
    </row>
    <row r="387" spans="1:15">
      <c r="A387" s="84"/>
    </row>
    <row r="388" spans="1:15">
      <c r="A388" s="84" t="s">
        <v>202</v>
      </c>
    </row>
    <row r="389" spans="1:15">
      <c r="B389" s="142" t="str">
        <f>MID(B390,6,1)</f>
        <v>E</v>
      </c>
      <c r="C389" s="142" t="str">
        <f t="shared" ref="C389:N389" si="14">MID(C390,6,1)</f>
        <v>F</v>
      </c>
      <c r="D389" s="142" t="str">
        <f t="shared" si="14"/>
        <v>M</v>
      </c>
      <c r="E389" s="142" t="str">
        <f t="shared" si="14"/>
        <v>A</v>
      </c>
      <c r="F389" s="142" t="str">
        <f t="shared" si="14"/>
        <v>M</v>
      </c>
      <c r="G389" s="142" t="str">
        <f t="shared" si="14"/>
        <v>J</v>
      </c>
      <c r="H389" s="142" t="str">
        <f t="shared" si="14"/>
        <v>J</v>
      </c>
      <c r="I389" s="142" t="str">
        <f t="shared" si="14"/>
        <v>A</v>
      </c>
      <c r="J389" s="142" t="str">
        <f t="shared" si="14"/>
        <v>S</v>
      </c>
      <c r="K389" s="142" t="str">
        <f t="shared" si="14"/>
        <v>O</v>
      </c>
      <c r="L389" s="142" t="str">
        <f t="shared" si="14"/>
        <v>N</v>
      </c>
      <c r="M389" s="142" t="str">
        <f t="shared" si="14"/>
        <v>D</v>
      </c>
      <c r="N389" s="142" t="str">
        <f t="shared" si="14"/>
        <v>E</v>
      </c>
    </row>
    <row r="390" spans="1:15">
      <c r="A390" s="122" t="s">
        <v>86</v>
      </c>
      <c r="B390" s="145" t="s">
        <v>209</v>
      </c>
      <c r="C390" s="145" t="s">
        <v>211</v>
      </c>
      <c r="D390" s="145" t="s">
        <v>214</v>
      </c>
      <c r="E390" s="145" t="s">
        <v>224</v>
      </c>
      <c r="F390" s="145" t="s">
        <v>227</v>
      </c>
      <c r="G390" s="145" t="s">
        <v>229</v>
      </c>
      <c r="H390" s="145" t="s">
        <v>231</v>
      </c>
      <c r="I390" s="145" t="s">
        <v>234</v>
      </c>
      <c r="J390" s="145" t="s">
        <v>237</v>
      </c>
      <c r="K390" s="145" t="s">
        <v>241</v>
      </c>
      <c r="L390" s="145" t="s">
        <v>246</v>
      </c>
      <c r="M390" s="145" t="s">
        <v>249</v>
      </c>
      <c r="N390" s="145" t="s">
        <v>282</v>
      </c>
    </row>
    <row r="391" spans="1:15">
      <c r="A391" s="122" t="s">
        <v>27</v>
      </c>
      <c r="B391" s="143"/>
      <c r="C391" s="143"/>
      <c r="D391" s="143"/>
      <c r="E391" s="143"/>
      <c r="F391" s="143"/>
      <c r="G391" s="143"/>
      <c r="H391" s="143"/>
      <c r="I391" s="143"/>
      <c r="J391" s="143"/>
      <c r="K391" s="143"/>
      <c r="L391" s="143"/>
      <c r="M391" s="143"/>
      <c r="N391" s="143"/>
    </row>
    <row r="392" spans="1:15">
      <c r="A392" s="124" t="s">
        <v>159</v>
      </c>
      <c r="B392" s="184">
        <v>70956.782000000007</v>
      </c>
      <c r="C392" s="184">
        <v>61245.858</v>
      </c>
      <c r="D392" s="184">
        <v>99891.236000000004</v>
      </c>
      <c r="E392" s="184">
        <v>93450.634999999995</v>
      </c>
      <c r="F392" s="184">
        <v>97291.297000000006</v>
      </c>
      <c r="G392" s="184">
        <v>40991.940999999999</v>
      </c>
      <c r="H392" s="184">
        <v>36677.394999999997</v>
      </c>
      <c r="I392" s="184">
        <v>35242.697999999997</v>
      </c>
      <c r="J392" s="184">
        <v>27929.848999999998</v>
      </c>
      <c r="K392" s="184">
        <v>20968.252</v>
      </c>
      <c r="L392" s="184">
        <v>22665.061000000002</v>
      </c>
      <c r="M392" s="184">
        <v>17933.278999999999</v>
      </c>
      <c r="N392" s="184">
        <v>23166.077000000001</v>
      </c>
      <c r="O392" s="62"/>
    </row>
    <row r="393" spans="1:15">
      <c r="A393" s="124" t="s">
        <v>160</v>
      </c>
      <c r="B393" s="184">
        <v>48783.938000000002</v>
      </c>
      <c r="C393" s="184">
        <v>32668.483</v>
      </c>
      <c r="D393" s="184">
        <v>28032.678</v>
      </c>
      <c r="E393" s="184">
        <v>26740.23</v>
      </c>
      <c r="F393" s="184">
        <v>26569.347000000002</v>
      </c>
      <c r="G393" s="184">
        <v>42027.644</v>
      </c>
      <c r="H393" s="184">
        <v>26980.576000000001</v>
      </c>
      <c r="I393" s="184">
        <v>26163.522000000001</v>
      </c>
      <c r="J393" s="184">
        <v>22461.603999999999</v>
      </c>
      <c r="K393" s="184">
        <v>13158.781999999999</v>
      </c>
      <c r="L393" s="184">
        <v>6005.0370000000003</v>
      </c>
      <c r="M393" s="184">
        <v>9131.7250000000004</v>
      </c>
      <c r="N393" s="184">
        <v>5810.0649999999996</v>
      </c>
      <c r="O393" s="62"/>
    </row>
    <row r="394" spans="1:15">
      <c r="A394" s="200" t="s">
        <v>243</v>
      </c>
      <c r="B394" s="201">
        <f>SUM(B392:B393)</f>
        <v>119740.72</v>
      </c>
      <c r="C394" s="201">
        <f t="shared" ref="C394:N394" si="15">SUM(C392:C393)</f>
        <v>93914.341</v>
      </c>
      <c r="D394" s="201">
        <f t="shared" si="15"/>
        <v>127923.914</v>
      </c>
      <c r="E394" s="201">
        <f t="shared" si="15"/>
        <v>120190.86499999999</v>
      </c>
      <c r="F394" s="201">
        <f t="shared" si="15"/>
        <v>123860.644</v>
      </c>
      <c r="G394" s="201">
        <f t="shared" si="15"/>
        <v>83019.584999999992</v>
      </c>
      <c r="H394" s="201">
        <f t="shared" si="15"/>
        <v>63657.970999999998</v>
      </c>
      <c r="I394" s="201">
        <f t="shared" si="15"/>
        <v>61406.22</v>
      </c>
      <c r="J394" s="201">
        <f t="shared" si="15"/>
        <v>50391.452999999994</v>
      </c>
      <c r="K394" s="201">
        <f t="shared" si="15"/>
        <v>34127.034</v>
      </c>
      <c r="L394" s="201">
        <f t="shared" si="15"/>
        <v>28670.098000000002</v>
      </c>
      <c r="M394" s="201">
        <f t="shared" si="15"/>
        <v>27065.004000000001</v>
      </c>
      <c r="N394" s="201">
        <f t="shared" si="15"/>
        <v>28976.142</v>
      </c>
    </row>
    <row r="395" spans="1:15">
      <c r="A395" s="124"/>
    </row>
    <row r="396" spans="1:15">
      <c r="A396" s="124"/>
    </row>
    <row r="397" spans="1:15">
      <c r="A397" s="84" t="s">
        <v>163</v>
      </c>
    </row>
    <row r="398" spans="1:15">
      <c r="A398" s="84" t="s">
        <v>164</v>
      </c>
    </row>
    <row r="399" spans="1:15">
      <c r="A399" s="122"/>
      <c r="B399" s="122" t="s">
        <v>27</v>
      </c>
      <c r="C399" s="235" t="s">
        <v>212</v>
      </c>
      <c r="D399" s="236"/>
      <c r="E399" s="236"/>
      <c r="F399" s="236"/>
      <c r="G399" s="236"/>
      <c r="H399" s="236"/>
      <c r="I399" s="236"/>
      <c r="J399" s="236"/>
      <c r="K399" s="236"/>
      <c r="L399" s="236"/>
      <c r="M399" s="236"/>
      <c r="N399" s="236"/>
      <c r="O399" s="236"/>
    </row>
    <row r="400" spans="1:15">
      <c r="A400" s="122"/>
      <c r="B400" s="122" t="s">
        <v>86</v>
      </c>
      <c r="C400" s="145" t="s">
        <v>209</v>
      </c>
      <c r="D400" s="145" t="s">
        <v>211</v>
      </c>
      <c r="E400" s="145" t="s">
        <v>214</v>
      </c>
      <c r="F400" s="145" t="s">
        <v>224</v>
      </c>
      <c r="G400" s="145" t="s">
        <v>227</v>
      </c>
      <c r="H400" s="145" t="s">
        <v>229</v>
      </c>
      <c r="I400" s="145" t="s">
        <v>231</v>
      </c>
      <c r="J400" s="145" t="s">
        <v>234</v>
      </c>
      <c r="K400" s="145" t="s">
        <v>237</v>
      </c>
      <c r="L400" s="145" t="s">
        <v>241</v>
      </c>
      <c r="M400" s="145" t="s">
        <v>246</v>
      </c>
      <c r="N400" s="145" t="s">
        <v>249</v>
      </c>
      <c r="O400" s="145" t="s">
        <v>282</v>
      </c>
    </row>
    <row r="401" spans="1:33">
      <c r="A401" s="122" t="s">
        <v>119</v>
      </c>
      <c r="B401" s="122" t="s">
        <v>191</v>
      </c>
      <c r="C401" s="143"/>
      <c r="D401" s="143"/>
      <c r="E401" s="143"/>
      <c r="F401" s="143"/>
      <c r="G401" s="143"/>
      <c r="H401" s="143"/>
      <c r="I401" s="143"/>
      <c r="J401" s="143"/>
      <c r="K401" s="143"/>
      <c r="L401" s="143"/>
      <c r="M401" s="143"/>
      <c r="N401" s="143"/>
      <c r="O401" s="143"/>
    </row>
    <row r="402" spans="1:33">
      <c r="A402" s="249" t="s">
        <v>71</v>
      </c>
      <c r="B402" s="124" t="s">
        <v>125</v>
      </c>
      <c r="C402" s="184">
        <v>194.01727648470001</v>
      </c>
      <c r="D402" s="184">
        <v>191.6424222304</v>
      </c>
      <c r="E402" s="184">
        <v>147.7308546305</v>
      </c>
      <c r="F402" s="184">
        <v>144.37500321530001</v>
      </c>
      <c r="G402" s="184">
        <v>155.04070517069999</v>
      </c>
      <c r="H402" s="184">
        <v>165.61002641549999</v>
      </c>
      <c r="I402" s="184">
        <v>150.28757834149999</v>
      </c>
      <c r="J402" s="184">
        <v>157.3914054217</v>
      </c>
      <c r="K402" s="184">
        <v>166.42095092229999</v>
      </c>
      <c r="L402" s="184">
        <v>162.7965502049</v>
      </c>
      <c r="M402" s="184">
        <v>164.51053145399999</v>
      </c>
      <c r="N402" s="184">
        <v>174.62615588240001</v>
      </c>
      <c r="O402" s="184">
        <v>182.37316718189999</v>
      </c>
      <c r="P402" s="154">
        <f>O402/C402-1</f>
        <v>-6.0015837320127829E-2</v>
      </c>
    </row>
    <row r="403" spans="1:33">
      <c r="A403" s="250"/>
      <c r="B403" s="124" t="s">
        <v>129</v>
      </c>
      <c r="C403" s="184">
        <v>295.7290599776</v>
      </c>
      <c r="D403" s="184">
        <v>305.10105866020001</v>
      </c>
      <c r="E403" s="184">
        <v>264.41222129760001</v>
      </c>
      <c r="F403" s="184">
        <v>244.68431349319999</v>
      </c>
      <c r="G403" s="184">
        <v>220.95676674020001</v>
      </c>
      <c r="H403" s="184">
        <v>219.1372056612</v>
      </c>
      <c r="I403" s="184">
        <v>200.44400471860001</v>
      </c>
      <c r="J403" s="184">
        <v>210.14936945490001</v>
      </c>
      <c r="K403" s="184">
        <v>232.59996176300001</v>
      </c>
      <c r="L403" s="184">
        <v>244.1453660576</v>
      </c>
      <c r="M403" s="184">
        <v>206.32096297250001</v>
      </c>
      <c r="N403" s="184">
        <v>212.75769545259999</v>
      </c>
      <c r="O403" s="184">
        <v>221.46636149439999</v>
      </c>
      <c r="P403" s="154">
        <f>O403/C403-1</f>
        <v>-0.25111735210880204</v>
      </c>
    </row>
    <row r="404" spans="1:33">
      <c r="A404" s="259" t="s">
        <v>75</v>
      </c>
      <c r="B404" s="124" t="s">
        <v>125</v>
      </c>
      <c r="C404" s="184">
        <v>83.688895800300003</v>
      </c>
      <c r="D404" s="184">
        <v>97.485909316600001</v>
      </c>
      <c r="E404" s="184">
        <v>34.816996656699999</v>
      </c>
      <c r="F404" s="184">
        <v>15.8979225199</v>
      </c>
      <c r="G404" s="184">
        <v>4.7741999187999999</v>
      </c>
      <c r="H404" s="184">
        <v>59.687552022399998</v>
      </c>
      <c r="I404" s="184">
        <v>56.254841341599999</v>
      </c>
      <c r="J404" s="184">
        <v>61.503685353400002</v>
      </c>
      <c r="K404" s="184">
        <v>54.1608380053</v>
      </c>
      <c r="L404" s="184">
        <v>60.675018032799997</v>
      </c>
      <c r="M404" s="184">
        <v>57.152078829099999</v>
      </c>
      <c r="N404" s="184">
        <v>77.8107698699</v>
      </c>
      <c r="O404" s="184">
        <v>69.163489003400002</v>
      </c>
      <c r="P404" s="154">
        <f>O404/C404-1</f>
        <v>-0.17356432604345495</v>
      </c>
    </row>
    <row r="405" spans="1:33">
      <c r="A405" s="250"/>
      <c r="B405" s="124" t="s">
        <v>129</v>
      </c>
      <c r="C405" s="226">
        <v>34.347338602035499</v>
      </c>
      <c r="D405" s="226">
        <v>32.386280461199497</v>
      </c>
      <c r="E405" s="226">
        <v>-105.857374548515</v>
      </c>
      <c r="F405" s="226">
        <v>-151.95851905293199</v>
      </c>
      <c r="G405" s="226">
        <v>-136.52684326860901</v>
      </c>
      <c r="H405" s="226">
        <v>-87.937670231433103</v>
      </c>
      <c r="I405" s="226">
        <v>-49.776885172126498</v>
      </c>
      <c r="J405" s="226">
        <v>-36.745907028188597</v>
      </c>
      <c r="K405" s="226">
        <v>-45.205144467913101</v>
      </c>
      <c r="L405" s="226">
        <v>-56.700768444130503</v>
      </c>
      <c r="M405" s="226">
        <v>-23.385671125824199</v>
      </c>
      <c r="N405" s="226">
        <v>14.4702230778882</v>
      </c>
      <c r="O405" s="226">
        <v>16.703954068740298</v>
      </c>
      <c r="P405" s="154">
        <f>O405/C405-1</f>
        <v>-0.51367544768809581</v>
      </c>
    </row>
    <row r="406" spans="1:33">
      <c r="P406" s="124"/>
      <c r="Q406" s="124"/>
      <c r="R406" s="124"/>
    </row>
    <row r="407" spans="1:33">
      <c r="A407" s="124"/>
      <c r="B407" s="124"/>
      <c r="C407" s="124"/>
      <c r="D407" s="124"/>
      <c r="E407" s="124"/>
      <c r="F407" s="124"/>
      <c r="G407" s="124"/>
      <c r="H407" s="124"/>
      <c r="I407" s="124"/>
      <c r="J407" s="124"/>
      <c r="K407" s="124"/>
      <c r="L407" s="124"/>
      <c r="M407" s="124"/>
      <c r="N407" s="124"/>
      <c r="O407" s="124"/>
      <c r="P407" s="124"/>
      <c r="Q407" s="124"/>
      <c r="R407" s="124"/>
      <c r="S407" s="124"/>
      <c r="T407" s="124"/>
      <c r="U407" s="124"/>
      <c r="V407" s="124"/>
      <c r="W407" s="124"/>
      <c r="X407" s="124"/>
      <c r="Y407" s="124"/>
      <c r="Z407" s="124"/>
      <c r="AA407" s="124"/>
      <c r="AB407" s="124"/>
      <c r="AC407" s="124"/>
      <c r="AD407" s="124"/>
      <c r="AE407" s="124"/>
      <c r="AF407" s="124"/>
      <c r="AG407" s="124"/>
    </row>
    <row r="408" spans="1:33">
      <c r="A408" t="s">
        <v>165</v>
      </c>
    </row>
    <row r="409" spans="1:33">
      <c r="A409" s="122"/>
      <c r="B409" s="122" t="s">
        <v>27</v>
      </c>
      <c r="C409" s="235" t="s">
        <v>133</v>
      </c>
      <c r="D409" s="236"/>
      <c r="E409" s="236"/>
      <c r="F409" s="236"/>
      <c r="G409" s="236"/>
      <c r="H409" s="236"/>
      <c r="I409" s="236"/>
      <c r="J409" s="236"/>
      <c r="K409" s="236"/>
      <c r="L409" s="236"/>
      <c r="M409" s="236"/>
      <c r="N409" s="236"/>
      <c r="O409" s="236"/>
    </row>
    <row r="410" spans="1:33">
      <c r="A410" s="122"/>
      <c r="B410" s="122" t="s">
        <v>86</v>
      </c>
      <c r="C410" s="145" t="s">
        <v>209</v>
      </c>
      <c r="D410" s="145" t="s">
        <v>211</v>
      </c>
      <c r="E410" s="145" t="s">
        <v>214</v>
      </c>
      <c r="F410" s="145" t="s">
        <v>224</v>
      </c>
      <c r="G410" s="145" t="s">
        <v>227</v>
      </c>
      <c r="H410" s="145" t="s">
        <v>229</v>
      </c>
      <c r="I410" s="145" t="s">
        <v>231</v>
      </c>
      <c r="J410" s="145" t="s">
        <v>234</v>
      </c>
      <c r="K410" s="145" t="s">
        <v>237</v>
      </c>
      <c r="L410" s="145" t="s">
        <v>241</v>
      </c>
      <c r="M410" s="145" t="s">
        <v>246</v>
      </c>
      <c r="N410" s="145" t="s">
        <v>249</v>
      </c>
      <c r="O410" s="145" t="s">
        <v>282</v>
      </c>
    </row>
    <row r="411" spans="1:33">
      <c r="A411" s="122" t="s">
        <v>119</v>
      </c>
      <c r="B411" s="122" t="s">
        <v>193</v>
      </c>
      <c r="C411" s="143"/>
      <c r="D411" s="143"/>
      <c r="E411" s="143"/>
      <c r="F411" s="143"/>
      <c r="G411" s="143"/>
      <c r="H411" s="143"/>
      <c r="I411" s="143"/>
      <c r="J411" s="143"/>
      <c r="K411" s="143"/>
      <c r="L411" s="143"/>
      <c r="M411" s="143"/>
      <c r="N411" s="143"/>
      <c r="O411" s="143"/>
    </row>
    <row r="412" spans="1:33">
      <c r="A412" s="249" t="s">
        <v>71</v>
      </c>
      <c r="B412" s="124" t="s">
        <v>126</v>
      </c>
      <c r="C412" s="184">
        <v>51.890255956300003</v>
      </c>
      <c r="D412" s="184">
        <v>67.585589426400006</v>
      </c>
      <c r="E412" s="184">
        <v>35.5284746281</v>
      </c>
      <c r="F412" s="184">
        <v>21.1892065471</v>
      </c>
      <c r="G412" s="184">
        <v>11.0326904909</v>
      </c>
      <c r="H412" s="184">
        <v>20.297364826599999</v>
      </c>
      <c r="I412" s="184">
        <v>34.1141379253</v>
      </c>
      <c r="J412" s="184">
        <v>35.031649862599998</v>
      </c>
      <c r="K412" s="184">
        <v>32.7380599946</v>
      </c>
      <c r="L412" s="184">
        <v>36.398819601600003</v>
      </c>
      <c r="M412" s="184">
        <v>25.577419348599999</v>
      </c>
      <c r="N412" s="184">
        <v>19.581757195600002</v>
      </c>
      <c r="O412" s="184">
        <v>23.5337400642</v>
      </c>
      <c r="P412" s="154">
        <f>O412/C412-1</f>
        <v>-0.54647091962662087</v>
      </c>
    </row>
    <row r="413" spans="1:33">
      <c r="A413" s="251"/>
      <c r="B413" s="124" t="s">
        <v>127</v>
      </c>
      <c r="C413" s="184">
        <v>133.31983673260001</v>
      </c>
      <c r="D413" s="184">
        <v>140.03264444760001</v>
      </c>
      <c r="E413" s="184">
        <v>120.096505014</v>
      </c>
      <c r="F413" s="184">
        <v>77.523932633800001</v>
      </c>
      <c r="G413" s="184">
        <v>63.343057325899998</v>
      </c>
      <c r="H413" s="184">
        <v>112.625288936</v>
      </c>
      <c r="I413" s="184">
        <v>110.444987815</v>
      </c>
      <c r="J413" s="184">
        <v>98.521136264800006</v>
      </c>
      <c r="K413" s="184">
        <v>101.9472367099</v>
      </c>
      <c r="L413" s="184">
        <v>97.886706690099999</v>
      </c>
      <c r="M413" s="184">
        <v>88.113274485000005</v>
      </c>
      <c r="N413" s="184">
        <v>96.135054601199997</v>
      </c>
      <c r="O413" s="184">
        <v>104.8609944799</v>
      </c>
      <c r="P413" s="154">
        <f>O413/C413-1</f>
        <v>-0.21346292457423266</v>
      </c>
    </row>
    <row r="414" spans="1:33">
      <c r="A414" s="251"/>
      <c r="B414" s="124" t="s">
        <v>192</v>
      </c>
      <c r="C414" s="184">
        <v>132.73885826060001</v>
      </c>
      <c r="D414" s="184">
        <v>118.5079301281</v>
      </c>
      <c r="E414" s="184">
        <v>85.189289887900003</v>
      </c>
      <c r="F414" s="184">
        <v>52.314215232599999</v>
      </c>
      <c r="G414" s="184">
        <v>55.672629718300001</v>
      </c>
      <c r="H414" s="184">
        <v>95.530108455900006</v>
      </c>
      <c r="I414" s="184">
        <v>107.60287344539999</v>
      </c>
      <c r="J414" s="184">
        <v>105.48086387319999</v>
      </c>
      <c r="K414" s="184">
        <v>87.551958489200004</v>
      </c>
      <c r="L414" s="184">
        <v>93.292720630199995</v>
      </c>
      <c r="M414" s="184">
        <v>90.087431370600001</v>
      </c>
      <c r="N414" s="184">
        <v>94.3620246941</v>
      </c>
      <c r="O414" s="184">
        <v>0</v>
      </c>
      <c r="P414" s="154">
        <f>O414/C414-1</f>
        <v>-1</v>
      </c>
    </row>
    <row r="415" spans="1:33">
      <c r="A415" s="250"/>
      <c r="B415" s="124" t="s">
        <v>128</v>
      </c>
      <c r="C415" s="184">
        <v>128.90381284489999</v>
      </c>
      <c r="D415" s="184">
        <v>120.5025753649</v>
      </c>
      <c r="E415" s="184">
        <v>90.112878959900002</v>
      </c>
      <c r="F415" s="184">
        <v>58.371273219899997</v>
      </c>
      <c r="G415" s="184">
        <v>55.693702808300003</v>
      </c>
      <c r="H415" s="184">
        <v>104.9215167187</v>
      </c>
      <c r="I415" s="184">
        <v>121.5609694004</v>
      </c>
      <c r="J415" s="184">
        <v>109.9492029741</v>
      </c>
      <c r="K415" s="184">
        <v>94.673383029199996</v>
      </c>
      <c r="L415" s="184">
        <v>107.2113005402</v>
      </c>
      <c r="M415" s="184">
        <v>96.675296389500005</v>
      </c>
      <c r="N415" s="184">
        <v>100.82860255590001</v>
      </c>
      <c r="O415" s="184">
        <v>116.26221271990001</v>
      </c>
      <c r="P415" s="154">
        <f>O415/C415-1</f>
        <v>-9.8070024819286283E-2</v>
      </c>
      <c r="R415" s="172">
        <v>147.141711762314</v>
      </c>
    </row>
    <row r="416" spans="1:33">
      <c r="A416" s="259" t="s">
        <v>75</v>
      </c>
      <c r="B416" s="124" t="s">
        <v>126</v>
      </c>
      <c r="C416" s="184">
        <v>37.464347836400002</v>
      </c>
      <c r="D416" s="184">
        <v>26.586120180000002</v>
      </c>
      <c r="E416" s="184">
        <v>29.008521289200001</v>
      </c>
      <c r="F416" s="184">
        <v>18.106053319000001</v>
      </c>
      <c r="G416" s="184">
        <v>17.670425277900002</v>
      </c>
      <c r="H416" s="184">
        <v>12.5788518301</v>
      </c>
      <c r="I416" s="184">
        <v>13.7043949349</v>
      </c>
      <c r="J416" s="184">
        <v>18.185907200199999</v>
      </c>
      <c r="K416" s="184">
        <v>24.3133326757</v>
      </c>
      <c r="L416" s="184">
        <v>16.621921591100001</v>
      </c>
      <c r="M416" s="184">
        <v>18.8662189675</v>
      </c>
      <c r="N416" s="184">
        <v>13.108400383799999</v>
      </c>
      <c r="O416" s="184">
        <v>10.8123653194</v>
      </c>
      <c r="P416" s="152"/>
    </row>
    <row r="417" spans="1:19">
      <c r="A417" s="251"/>
      <c r="B417" s="124" t="s">
        <v>127</v>
      </c>
      <c r="C417" s="184">
        <v>24.699318291699999</v>
      </c>
      <c r="D417" s="184">
        <v>22.808634897200001</v>
      </c>
      <c r="E417" s="184">
        <v>-19.560346367299999</v>
      </c>
      <c r="F417" s="184">
        <v>-25.501952932799998</v>
      </c>
      <c r="G417" s="184">
        <v>-21.3875057447</v>
      </c>
      <c r="H417" s="184">
        <v>12.0135543721</v>
      </c>
      <c r="I417" s="184">
        <v>12.2452130523</v>
      </c>
      <c r="J417" s="184">
        <v>15.0051950839</v>
      </c>
      <c r="K417" s="184">
        <v>-5.3674323135000002</v>
      </c>
      <c r="L417" s="184">
        <v>3.3776366820999999</v>
      </c>
      <c r="M417" s="184">
        <v>-5.9475195433000003</v>
      </c>
      <c r="N417" s="184">
        <v>20.511905126199999</v>
      </c>
      <c r="O417" s="184">
        <v>-14.7022421982</v>
      </c>
      <c r="P417" s="154">
        <f>O417/C417-1</f>
        <v>-1.5952489062477715</v>
      </c>
    </row>
    <row r="418" spans="1:19">
      <c r="A418" s="251"/>
      <c r="B418" s="124" t="s">
        <v>192</v>
      </c>
      <c r="C418" s="184">
        <v>54.339434263699999</v>
      </c>
      <c r="D418" s="184">
        <v>56.6349303597</v>
      </c>
      <c r="E418" s="184">
        <v>3.8096046056000001</v>
      </c>
      <c r="F418" s="184">
        <v>-1.4266996133000001</v>
      </c>
      <c r="G418" s="184">
        <v>-4.0810580168000001</v>
      </c>
      <c r="H418" s="184">
        <v>64.248668094300001</v>
      </c>
      <c r="I418" s="184">
        <v>22.334454021199999</v>
      </c>
      <c r="J418" s="184">
        <v>8.1725149182999992</v>
      </c>
      <c r="K418" s="184">
        <v>13.4386992617</v>
      </c>
      <c r="L418" s="184">
        <v>30.503105186900001</v>
      </c>
      <c r="M418" s="184">
        <v>8.6680619366999991</v>
      </c>
      <c r="N418" s="184">
        <v>29.5562912143</v>
      </c>
      <c r="O418" s="184">
        <v>0</v>
      </c>
      <c r="P418" s="154">
        <f>O418/C418-1</f>
        <v>-1</v>
      </c>
    </row>
    <row r="419" spans="1:19">
      <c r="A419" s="250"/>
      <c r="B419" s="124" t="s">
        <v>128</v>
      </c>
      <c r="C419" s="184">
        <v>45.334035121399999</v>
      </c>
      <c r="D419" s="184">
        <v>37.849235561100002</v>
      </c>
      <c r="E419" s="184">
        <v>1.7364664057999999</v>
      </c>
      <c r="F419" s="184">
        <v>-3.2239345521999998</v>
      </c>
      <c r="G419" s="184">
        <v>-4.1235086641000001</v>
      </c>
      <c r="H419" s="184">
        <v>59.358578694199998</v>
      </c>
      <c r="I419" s="184">
        <v>18.384595549299998</v>
      </c>
      <c r="J419" s="184">
        <v>15.012926886100001</v>
      </c>
      <c r="K419" s="184">
        <v>0.25983211550000002</v>
      </c>
      <c r="L419" s="184">
        <v>32.758575262699999</v>
      </c>
      <c r="M419" s="184">
        <v>15.736337971199999</v>
      </c>
      <c r="N419" s="184">
        <v>44.960934410900002</v>
      </c>
      <c r="O419" s="184">
        <v>25.704341869</v>
      </c>
      <c r="P419" s="154">
        <f>O419/C419-1</f>
        <v>-0.43300123626396037</v>
      </c>
      <c r="R419" s="173">
        <v>39.372424399301003</v>
      </c>
    </row>
    <row r="420" spans="1:19">
      <c r="P420" s="159"/>
      <c r="Q420" s="159"/>
      <c r="R420" s="159"/>
      <c r="S420" s="159"/>
    </row>
    <row r="421" spans="1:19">
      <c r="A421" s="182"/>
      <c r="B421" s="182"/>
      <c r="C421" s="182"/>
      <c r="D421" s="182"/>
      <c r="E421" s="182"/>
      <c r="F421" s="182"/>
      <c r="G421" s="182"/>
      <c r="H421" s="182"/>
      <c r="I421" s="182"/>
      <c r="J421" s="182"/>
      <c r="K421" s="182"/>
      <c r="L421" s="182"/>
      <c r="M421" s="182"/>
      <c r="N421" s="182"/>
      <c r="O421" s="182"/>
      <c r="P421" s="182"/>
      <c r="Q421" s="182"/>
      <c r="R421" s="182"/>
      <c r="S421" s="182"/>
    </row>
    <row r="422" spans="1:19">
      <c r="C422" s="170"/>
      <c r="D422" s="170"/>
      <c r="E422" s="170"/>
      <c r="F422" s="170"/>
      <c r="G422" s="170"/>
      <c r="H422" s="170"/>
      <c r="I422" s="170"/>
      <c r="J422" s="170"/>
      <c r="K422" s="170"/>
      <c r="L422" s="170"/>
      <c r="M422" s="170"/>
      <c r="N422" s="170"/>
      <c r="O422" s="170"/>
    </row>
    <row r="423" spans="1:19" s="114" customFormat="1" ht="15">
      <c r="B423" s="115" t="s">
        <v>221</v>
      </c>
      <c r="C423" s="116"/>
      <c r="D423" s="116"/>
      <c r="E423" s="116"/>
      <c r="F423" s="116"/>
      <c r="G423" s="116"/>
      <c r="H423" s="116"/>
      <c r="I423" s="116"/>
      <c r="J423" s="116"/>
    </row>
    <row r="424" spans="1:19" ht="14.25">
      <c r="A424" s="151"/>
      <c r="B424" s="151"/>
      <c r="C424" s="147" t="s">
        <v>216</v>
      </c>
      <c r="D424" s="147" t="s">
        <v>217</v>
      </c>
      <c r="E424" s="147" t="s">
        <v>218</v>
      </c>
      <c r="F424" s="147" t="s">
        <v>219</v>
      </c>
      <c r="G424" s="147" t="s">
        <v>220</v>
      </c>
      <c r="H424" s="116"/>
      <c r="I424" s="116"/>
      <c r="J424" s="116"/>
      <c r="K424" s="114"/>
      <c r="L424" s="114"/>
    </row>
    <row r="425" spans="1:19" ht="14.25">
      <c r="A425" s="148" t="s">
        <v>5</v>
      </c>
      <c r="B425" s="16" t="s">
        <v>210</v>
      </c>
      <c r="C425" s="184">
        <v>0.13440860215053765</v>
      </c>
      <c r="D425" s="184">
        <v>22.58064516129032</v>
      </c>
      <c r="E425" s="184">
        <v>19.489247311827956</v>
      </c>
      <c r="F425" s="184">
        <v>45.833333333333329</v>
      </c>
      <c r="G425" s="184">
        <v>11.96236559139785</v>
      </c>
      <c r="H425" s="116"/>
      <c r="I425" s="116"/>
      <c r="J425" s="116"/>
      <c r="K425" s="114"/>
      <c r="L425" s="114"/>
    </row>
    <row r="426" spans="1:19" ht="14.25">
      <c r="A426" s="148" t="s">
        <v>6</v>
      </c>
      <c r="B426" s="16" t="s">
        <v>213</v>
      </c>
      <c r="C426" s="184" t="s">
        <v>131</v>
      </c>
      <c r="D426" s="184">
        <v>9.2261904761904763</v>
      </c>
      <c r="E426" s="184">
        <v>28.125</v>
      </c>
      <c r="F426" s="184">
        <v>47.916666666666671</v>
      </c>
      <c r="G426" s="184">
        <v>14.732142857142858</v>
      </c>
      <c r="H426" s="116"/>
      <c r="I426" s="116"/>
      <c r="J426" s="116"/>
      <c r="K426" s="114"/>
      <c r="L426" s="114"/>
    </row>
    <row r="427" spans="1:19" ht="14.25">
      <c r="A427" s="148" t="s">
        <v>7</v>
      </c>
      <c r="B427" s="16" t="s">
        <v>215</v>
      </c>
      <c r="C427" s="184">
        <v>9.690444145356663</v>
      </c>
      <c r="D427" s="184">
        <v>40.107671601615074</v>
      </c>
      <c r="E427" s="184">
        <v>33.109017496635261</v>
      </c>
      <c r="F427" s="184">
        <v>15.343203230148047</v>
      </c>
      <c r="G427" s="184">
        <v>1.7496635262449527</v>
      </c>
      <c r="H427" s="116"/>
      <c r="I427" s="116"/>
      <c r="J427" s="116"/>
      <c r="K427" s="114"/>
      <c r="L427" s="114"/>
    </row>
    <row r="428" spans="1:19" ht="14.25">
      <c r="A428" s="148" t="s">
        <v>8</v>
      </c>
      <c r="B428" s="16" t="s">
        <v>225</v>
      </c>
      <c r="C428" s="184">
        <v>24.861111111111111</v>
      </c>
      <c r="D428" s="184">
        <v>55.000000000000007</v>
      </c>
      <c r="E428" s="184">
        <v>15.416666666666668</v>
      </c>
      <c r="F428" s="184">
        <v>3.8888888888888888</v>
      </c>
      <c r="G428" s="184">
        <v>0.83333333333333337</v>
      </c>
      <c r="H428" s="116"/>
      <c r="I428" s="116"/>
      <c r="J428" s="116"/>
      <c r="K428" s="114"/>
      <c r="L428" s="114"/>
    </row>
    <row r="429" spans="1:19" ht="14.25">
      <c r="A429" s="148" t="s">
        <v>7</v>
      </c>
      <c r="B429" s="16" t="s">
        <v>228</v>
      </c>
      <c r="C429" s="184">
        <v>36.155913978494624</v>
      </c>
      <c r="D429" s="184">
        <v>54.166666666666664</v>
      </c>
      <c r="E429" s="184">
        <v>7.795698924731183</v>
      </c>
      <c r="F429" s="184">
        <v>1.881720430107527</v>
      </c>
      <c r="G429" s="184" t="s">
        <v>131</v>
      </c>
      <c r="H429" s="116"/>
      <c r="I429" s="116"/>
      <c r="J429" s="116"/>
      <c r="K429" s="114"/>
      <c r="L429" s="114"/>
    </row>
    <row r="430" spans="1:19" ht="14.25">
      <c r="A430" s="148" t="s">
        <v>9</v>
      </c>
      <c r="B430" s="16" t="s">
        <v>230</v>
      </c>
      <c r="C430" s="184">
        <v>11.944444444444445</v>
      </c>
      <c r="D430" s="184">
        <v>24.305555555555554</v>
      </c>
      <c r="E430" s="184">
        <v>20.138888888888889</v>
      </c>
      <c r="F430" s="184">
        <v>40.972222222222221</v>
      </c>
      <c r="G430" s="184">
        <v>2.6388888888888888</v>
      </c>
      <c r="H430" s="116"/>
      <c r="I430" s="116"/>
      <c r="J430" s="116"/>
      <c r="K430" s="114"/>
      <c r="L430" s="114"/>
    </row>
    <row r="431" spans="1:19" ht="14.25">
      <c r="A431" s="148" t="s">
        <v>9</v>
      </c>
      <c r="B431" s="16" t="s">
        <v>232</v>
      </c>
      <c r="C431" s="184">
        <v>4.032258064516129</v>
      </c>
      <c r="D431" s="184">
        <v>29.838709677419356</v>
      </c>
      <c r="E431" s="184">
        <v>30.376344086021508</v>
      </c>
      <c r="F431" s="184">
        <v>34.543010752688176</v>
      </c>
      <c r="G431" s="184">
        <v>1.2096774193548387</v>
      </c>
      <c r="H431" s="116"/>
      <c r="I431" s="116"/>
      <c r="J431" s="116"/>
      <c r="K431" s="114"/>
      <c r="L431" s="114"/>
    </row>
    <row r="432" spans="1:19" ht="14.25">
      <c r="A432" s="148" t="s">
        <v>8</v>
      </c>
      <c r="B432" s="16" t="s">
        <v>235</v>
      </c>
      <c r="C432" s="184">
        <v>7.661290322580645</v>
      </c>
      <c r="D432" s="184">
        <v>25.537634408602152</v>
      </c>
      <c r="E432" s="184">
        <v>37.365591397849464</v>
      </c>
      <c r="F432" s="184">
        <v>28.62903225806452</v>
      </c>
      <c r="G432" s="184">
        <v>0.80645161290322576</v>
      </c>
      <c r="H432" s="116"/>
      <c r="I432" s="116"/>
      <c r="J432" s="116"/>
      <c r="K432" s="114"/>
      <c r="L432" s="114"/>
    </row>
    <row r="433" spans="1:12" ht="14.25">
      <c r="A433" s="148" t="s">
        <v>10</v>
      </c>
      <c r="B433" s="16" t="s">
        <v>239</v>
      </c>
      <c r="C433" s="184">
        <v>9.1666666666666661</v>
      </c>
      <c r="D433" s="184">
        <v>31.25</v>
      </c>
      <c r="E433" s="184">
        <v>39.305555555555557</v>
      </c>
      <c r="F433" s="184">
        <v>18.888888888888889</v>
      </c>
      <c r="G433" s="184">
        <v>1.3888888888888888</v>
      </c>
      <c r="H433" s="116"/>
      <c r="I433" s="116"/>
      <c r="J433" s="116"/>
      <c r="K433" s="114"/>
      <c r="L433" s="114"/>
    </row>
    <row r="434" spans="1:12" ht="14.25">
      <c r="A434" s="148" t="s">
        <v>11</v>
      </c>
      <c r="B434" s="16" t="s">
        <v>247</v>
      </c>
      <c r="C434" s="184">
        <v>3.2214765100671143</v>
      </c>
      <c r="D434" s="184">
        <v>27.516778523489933</v>
      </c>
      <c r="E434" s="184">
        <v>31.543624161073826</v>
      </c>
      <c r="F434" s="184">
        <v>34.36241610738255</v>
      </c>
      <c r="G434" s="184">
        <v>3.3557046979865772</v>
      </c>
      <c r="H434" s="116"/>
      <c r="I434" s="116"/>
      <c r="J434" s="116"/>
      <c r="K434" s="114"/>
      <c r="L434" s="114"/>
    </row>
    <row r="435" spans="1:12" ht="14.25">
      <c r="A435" s="148" t="s">
        <v>12</v>
      </c>
      <c r="B435" s="16" t="s">
        <v>248</v>
      </c>
      <c r="C435" s="184">
        <v>1.9444444444444444</v>
      </c>
      <c r="D435" s="184">
        <v>40.138888888888893</v>
      </c>
      <c r="E435" s="184">
        <v>43.888888888888886</v>
      </c>
      <c r="F435" s="184">
        <v>13.750000000000002</v>
      </c>
      <c r="G435" s="184">
        <v>0.27777777777777779</v>
      </c>
      <c r="H435" s="116"/>
      <c r="I435" s="116"/>
      <c r="J435" s="116"/>
      <c r="K435" s="114"/>
      <c r="L435" s="114"/>
    </row>
    <row r="436" spans="1:12" ht="14.25">
      <c r="A436" s="148" t="s">
        <v>13</v>
      </c>
      <c r="B436" s="16" t="s">
        <v>250</v>
      </c>
      <c r="C436" s="184"/>
      <c r="D436" s="184">
        <v>15.456989247311828</v>
      </c>
      <c r="E436" s="184">
        <v>65.188172043010752</v>
      </c>
      <c r="F436" s="184">
        <v>19.22043010752688</v>
      </c>
      <c r="G436" s="184">
        <v>0.13440860215053765</v>
      </c>
      <c r="H436" s="116"/>
      <c r="I436" s="116"/>
      <c r="J436" s="116"/>
      <c r="K436" s="114"/>
      <c r="L436" s="114"/>
    </row>
    <row r="437" spans="1:12" ht="14.25">
      <c r="A437" s="148" t="s">
        <v>5</v>
      </c>
      <c r="B437" s="16" t="s">
        <v>293</v>
      </c>
      <c r="C437" s="184">
        <v>0.48076923076923078</v>
      </c>
      <c r="D437" s="184">
        <v>17.467948717948715</v>
      </c>
      <c r="E437" s="184">
        <v>49.519230769230774</v>
      </c>
      <c r="F437" s="184">
        <v>30.288461538461537</v>
      </c>
      <c r="G437" s="184">
        <v>2.2435897435897436</v>
      </c>
      <c r="H437" s="116"/>
      <c r="I437" s="116"/>
      <c r="J437" s="116"/>
      <c r="K437" s="114"/>
      <c r="L437" s="114"/>
    </row>
    <row r="438" spans="1:12" ht="14.25">
      <c r="J438" s="116"/>
      <c r="K438" s="114"/>
      <c r="L438" s="114"/>
    </row>
    <row r="439" spans="1:12" ht="14.25">
      <c r="C439" s="191"/>
      <c r="I439" s="116"/>
      <c r="J439" s="116"/>
      <c r="K439" s="114"/>
      <c r="L439" s="114"/>
    </row>
    <row r="440" spans="1:12" ht="14.25">
      <c r="H440" s="116"/>
      <c r="I440" s="116"/>
      <c r="J440" s="116"/>
      <c r="K440" s="114"/>
    </row>
    <row r="441" spans="1:12" ht="14.25">
      <c r="H441" s="116"/>
      <c r="I441" s="116"/>
      <c r="J441" s="116"/>
      <c r="K441" s="114"/>
    </row>
    <row r="450" spans="1:14">
      <c r="A450" s="106" t="s">
        <v>62</v>
      </c>
      <c r="B450" s="85"/>
      <c r="C450" s="85"/>
      <c r="D450" s="85"/>
      <c r="E450" s="85"/>
      <c r="F450" s="85"/>
      <c r="G450" s="85"/>
      <c r="H450" s="85"/>
      <c r="I450" s="85"/>
      <c r="N450" s="139"/>
    </row>
    <row r="451" spans="1:14">
      <c r="A451" s="14"/>
      <c r="B451" s="233" t="s">
        <v>1</v>
      </c>
      <c r="C451" s="233" t="s">
        <v>2</v>
      </c>
      <c r="D451" s="233" t="s">
        <v>25</v>
      </c>
      <c r="E451" s="233" t="s">
        <v>16</v>
      </c>
      <c r="F451" s="233" t="s">
        <v>17</v>
      </c>
      <c r="G451" s="233" t="s">
        <v>178</v>
      </c>
      <c r="H451" s="233" t="s">
        <v>26</v>
      </c>
      <c r="I451" s="233" t="s">
        <v>29</v>
      </c>
      <c r="J451" s="237" t="s">
        <v>117</v>
      </c>
    </row>
    <row r="452" spans="1:14">
      <c r="A452" s="15"/>
      <c r="B452" s="234"/>
      <c r="C452" s="234"/>
      <c r="D452" s="234"/>
      <c r="E452" s="234"/>
      <c r="F452" s="234"/>
      <c r="G452" s="234"/>
      <c r="H452" s="234"/>
      <c r="I452" s="234"/>
      <c r="J452" s="238"/>
    </row>
    <row r="453" spans="1:14">
      <c r="A453" s="107" t="str">
        <f>MID(B43,6,3) &amp; "-" &amp; MID(B43,3,2)</f>
        <v>Ene-25</v>
      </c>
      <c r="B453" s="105">
        <f>VLOOKUP("Mercado Diario",$A$45:$N$64,2,FALSE)</f>
        <v>100.3</v>
      </c>
      <c r="C453" s="105">
        <f>VLOOKUP("Mercado Intradiario",$A$45:$N$64,2,FALSE)</f>
        <v>-0.1</v>
      </c>
      <c r="D453" s="105">
        <f t="shared" ref="D453:D465" si="16">SUM(B453:C453)</f>
        <v>100.2</v>
      </c>
      <c r="E453" s="105">
        <f>SUM(B82:B90)</f>
        <v>10.866</v>
      </c>
      <c r="F453" s="105">
        <f>VLOOKUP("Pago capacidad",$A$45:$N$64,2,FALSE)</f>
        <v>0.27</v>
      </c>
      <c r="G453" s="105">
        <f>VLOOKUP("Mecanismo Ajuste RD-L10/2022 Coste OM",$A$45:$N$64,2,FALSE)+VLOOKUP("Mecanismo Ajuste RD-L10/2022 Coste OS",$A$45:$N$64,2,FALSE)+VLOOKUP("Mecanismo Ajuste RD-L10/2022 Ajuste OS",$A$45:$N$64,2,FALSE)</f>
        <v>0</v>
      </c>
      <c r="H453" s="105">
        <f t="shared" ref="H453:H465" si="17">SUM(D453:G453)</f>
        <v>111.336</v>
      </c>
      <c r="I453" s="92">
        <f>VLOOKUP("Energía final MWh",$A$45:$N$60,2,FALSE)/1000</f>
        <v>21693.074044000001</v>
      </c>
      <c r="J453" s="196" t="str">
        <f>MID(A453,1,1)</f>
        <v>E</v>
      </c>
      <c r="K453" s="170"/>
    </row>
    <row r="454" spans="1:14">
      <c r="A454" s="107" t="str">
        <f>MID(C43,6,3) &amp; "-" &amp; MID(C43,3,2)</f>
        <v>Feb-25</v>
      </c>
      <c r="B454" s="105">
        <f>VLOOKUP("Mercado Diario",$A$45:$N$64,3,FALSE)</f>
        <v>110.71</v>
      </c>
      <c r="C454" s="105">
        <f>VLOOKUP("Mercado Intradiario",$A$45:$N$64,3,FALSE)</f>
        <v>-0.1</v>
      </c>
      <c r="D454" s="105">
        <f t="shared" si="16"/>
        <v>110.61</v>
      </c>
      <c r="E454" s="105">
        <f>SUM(C82:C90)</f>
        <v>15.809999999999999</v>
      </c>
      <c r="F454" s="105">
        <f>VLOOKUP("Pago capacidad",$A$45:$N$64,3,FALSE)</f>
        <v>0.27</v>
      </c>
      <c r="G454" s="105">
        <f>VLOOKUP("Mecanismo Ajuste RD-L10/2022 Coste OM",$A$45:$N$64,3,FALSE)+VLOOKUP("Mecanismo Ajuste RD-L10/2022 Coste OS",$A$45:$N$64,3,FALSE)+VLOOKUP("Mecanismo Ajuste RD-L10/2022 Ajuste OS",$A$45:$N$64,3,FALSE)</f>
        <v>0</v>
      </c>
      <c r="H454" s="105">
        <f t="shared" si="17"/>
        <v>126.69</v>
      </c>
      <c r="I454" s="92">
        <f>VLOOKUP("Energía final MWh",$A$45:$N$60,3,FALSE)/1000</f>
        <v>19242.913862000001</v>
      </c>
      <c r="J454" s="196" t="str">
        <f t="shared" ref="J454:J465" si="18">MID(A454,1,1)</f>
        <v>F</v>
      </c>
      <c r="K454" s="170"/>
    </row>
    <row r="455" spans="1:14">
      <c r="A455" s="107" t="str">
        <f>MID(D43,6,3) &amp; "-" &amp; MID(D43,3,2)</f>
        <v>Mar-25</v>
      </c>
      <c r="B455" s="105">
        <f>VLOOKUP("Mercado Diario",$A$45:$N$64,4,FALSE)</f>
        <v>55.52</v>
      </c>
      <c r="C455" s="105">
        <f>VLOOKUP("Mercado Intradiario",$A$45:$N$64,4,FALSE)</f>
        <v>-0.1</v>
      </c>
      <c r="D455" s="105">
        <f t="shared" si="16"/>
        <v>55.42</v>
      </c>
      <c r="E455" s="105">
        <f>SUM(D82:D90)</f>
        <v>15.43</v>
      </c>
      <c r="F455" s="105">
        <f>VLOOKUP("Pago capacidad",$A$45:$N$64,4,FALSE)</f>
        <v>0.18</v>
      </c>
      <c r="G455" s="105">
        <f>VLOOKUP("Mecanismo Ajuste RD-L10/2022 Coste OM",$A$45:$N$64,4,FALSE)+VLOOKUP("Mecanismo Ajuste RD-L10/2022 Coste OS",$A$45:$N$64,4,FALSE)+VLOOKUP("Mecanismo Ajuste RD-L10/2022 Ajuste OS",$A$45:$N$64,4,FALSE)</f>
        <v>0</v>
      </c>
      <c r="H455" s="105">
        <f t="shared" si="17"/>
        <v>71.03</v>
      </c>
      <c r="I455" s="92">
        <f>VLOOKUP("Energía final MWh",$A$45:$N$60,4,FALSE)/1000</f>
        <v>20819.390217</v>
      </c>
      <c r="J455" s="196" t="str">
        <f t="shared" si="18"/>
        <v>M</v>
      </c>
    </row>
    <row r="456" spans="1:14">
      <c r="A456" s="107" t="str">
        <f>MID(E43,6,3) &amp; "-" &amp; MID(E43,3,2)</f>
        <v>Abr-25</v>
      </c>
      <c r="B456" s="105">
        <f>VLOOKUP("Mercado Diario",$A$45:$N$64,5,FALSE)</f>
        <v>27.66</v>
      </c>
      <c r="C456" s="105">
        <f>VLOOKUP("Mercado Intradiario",$A$45:$N$64,5,FALSE)</f>
        <v>-0.01</v>
      </c>
      <c r="D456" s="105">
        <f t="shared" si="16"/>
        <v>27.65</v>
      </c>
      <c r="E456" s="105">
        <f>SUM(E82:E90)</f>
        <v>17.256</v>
      </c>
      <c r="F456" s="105">
        <f>VLOOKUP("Pago capacidad",$A$45:$N$64,5,FALSE)</f>
        <v>0.14000000000000001</v>
      </c>
      <c r="G456" s="105">
        <f>VLOOKUP("Mecanismo Ajuste RD-L10/2022 Coste OM",$A$45:$N$64,5,FALSE)+VLOOKUP("Mecanismo Ajuste RD-L10/2022 Coste OS",$A$45:$N$64,5,FALSE)+VLOOKUP("Mecanismo Ajuste RD-L10/2022 Ajuste OS",$A$45:$N$64,5,FALSE)</f>
        <v>0</v>
      </c>
      <c r="H456" s="105">
        <f t="shared" si="17"/>
        <v>45.045999999999999</v>
      </c>
      <c r="I456" s="92">
        <f>VLOOKUP("Energía final MWh",$A$45:$N$60,5,FALSE)/1000</f>
        <v>17833.494043000002</v>
      </c>
      <c r="J456" s="196" t="str">
        <f t="shared" si="18"/>
        <v>A</v>
      </c>
    </row>
    <row r="457" spans="1:14">
      <c r="A457" s="107" t="str">
        <f>MID(F43,6,3) &amp; "-" &amp; MID(F43,3,2)</f>
        <v>May-25</v>
      </c>
      <c r="B457" s="105">
        <f>VLOOKUP("Mercado Diario",$A$45:$N$64,6,FALSE)</f>
        <v>17.43</v>
      </c>
      <c r="C457" s="105">
        <f>VLOOKUP("Mercado Intradiario",$A$45:$N$64,6,FALSE)</f>
        <v>-7.0000000000000007E-2</v>
      </c>
      <c r="D457" s="105">
        <f t="shared" si="16"/>
        <v>17.36</v>
      </c>
      <c r="E457" s="105">
        <f>SUM(F82:F90)</f>
        <v>25.319999999999997</v>
      </c>
      <c r="F457" s="105">
        <f>VLOOKUP("Pago capacidad",$A$45:$N$64,6,FALSE)</f>
        <v>0.13</v>
      </c>
      <c r="G457" s="105">
        <f>VLOOKUP("Mecanismo Ajuste RD-L10/2022 Coste OM",$A$45:$N$64,6,FALSE)+VLOOKUP("Mecanismo Ajuste RD-L10/2022 Coste OS",$A$45:$N$64,6,FALSE)+VLOOKUP("Mecanismo Ajuste RD-L10/2022 Ajuste OS",$A$45:$N$64,6,FALSE)</f>
        <v>0</v>
      </c>
      <c r="H457" s="105">
        <f t="shared" si="17"/>
        <v>42.809999999999995</v>
      </c>
      <c r="I457" s="92">
        <f>VLOOKUP("Energía final MWh",$A$45:$N$60,6,FALSE)/1000</f>
        <v>18599.189252</v>
      </c>
      <c r="J457" s="196" t="str">
        <f t="shared" si="18"/>
        <v>M</v>
      </c>
    </row>
    <row r="458" spans="1:14">
      <c r="A458" s="107" t="str">
        <f>MID(G43,6,3) &amp; "-" &amp; MID(G43,3,2)</f>
        <v>Jun-25</v>
      </c>
      <c r="B458" s="105">
        <f>VLOOKUP("Mercado Diario",$A$45:$N$64,7,FALSE)</f>
        <v>72.466999999999999</v>
      </c>
      <c r="C458" s="105">
        <f>VLOOKUP("Mercado Intradiario",$A$45:$N$64,7,FALSE)</f>
        <v>-0.13</v>
      </c>
      <c r="D458" s="105">
        <f t="shared" si="16"/>
        <v>72.337000000000003</v>
      </c>
      <c r="E458" s="105">
        <f>SUM(G82:G90)</f>
        <v>14.657000000000004</v>
      </c>
      <c r="F458" s="105">
        <f>VLOOKUP("Pago capacidad",$A$45:$N$64,7,FALSE)</f>
        <v>0.15</v>
      </c>
      <c r="G458" s="105">
        <f>VLOOKUP("Mecanismo Ajuste RD-L10/2022 Coste OM",$A$45:$N$64,7,FALSE)+VLOOKUP("Mecanismo Ajuste RD-L10/2022 Coste OS",$A$45:$N$64,7,FALSE)+VLOOKUP("Mecanismo Ajuste RD-L10/2022 Ajuste OS",$A$45:$N$64,7,FALSE)</f>
        <v>0</v>
      </c>
      <c r="H458" s="105">
        <f t="shared" si="17"/>
        <v>87.144000000000005</v>
      </c>
      <c r="I458" s="92">
        <f>VLOOKUP("Energía final MWh",$A$45:$N$60,7,FALSE)/1000</f>
        <v>20730.203096999998</v>
      </c>
      <c r="J458" s="196" t="str">
        <f t="shared" si="18"/>
        <v>J</v>
      </c>
    </row>
    <row r="459" spans="1:14">
      <c r="A459" s="107" t="str">
        <f>MID(H43,6,3) &amp; "-" &amp; MID(H43,3,2)</f>
        <v>Jul-25</v>
      </c>
      <c r="B459" s="105">
        <f>VLOOKUP("Mercado Diario",$A$45:$N$64,8,FALSE)</f>
        <v>70.47</v>
      </c>
      <c r="C459" s="105">
        <f>VLOOKUP("Mercado Intradiario",$A$45:$N$64,8,FALSE)</f>
        <v>-0.15</v>
      </c>
      <c r="D459" s="105">
        <f t="shared" si="16"/>
        <v>70.319999999999993</v>
      </c>
      <c r="E459" s="105">
        <f>SUM(H82:H90)</f>
        <v>14.526000000000002</v>
      </c>
      <c r="F459" s="105">
        <f>VLOOKUP("Pago capacidad",$A$45:$N$64,8,FALSE)</f>
        <v>0.28000000000000003</v>
      </c>
      <c r="G459" s="105">
        <f>VLOOKUP("Mecanismo Ajuste RD-L10/2022 Coste OM",$A$45:$N$64,8,FALSE)+VLOOKUP("Mecanismo Ajuste RD-L10/2022 Coste OS",$A$45:$N$64,8,FALSE)+VLOOKUP("Mecanismo Ajuste RD-L10/2022 Ajuste OS",$A$45:$N$64,8,FALSE)</f>
        <v>0</v>
      </c>
      <c r="H459" s="105">
        <f t="shared" si="17"/>
        <v>85.125999999999991</v>
      </c>
      <c r="I459" s="92">
        <f>VLOOKUP("Energía final MWh",$A$45:$N$60,8,FALSE)/1000</f>
        <v>22159.345166000003</v>
      </c>
      <c r="J459" s="196" t="str">
        <f t="shared" si="18"/>
        <v>J</v>
      </c>
    </row>
    <row r="460" spans="1:14">
      <c r="A460" s="107" t="str">
        <f>MID(I43,6,3) &amp; "-" &amp; MID(I43,3,2)</f>
        <v>Ago-25</v>
      </c>
      <c r="B460" s="105">
        <f>VLOOKUP("Mercado Diario",$A$45:$N$64,9,FALSE)</f>
        <v>67.98</v>
      </c>
      <c r="C460" s="105">
        <f>VLOOKUP("Mercado Intradiario",$A$45:$N$64,9,FALSE)</f>
        <v>-0.1</v>
      </c>
      <c r="D460" s="105">
        <f t="shared" si="16"/>
        <v>67.88000000000001</v>
      </c>
      <c r="E460" s="105">
        <f>SUM(I82:I90)</f>
        <v>13.11</v>
      </c>
      <c r="F460" s="105">
        <f>VLOOKUP("Pago capacidad",$A$45:$N$64,9,FALSE)</f>
        <v>0.14000000000000001</v>
      </c>
      <c r="G460" s="105">
        <f>VLOOKUP("Mecanismo Ajuste RD-L10/2022 Coste OM",$A$45:$N$64,9,FALSE)+VLOOKUP("Mecanismo Ajuste RD-L10/2022 Coste OS",$A$45:$N$64,9,FALSE)+VLOOKUP("Mecanismo Ajuste RD-L10/2022 Ajuste OS",$A$45:$N$64,9,FALSE)</f>
        <v>0</v>
      </c>
      <c r="H460" s="105">
        <f t="shared" si="17"/>
        <v>81.13000000000001</v>
      </c>
      <c r="I460" s="92">
        <f>VLOOKUP("Energía final MWh",$A$45:$N$60,9,FALSE)/1000</f>
        <v>20935.693187000001</v>
      </c>
      <c r="J460" s="196" t="str">
        <f t="shared" si="18"/>
        <v>A</v>
      </c>
    </row>
    <row r="461" spans="1:14">
      <c r="A461" s="107" t="str">
        <f>MID(J43,6,3) &amp; "-" &amp; MID(J43,3,2)</f>
        <v>Sep-25</v>
      </c>
      <c r="B461" s="105">
        <f>VLOOKUP("Mercado Diario",$A$45:$N$64,10,FALSE)</f>
        <v>60.85</v>
      </c>
      <c r="C461" s="105">
        <f>VLOOKUP("Mercado Intradiario",$A$45:$N$64,10,FALSE)</f>
        <v>-0.14000000000000001</v>
      </c>
      <c r="D461" s="105">
        <f t="shared" si="16"/>
        <v>60.71</v>
      </c>
      <c r="E461" s="105">
        <f>SUM(J82:J90)</f>
        <v>16.430000000000003</v>
      </c>
      <c r="F461" s="105">
        <f>VLOOKUP("Pago capacidad",$A$45:$N$64,10,FALSE)</f>
        <v>0.15</v>
      </c>
      <c r="G461" s="105">
        <f>VLOOKUP("Mecanismo Ajuste RD-L10/2022 Coste OM",$A$45:$N$64,10,FALSE)+VLOOKUP("Mecanismo Ajuste RD-L10/2022 Coste OS",$A$45:$N$64,10,FALSE)+VLOOKUP("Mecanismo Ajuste RD-L10/2022 Ajuste OS",$A$45:$N$64,10,FALSE)</f>
        <v>0</v>
      </c>
      <c r="H461" s="105">
        <f t="shared" si="17"/>
        <v>77.290000000000006</v>
      </c>
      <c r="I461" s="92">
        <f>VLOOKUP("Energía final MWh",$A$45:$N$60,10,FALSE)/1000</f>
        <v>19542.167315999999</v>
      </c>
      <c r="J461" s="196" t="str">
        <f t="shared" si="18"/>
        <v>S</v>
      </c>
    </row>
    <row r="462" spans="1:14">
      <c r="A462" s="107" t="str">
        <f>MID(K43,6,3) &amp; "-" &amp; MID(K43,3,2)</f>
        <v>Oct-25</v>
      </c>
      <c r="B462" s="105">
        <f>VLOOKUP("Mercado Diario",$A$45:$N$64,11,FALSE)</f>
        <v>76.650000000000006</v>
      </c>
      <c r="C462" s="105">
        <f>VLOOKUP("Mercado Intradiario",$A$45:$N$64,11,FALSE)</f>
        <v>-0.21</v>
      </c>
      <c r="D462" s="105">
        <f t="shared" si="16"/>
        <v>76.440000000000012</v>
      </c>
      <c r="E462" s="105">
        <f>SUM(K82:K90)</f>
        <v>17.375999999999994</v>
      </c>
      <c r="F462" s="105">
        <f>VLOOKUP("Pago capacidad",$A$45:$N$64,11,FALSE)</f>
        <v>0.14000000000000001</v>
      </c>
      <c r="G462" s="105">
        <f>VLOOKUP("Mecanismo Ajuste RD-L10/2022 Coste OM",$A$45:$N$64,11,FALSE)+VLOOKUP("Mecanismo Ajuste RD-L10/2022 Coste OS",$A$45:$N$64,11,FALSE)+VLOOKUP("Mecanismo Ajuste RD-L10/2022 Ajuste OS",$A$45:$N$64,11,FALSE)</f>
        <v>0</v>
      </c>
      <c r="H462" s="105">
        <f t="shared" si="17"/>
        <v>93.956000000000003</v>
      </c>
      <c r="I462" s="92">
        <f>VLOOKUP("Energía final MWh",$A$45:$N$60,11,FALSE)/1000</f>
        <v>19196.58944</v>
      </c>
      <c r="J462" s="196" t="str">
        <f t="shared" si="18"/>
        <v>O</v>
      </c>
    </row>
    <row r="463" spans="1:14">
      <c r="A463" s="107" t="str">
        <f>MID(L43,6,3) &amp; "-" &amp; MID(L43,3,2)</f>
        <v>Nov-25</v>
      </c>
      <c r="B463" s="105">
        <f>VLOOKUP("Mercado Diario",$A$45:$N$64,12,FALSE)</f>
        <v>60.52</v>
      </c>
      <c r="C463" s="105">
        <f>VLOOKUP("Mercado Intradiario",$A$45:$N$64,12,FALSE)</f>
        <v>-0.21</v>
      </c>
      <c r="D463" s="105">
        <f t="shared" si="16"/>
        <v>60.31</v>
      </c>
      <c r="E463" s="105">
        <f>SUM(L82:L90)</f>
        <v>16.023</v>
      </c>
      <c r="F463" s="105">
        <f>VLOOKUP("Pago capacidad",$A$45:$N$64,12,FALSE)</f>
        <v>0.182</v>
      </c>
      <c r="G463" s="105">
        <f>VLOOKUP("Mecanismo Ajuste RD-L10/2022 Coste OM",$A$45:$N$64,12,FALSE)+VLOOKUP("Mecanismo Ajuste RD-L10/2022 Coste OS",$A$45:$N$64,12,FALSE)+VLOOKUP("Mecanismo Ajuste RD-L10/2022 Ajuste OS",$A$45:$N$64,12,FALSE)</f>
        <v>0</v>
      </c>
      <c r="H463" s="105">
        <f t="shared" si="17"/>
        <v>76.515000000000001</v>
      </c>
      <c r="I463" s="92">
        <f>VLOOKUP("Energía final MWh",$A$45:$N$60,12,FALSE)/1000</f>
        <v>19892.075153000002</v>
      </c>
      <c r="J463" s="196" t="str">
        <f t="shared" si="18"/>
        <v>N</v>
      </c>
    </row>
    <row r="464" spans="1:14">
      <c r="A464" s="107" t="str">
        <f>MID(M43,6,3) &amp; "-" &amp; MID(M43,3,2)</f>
        <v>Dic-25</v>
      </c>
      <c r="B464" s="105">
        <f>VLOOKUP("Mercado Diario",$A$45:$N$64,13,FALSE)</f>
        <v>80.28</v>
      </c>
      <c r="C464" s="105">
        <f>VLOOKUP("Mercado Intradiario",$A$45:$N$64,13,FALSE)</f>
        <v>-0.2</v>
      </c>
      <c r="D464" s="105">
        <f t="shared" si="16"/>
        <v>80.08</v>
      </c>
      <c r="E464" s="105">
        <f>SUM(M82:M90)</f>
        <v>13.88</v>
      </c>
      <c r="F464" s="105">
        <f>VLOOKUP("Pago capacidad",$A$45:$N$64,13,FALSE)</f>
        <v>0.26</v>
      </c>
      <c r="G464" s="105"/>
      <c r="H464" s="105">
        <f t="shared" si="17"/>
        <v>94.22</v>
      </c>
      <c r="I464" s="92">
        <f>VLOOKUP("Energía final MWh",$A$45:$N$60,13,FALSE)/1000</f>
        <v>21246.217102000002</v>
      </c>
      <c r="J464" s="196" t="str">
        <f t="shared" si="18"/>
        <v>D</v>
      </c>
      <c r="K464" s="127"/>
      <c r="N464" t="s">
        <v>179</v>
      </c>
    </row>
    <row r="465" spans="1:15">
      <c r="A465" s="108" t="str">
        <f>MID(N43,6,3) &amp; "-" &amp; MID(N43,3,2)</f>
        <v>Ene-26</v>
      </c>
      <c r="B465" s="104">
        <f>VLOOKUP("Mercado Diario",$A$45:$N$64,14,FALSE)</f>
        <v>73.599999999999994</v>
      </c>
      <c r="C465" s="104">
        <f>VLOOKUP("Mercado Intradiario",$A$45:$N$64,14,FALSE)</f>
        <v>-0.13</v>
      </c>
      <c r="D465" s="104">
        <f t="shared" si="16"/>
        <v>73.47</v>
      </c>
      <c r="E465" s="104">
        <f>SUM(N82:N90)</f>
        <v>14.64</v>
      </c>
      <c r="F465" s="104">
        <f>VLOOKUP("Pago capacidad",$A$45:$N$64,14,FALSE)</f>
        <v>0.24</v>
      </c>
      <c r="G465" s="104"/>
      <c r="H465" s="104">
        <f t="shared" si="17"/>
        <v>88.35</v>
      </c>
      <c r="I465" s="109">
        <f>VLOOKUP("Energía final MWh",$A$45:$N$60,14,FALSE)/1000</f>
        <v>22656.740901999998</v>
      </c>
      <c r="J465" s="197" t="str">
        <f t="shared" si="18"/>
        <v>E</v>
      </c>
      <c r="K465" s="49">
        <f>(H465/H464-1)*100</f>
        <v>-6.2300997665039271</v>
      </c>
      <c r="L465" s="49">
        <f>(H465/H453-1)*100</f>
        <v>-20.645613278723861</v>
      </c>
      <c r="M465" s="49">
        <f>H465/H453</f>
        <v>0.79354386721276138</v>
      </c>
      <c r="N465" s="139">
        <f>E465/H465</f>
        <v>0.16570458404074703</v>
      </c>
    </row>
    <row r="466" spans="1:15">
      <c r="D466" s="139"/>
      <c r="E466" s="139"/>
      <c r="F466" s="139"/>
      <c r="G466" s="139"/>
      <c r="H466" s="139"/>
    </row>
    <row r="467" spans="1:15">
      <c r="D467" s="139"/>
      <c r="E467" s="175"/>
      <c r="F467" s="139"/>
      <c r="G467" s="139"/>
    </row>
    <row r="473" spans="1:15">
      <c r="C473" s="62"/>
      <c r="D473" s="62"/>
      <c r="E473" s="62"/>
      <c r="F473" s="62"/>
      <c r="G473" s="62"/>
      <c r="H473" s="62"/>
      <c r="I473" s="62"/>
      <c r="J473" s="62"/>
      <c r="K473" s="62"/>
      <c r="L473" s="62"/>
      <c r="M473" s="62"/>
      <c r="N473" s="62"/>
      <c r="O473" s="62"/>
    </row>
    <row r="475" spans="1:15">
      <c r="C475" s="62"/>
      <c r="D475" s="62"/>
      <c r="E475" s="62"/>
      <c r="F475" s="62"/>
      <c r="G475" s="62"/>
      <c r="H475" s="62"/>
      <c r="I475" s="62"/>
      <c r="J475" s="62"/>
      <c r="K475" s="62"/>
      <c r="L475" s="62"/>
      <c r="M475" s="62"/>
      <c r="N475" s="62"/>
      <c r="O475" s="62"/>
    </row>
    <row r="477" spans="1:15">
      <c r="C477" s="62"/>
      <c r="D477" s="62"/>
      <c r="E477" s="62"/>
      <c r="F477" s="62"/>
      <c r="G477" s="62"/>
      <c r="H477" s="62"/>
      <c r="I477" s="62"/>
      <c r="J477" s="62"/>
      <c r="K477" s="62"/>
      <c r="L477" s="62"/>
      <c r="M477" s="62"/>
      <c r="N477" s="62"/>
      <c r="O477" s="62"/>
    </row>
    <row r="479" spans="1:15">
      <c r="C479" s="62"/>
      <c r="D479" s="62"/>
      <c r="E479" s="62"/>
      <c r="F479" s="62"/>
      <c r="G479" s="62"/>
      <c r="H479" s="62"/>
      <c r="I479" s="62"/>
      <c r="J479" s="62"/>
      <c r="K479" s="62"/>
      <c r="L479" s="62"/>
      <c r="M479" s="62"/>
      <c r="N479" s="62"/>
      <c r="O479" s="62"/>
    </row>
    <row r="481" spans="3:15">
      <c r="C481" s="62"/>
      <c r="D481" s="62"/>
      <c r="E481" s="62"/>
      <c r="F481" s="62"/>
      <c r="G481" s="62"/>
      <c r="H481" s="62"/>
      <c r="I481" s="62"/>
      <c r="J481" s="62"/>
      <c r="K481" s="62"/>
      <c r="L481" s="62"/>
      <c r="M481" s="62"/>
      <c r="N481" s="62"/>
      <c r="O481" s="62"/>
    </row>
    <row r="739" ht="37.5" customHeight="1"/>
    <row r="740" ht="37.5" customHeight="1"/>
  </sheetData>
  <mergeCells count="39">
    <mergeCell ref="A416:A419"/>
    <mergeCell ref="A412:A415"/>
    <mergeCell ref="C409:O409"/>
    <mergeCell ref="A404:A405"/>
    <mergeCell ref="A322:A325"/>
    <mergeCell ref="A339:A357"/>
    <mergeCell ref="A358:A376"/>
    <mergeCell ref="B326:B327"/>
    <mergeCell ref="C336:O336"/>
    <mergeCell ref="B328:B329"/>
    <mergeCell ref="A326:A329"/>
    <mergeCell ref="A402:A403"/>
    <mergeCell ref="C399:O399"/>
    <mergeCell ref="D319:P319"/>
    <mergeCell ref="A217:A235"/>
    <mergeCell ref="A198:A216"/>
    <mergeCell ref="B324:B325"/>
    <mergeCell ref="A154:A173"/>
    <mergeCell ref="A134:A153"/>
    <mergeCell ref="A260:A278"/>
    <mergeCell ref="A279:A297"/>
    <mergeCell ref="B4:AB4"/>
    <mergeCell ref="B5:AB5"/>
    <mergeCell ref="E451:E452"/>
    <mergeCell ref="B41:N41"/>
    <mergeCell ref="B451:B452"/>
    <mergeCell ref="H451:H452"/>
    <mergeCell ref="J451:J452"/>
    <mergeCell ref="D451:D452"/>
    <mergeCell ref="G451:G452"/>
    <mergeCell ref="I451:I452"/>
    <mergeCell ref="F451:F452"/>
    <mergeCell ref="B118:C118"/>
    <mergeCell ref="C451:C452"/>
    <mergeCell ref="C195:O195"/>
    <mergeCell ref="C131:O131"/>
    <mergeCell ref="B188:N188"/>
    <mergeCell ref="C257:O257"/>
    <mergeCell ref="B322:B323"/>
  </mergeCells>
  <phoneticPr fontId="72" type="noConversion"/>
  <conditionalFormatting sqref="L94">
    <cfRule type="cellIs" dxfId="0" priority="1" operator="notEqual">
      <formula>0</formula>
    </cfRule>
  </conditionalFormatting>
  <pageMargins left="0.7" right="0.7" top="0.75" bottom="0.75" header="0.3" footer="0.3"/>
  <pageSetup paperSize="9" orientation="portrait" r:id="rId1"/>
  <ignoredErrors>
    <ignoredError sqref="B67:N67" formulaRange="1"/>
    <ignoredError sqref="C106 G106" 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B1:H31"/>
  <sheetViews>
    <sheetView showGridLines="0" showRowColHeaders="0" tabSelected="1" zoomScale="99" zoomScaleNormal="99" workbookViewId="0">
      <selection activeCell="K28" sqref="K28"/>
    </sheetView>
  </sheetViews>
  <sheetFormatPr baseColWidth="10" defaultColWidth="11.42578125" defaultRowHeight="12.75"/>
  <cols>
    <col min="1" max="1" width="0.42578125" customWidth="1"/>
    <col min="2" max="2" width="2.5703125" customWidth="1"/>
    <col min="3" max="3" width="16.42578125" customWidth="1"/>
    <col min="4" max="4" width="4.5703125" customWidth="1"/>
    <col min="5" max="5" width="95.5703125" customWidth="1"/>
  </cols>
  <sheetData>
    <row r="1" spans="2:8" ht="0.75" customHeight="1"/>
    <row r="2" spans="2:8" ht="21" customHeight="1">
      <c r="C2" s="94"/>
      <c r="D2" s="94"/>
      <c r="E2" s="177" t="s">
        <v>31</v>
      </c>
    </row>
    <row r="3" spans="2:8" ht="15" customHeight="1">
      <c r="C3" s="94"/>
      <c r="D3" s="94"/>
      <c r="E3" s="18" t="str">
        <f>Dat_01!A2</f>
        <v>Enero 2026</v>
      </c>
    </row>
    <row r="4" spans="2:8" s="1" customFormat="1" ht="20.25" customHeight="1">
      <c r="B4" s="2"/>
      <c r="C4" s="11" t="s">
        <v>30</v>
      </c>
    </row>
    <row r="5" spans="2:8" s="1" customFormat="1" ht="9" customHeight="1">
      <c r="B5" s="2"/>
      <c r="C5" s="3"/>
    </row>
    <row r="6" spans="2:8" s="1" customFormat="1" ht="3" customHeight="1">
      <c r="B6" s="2"/>
      <c r="C6" s="3"/>
    </row>
    <row r="7" spans="2:8" s="1" customFormat="1" ht="7.5" customHeight="1">
      <c r="B7" s="2"/>
      <c r="C7" s="95"/>
      <c r="D7" s="9"/>
      <c r="E7" s="9"/>
    </row>
    <row r="8" spans="2:8" s="1" customFormat="1" ht="12.6" customHeight="1">
      <c r="B8" s="2"/>
      <c r="C8" s="96"/>
      <c r="D8" s="97" t="s">
        <v>65</v>
      </c>
      <c r="E8" s="98" t="s">
        <v>37</v>
      </c>
      <c r="F8" s="99"/>
      <c r="G8" s="74"/>
    </row>
    <row r="9" spans="2:8" s="1" customFormat="1" ht="12.6" customHeight="1">
      <c r="B9" s="2"/>
      <c r="C9" s="96"/>
      <c r="D9" s="97" t="s">
        <v>65</v>
      </c>
      <c r="E9" s="98" t="s">
        <v>222</v>
      </c>
      <c r="F9" s="99"/>
      <c r="G9" s="74"/>
    </row>
    <row r="10" spans="2:8" s="1" customFormat="1" ht="12.6" customHeight="1">
      <c r="B10" s="2"/>
      <c r="C10" s="96"/>
      <c r="D10" s="97" t="s">
        <v>65</v>
      </c>
      <c r="E10" s="98" t="s">
        <v>66</v>
      </c>
      <c r="F10" s="99"/>
      <c r="H10" s="94"/>
    </row>
    <row r="11" spans="2:8" s="1" customFormat="1" ht="12.6" customHeight="1">
      <c r="B11" s="2"/>
      <c r="C11" s="96"/>
      <c r="D11" s="97" t="s">
        <v>65</v>
      </c>
      <c r="E11" s="98" t="s">
        <v>67</v>
      </c>
      <c r="F11" s="99"/>
      <c r="H11" s="94"/>
    </row>
    <row r="12" spans="2:8" s="1" customFormat="1" ht="12.6" customHeight="1">
      <c r="B12" s="2"/>
      <c r="C12" s="96"/>
      <c r="D12" s="97" t="s">
        <v>65</v>
      </c>
      <c r="E12" s="98" t="s">
        <v>28</v>
      </c>
      <c r="F12" s="99"/>
    </row>
    <row r="13" spans="2:8" s="1" customFormat="1" ht="12.6" customHeight="1">
      <c r="B13" s="2"/>
      <c r="C13" s="96"/>
      <c r="D13" s="97" t="s">
        <v>65</v>
      </c>
      <c r="E13" s="98" t="s">
        <v>68</v>
      </c>
      <c r="F13" s="99"/>
    </row>
    <row r="14" spans="2:8" s="1" customFormat="1" ht="12.6" customHeight="1">
      <c r="B14" s="2"/>
      <c r="C14" s="96"/>
      <c r="D14" s="97" t="s">
        <v>65</v>
      </c>
      <c r="E14" s="98" t="s">
        <v>168</v>
      </c>
      <c r="F14" s="99"/>
    </row>
    <row r="15" spans="2:8" s="1" customFormat="1" ht="12.6" customHeight="1">
      <c r="B15" s="2"/>
      <c r="C15" s="96"/>
      <c r="D15" s="97" t="s">
        <v>65</v>
      </c>
      <c r="E15" s="98" t="s">
        <v>35</v>
      </c>
      <c r="F15" s="99"/>
    </row>
    <row r="16" spans="2:8" s="1" customFormat="1" ht="12.6" customHeight="1">
      <c r="B16" s="2"/>
      <c r="C16" s="96"/>
      <c r="D16" s="97" t="s">
        <v>65</v>
      </c>
      <c r="E16" s="98" t="s">
        <v>207</v>
      </c>
      <c r="F16" s="99"/>
    </row>
    <row r="17" spans="2:6" s="1" customFormat="1" ht="12.6" customHeight="1">
      <c r="B17" s="2"/>
      <c r="C17" s="96"/>
      <c r="D17" s="97" t="s">
        <v>65</v>
      </c>
      <c r="E17" s="98" t="s">
        <v>64</v>
      </c>
      <c r="F17" s="99"/>
    </row>
    <row r="18" spans="2:6" s="1" customFormat="1" ht="12.6" customHeight="1">
      <c r="B18" s="2"/>
      <c r="C18" s="96"/>
      <c r="D18" s="97" t="s">
        <v>65</v>
      </c>
      <c r="E18" s="98" t="s">
        <v>3</v>
      </c>
      <c r="F18" s="99"/>
    </row>
    <row r="19" spans="2:6" s="1" customFormat="1" ht="12.6" customHeight="1">
      <c r="B19" s="2"/>
      <c r="C19" s="96"/>
      <c r="D19" s="97" t="s">
        <v>65</v>
      </c>
      <c r="E19" s="98" t="s">
        <v>147</v>
      </c>
      <c r="F19" s="99"/>
    </row>
    <row r="20" spans="2:6" s="1" customFormat="1" ht="12.6" customHeight="1">
      <c r="B20" s="2"/>
      <c r="C20" s="96"/>
      <c r="D20" s="97" t="s">
        <v>65</v>
      </c>
      <c r="E20" s="98" t="s">
        <v>145</v>
      </c>
      <c r="F20" s="99"/>
    </row>
    <row r="21" spans="2:6" s="1" customFormat="1" ht="12.6" customHeight="1">
      <c r="B21" s="2"/>
      <c r="C21" s="96"/>
      <c r="D21" s="100" t="s">
        <v>65</v>
      </c>
      <c r="E21" s="98" t="s">
        <v>24</v>
      </c>
      <c r="F21" s="99"/>
    </row>
    <row r="22" spans="2:6" s="1" customFormat="1" ht="8.25" customHeight="1">
      <c r="B22" s="2"/>
      <c r="C22" s="96"/>
      <c r="D22" s="100"/>
      <c r="E22" s="101"/>
      <c r="F22" s="99"/>
    </row>
    <row r="23" spans="2:6" ht="11.25" customHeight="1"/>
    <row r="24" spans="2:6">
      <c r="C24" s="102" t="s">
        <v>201</v>
      </c>
      <c r="E24" s="1"/>
    </row>
    <row r="27" spans="2:6">
      <c r="E27" s="3"/>
    </row>
    <row r="28" spans="2:6">
      <c r="E28" s="3"/>
    </row>
    <row r="29" spans="2:6">
      <c r="E29" s="3"/>
    </row>
    <row r="30" spans="2:6">
      <c r="E30" s="6"/>
    </row>
    <row r="31" spans="2:6">
      <c r="E31" s="103"/>
    </row>
  </sheetData>
  <hyperlinks>
    <hyperlink ref="E8" location="'M1'!A1" display="Valores extremos y medio del precio del mercado diario" xr:uid="{00000000-0004-0000-0000-000000000000}"/>
    <hyperlink ref="E9" location="'M2'!A1" display="Mercado diario: participación de cada tecnología en el precio marginal." xr:uid="{00000000-0004-0000-0000-000001000000}"/>
    <hyperlink ref="E10" location="'M3'!A1" display="Evolución del componente del  precio medio final de la energía." xr:uid="{00000000-0004-0000-0000-000002000000}"/>
    <hyperlink ref="E11" location="'M4'!A1" display="Componentes del precio medio final de la energía." xr:uid="{00000000-0004-0000-0000-000003000000}"/>
    <hyperlink ref="E12" location="'M5'!A1" display="Repercusión de los servicios de ajuste del sistema en el precio final medio" xr:uid="{00000000-0004-0000-0000-000004000000}"/>
    <hyperlink ref="E13" location="'M6'!A1" display="Coste de los servicios de ajuste" xr:uid="{00000000-0004-0000-0000-000005000000}"/>
    <hyperlink ref="E14" location="'M7'!A1" display="Energía gestionada en los servicios de ajustes" xr:uid="{00000000-0004-0000-0000-000006000000}"/>
    <hyperlink ref="E15" location="'M8'!A1" display="Solución de restricciones técnicas (Fase I)" xr:uid="{00000000-0004-0000-0000-000007000000}"/>
    <hyperlink ref="E16" location="'M9'!A1" display="Banda de regulación secundaria" xr:uid="{00000000-0004-0000-0000-000008000000}"/>
    <hyperlink ref="E17" location="'M10'!A1" display="Regulación secundaria utilizada" xr:uid="{00000000-0004-0000-0000-000009000000}"/>
    <hyperlink ref="E18" location="'M11'!A1" display="Regulación terciaria" xr:uid="{00000000-0004-0000-0000-00000A000000}"/>
    <hyperlink ref="E19" location="'M12'!A1" display="Gestión de desvíos" xr:uid="{00000000-0004-0000-0000-00000B000000}"/>
    <hyperlink ref="E20" location="'M13'!A1" display="Restricciones técnicas en tiempo real" xr:uid="{00000000-0004-0000-0000-00000C000000}"/>
    <hyperlink ref="E21" location="'M14'!A1" display="Restricciones técnicas en tiempo real" xr:uid="{A4AEBA58-2C24-463C-BCAD-35616F427214}"/>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P71"/>
  <sheetViews>
    <sheetView showGridLines="0" showRowColHeaders="0" topLeftCell="B1" zoomScaleNormal="100" workbookViewId="0">
      <selection activeCell="I30" sqref="I30"/>
    </sheetView>
  </sheetViews>
  <sheetFormatPr baseColWidth="10" defaultColWidth="10.5703125" defaultRowHeight="10.5"/>
  <cols>
    <col min="1" max="1" width="10.5703125" style="41" hidden="1" customWidth="1"/>
    <col min="2" max="2" width="2.5703125" style="41" customWidth="1"/>
    <col min="3" max="3" width="23.5703125" style="41" customWidth="1"/>
    <col min="4" max="4" width="2.5703125" style="41" customWidth="1"/>
    <col min="5" max="58" width="10.5703125" style="41" customWidth="1"/>
    <col min="59" max="16384" width="10.5703125" style="41"/>
  </cols>
  <sheetData>
    <row r="2" spans="3:12" ht="12.75">
      <c r="C2"/>
      <c r="D2"/>
      <c r="L2" s="17" t="s">
        <v>31</v>
      </c>
    </row>
    <row r="3" spans="3:12" ht="12.75">
      <c r="C3"/>
      <c r="D3"/>
      <c r="L3" s="18" t="str">
        <f>Indice!E3</f>
        <v>Enero 2026</v>
      </c>
    </row>
    <row r="4" spans="3:12" ht="12.75">
      <c r="C4" s="19" t="s">
        <v>30</v>
      </c>
    </row>
    <row r="5" spans="3:12" ht="11.25">
      <c r="C5" s="3"/>
    </row>
    <row r="6" spans="3:12" ht="11.25">
      <c r="C6" s="4"/>
    </row>
    <row r="7" spans="3:12" ht="10.5" customHeight="1">
      <c r="C7" s="228" t="s">
        <v>37</v>
      </c>
    </row>
    <row r="8" spans="3:12" ht="10.5" customHeight="1">
      <c r="C8" s="228"/>
    </row>
    <row r="9" spans="3:12" ht="10.5" customHeight="1">
      <c r="C9" s="48" t="s">
        <v>14</v>
      </c>
    </row>
    <row r="10" spans="3:12" ht="10.5" customHeight="1"/>
    <row r="11" spans="3:12" ht="10.5" customHeight="1">
      <c r="C11" s="48"/>
    </row>
    <row r="12" spans="3:12" ht="10.5" customHeight="1">
      <c r="C12" s="48"/>
    </row>
    <row r="30" spans="9:13">
      <c r="I30" s="40"/>
    </row>
    <row r="32" spans="9:13">
      <c r="I32" s="43"/>
      <c r="M32" s="43"/>
    </row>
    <row r="33" spans="9:16">
      <c r="I33" s="43"/>
      <c r="M33" s="43"/>
    </row>
    <row r="34" spans="9:16">
      <c r="I34" s="43"/>
      <c r="M34" s="44"/>
    </row>
    <row r="35" spans="9:16">
      <c r="I35" s="43"/>
      <c r="M35" s="44"/>
    </row>
    <row r="36" spans="9:16">
      <c r="I36" s="43"/>
      <c r="M36" s="44"/>
    </row>
    <row r="37" spans="9:16">
      <c r="I37" s="43"/>
    </row>
    <row r="38" spans="9:16">
      <c r="I38" s="43"/>
    </row>
    <row r="39" spans="9:16">
      <c r="I39" s="43"/>
    </row>
    <row r="40" spans="9:16">
      <c r="I40" s="43"/>
      <c r="M40" s="45"/>
    </row>
    <row r="41" spans="9:16">
      <c r="I41" s="43"/>
      <c r="M41" s="45"/>
    </row>
    <row r="42" spans="9:16">
      <c r="I42" s="43"/>
    </row>
    <row r="43" spans="9:16">
      <c r="I43" s="43"/>
    </row>
    <row r="44" spans="9:16">
      <c r="I44" s="43"/>
      <c r="M44" s="45"/>
    </row>
    <row r="45" spans="9:16">
      <c r="I45" s="43"/>
      <c r="O45" s="43"/>
    </row>
    <row r="46" spans="9:16">
      <c r="I46" s="43"/>
      <c r="P46" s="43"/>
    </row>
    <row r="47" spans="9:16">
      <c r="I47" s="43"/>
      <c r="P47" s="43"/>
    </row>
    <row r="48" spans="9:16">
      <c r="I48" s="43"/>
      <c r="P48" s="43"/>
    </row>
    <row r="49" spans="8:16">
      <c r="I49" s="43"/>
      <c r="P49" s="43"/>
    </row>
    <row r="50" spans="8:16">
      <c r="I50" s="43"/>
      <c r="P50" s="43"/>
    </row>
    <row r="51" spans="8:16">
      <c r="I51" s="43"/>
      <c r="P51" s="43"/>
    </row>
    <row r="52" spans="8:16">
      <c r="I52" s="43"/>
      <c r="P52" s="43"/>
    </row>
    <row r="53" spans="8:16">
      <c r="I53" s="43"/>
      <c r="M53" s="43"/>
      <c r="N53" s="43"/>
      <c r="P53" s="43"/>
    </row>
    <row r="54" spans="8:16">
      <c r="I54" s="43"/>
      <c r="M54" s="43"/>
      <c r="N54" s="43"/>
      <c r="P54" s="43"/>
    </row>
    <row r="55" spans="8:16">
      <c r="I55" s="43"/>
      <c r="M55" s="43"/>
      <c r="N55" s="43"/>
      <c r="P55" s="43"/>
    </row>
    <row r="56" spans="8:16">
      <c r="I56" s="43"/>
      <c r="M56" s="43"/>
      <c r="N56" s="43"/>
      <c r="P56" s="43"/>
    </row>
    <row r="57" spans="8:16">
      <c r="I57" s="43"/>
      <c r="P57" s="43"/>
    </row>
    <row r="58" spans="8:16" ht="10.5" customHeight="1">
      <c r="I58" s="43"/>
      <c r="M58" s="43"/>
      <c r="N58" s="43"/>
      <c r="P58" s="43"/>
    </row>
    <row r="59" spans="8:16">
      <c r="I59" s="43"/>
      <c r="P59" s="43"/>
    </row>
    <row r="60" spans="8:16">
      <c r="I60" s="43"/>
    </row>
    <row r="61" spans="8:16">
      <c r="I61" s="43"/>
    </row>
    <row r="62" spans="8:16" s="46" customFormat="1" ht="12.75">
      <c r="I62" s="43"/>
    </row>
    <row r="63" spans="8:16">
      <c r="H63" s="45"/>
    </row>
    <row r="64" spans="8:16">
      <c r="H64" s="45"/>
    </row>
    <row r="71" spans="10:10">
      <c r="J71" s="42"/>
    </row>
  </sheetData>
  <mergeCells count="1">
    <mergeCell ref="C7:C8"/>
  </mergeCells>
  <printOptions horizontalCentered="1" verticalCentered="1"/>
  <pageMargins left="0" right="0" top="0.6692913385826772" bottom="0.31496062992125984" header="0" footer="0"/>
  <pageSetup paperSize="9" orientation="landscape" horizontalDpi="355" verticalDpi="35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pageSetUpPr autoPageBreaks="0"/>
  </sheetPr>
  <dimension ref="B1:M28"/>
  <sheetViews>
    <sheetView showGridLines="0" showRowColHeaders="0" topLeftCell="A2" zoomScaleNormal="100" workbookViewId="0">
      <selection activeCell="I9" sqref="I9"/>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8" max="11" width="11.42578125" customWidth="1"/>
  </cols>
  <sheetData>
    <row r="1" spans="2:8" ht="0.6" customHeight="1">
      <c r="F1"/>
    </row>
    <row r="2" spans="2:8" ht="21" customHeight="1">
      <c r="E2" s="17" t="s">
        <v>31</v>
      </c>
      <c r="F2"/>
    </row>
    <row r="3" spans="2:8" ht="15" customHeight="1">
      <c r="E3" s="18" t="str">
        <f>Indice!E3</f>
        <v>Enero 2026</v>
      </c>
      <c r="F3"/>
    </row>
    <row r="4" spans="2:8" s="1" customFormat="1" ht="20.100000000000001" customHeight="1">
      <c r="B4" s="2"/>
      <c r="C4" s="118" t="s">
        <v>30</v>
      </c>
    </row>
    <row r="5" spans="2:8" s="1" customFormat="1" ht="12.6" customHeight="1">
      <c r="B5" s="2"/>
      <c r="C5" s="3"/>
    </row>
    <row r="6" spans="2:8" s="1" customFormat="1" ht="13.35" customHeight="1">
      <c r="B6" s="2"/>
      <c r="C6" s="4"/>
      <c r="D6" s="5"/>
      <c r="E6" s="5"/>
    </row>
    <row r="7" spans="2:8" s="1" customFormat="1" ht="12.75" customHeight="1">
      <c r="B7" s="2"/>
      <c r="C7" s="228" t="s">
        <v>223</v>
      </c>
      <c r="D7" s="5"/>
      <c r="E7" s="6"/>
      <c r="H7" s="128"/>
    </row>
    <row r="8" spans="2:8" s="1" customFormat="1" ht="12.75" customHeight="1">
      <c r="B8" s="2"/>
      <c r="C8" s="228"/>
      <c r="D8" s="5"/>
      <c r="E8" s="6"/>
    </row>
    <row r="9" spans="2:8" s="1" customFormat="1">
      <c r="B9" s="2"/>
      <c r="C9" s="228"/>
      <c r="D9" s="5"/>
      <c r="E9" s="6"/>
    </row>
    <row r="10" spans="2:8" s="1" customFormat="1" ht="12.75" customHeight="1">
      <c r="B10" s="2"/>
      <c r="C10" s="228"/>
      <c r="D10" s="5"/>
      <c r="E10" s="6"/>
    </row>
    <row r="11" spans="2:8" s="1" customFormat="1" ht="12.75" customHeight="1">
      <c r="B11" s="2"/>
      <c r="C11" s="8"/>
      <c r="D11" s="5"/>
      <c r="E11" s="6"/>
      <c r="F11" s="50"/>
    </row>
    <row r="12" spans="2:8" s="1" customFormat="1" ht="12.75" customHeight="1">
      <c r="B12" s="2"/>
      <c r="C12" s="38"/>
      <c r="D12" s="5"/>
      <c r="E12" s="6"/>
      <c r="F12" s="50"/>
    </row>
    <row r="13" spans="2:8" s="1" customFormat="1" ht="12.75" customHeight="1">
      <c r="B13" s="2"/>
      <c r="C13" s="4"/>
      <c r="D13" s="5"/>
      <c r="E13" s="6"/>
      <c r="F13" s="50"/>
    </row>
    <row r="14" spans="2:8" s="1" customFormat="1" ht="12.75" customHeight="1">
      <c r="B14" s="2"/>
      <c r="C14" s="4"/>
      <c r="D14" s="5"/>
      <c r="E14" s="6"/>
      <c r="F14" s="50"/>
    </row>
    <row r="15" spans="2:8" s="1" customFormat="1" ht="12.75" customHeight="1">
      <c r="B15" s="2"/>
      <c r="C15" s="4"/>
      <c r="D15" s="5"/>
      <c r="E15" s="6"/>
      <c r="F15" s="50"/>
    </row>
    <row r="16" spans="2:8" s="1" customFormat="1" ht="12.75" customHeight="1">
      <c r="B16" s="2"/>
      <c r="C16" s="4"/>
      <c r="D16" s="5"/>
      <c r="E16" s="6"/>
      <c r="F16" s="50"/>
    </row>
    <row r="17" spans="2:13" s="1" customFormat="1" ht="12.75" customHeight="1">
      <c r="B17" s="2"/>
      <c r="C17" s="4"/>
      <c r="D17" s="5"/>
      <c r="E17" s="6"/>
      <c r="F17" s="50"/>
    </row>
    <row r="18" spans="2:13" s="1" customFormat="1" ht="12.75" customHeight="1">
      <c r="B18" s="2"/>
      <c r="C18" s="4"/>
      <c r="D18" s="5"/>
      <c r="E18" s="6"/>
      <c r="F18" s="50"/>
    </row>
    <row r="19" spans="2:13" s="1" customFormat="1" ht="12.75" customHeight="1">
      <c r="B19" s="2"/>
      <c r="C19" s="4"/>
      <c r="D19" s="5"/>
      <c r="E19" s="6"/>
      <c r="F19" s="50"/>
    </row>
    <row r="20" spans="2:13" s="1" customFormat="1" ht="12.75" customHeight="1">
      <c r="B20" s="2"/>
      <c r="C20" s="4"/>
      <c r="D20" s="5"/>
      <c r="E20" s="6"/>
      <c r="F20" s="50"/>
    </row>
    <row r="21" spans="2:13" s="1" customFormat="1" ht="12.75" customHeight="1">
      <c r="B21" s="2"/>
      <c r="C21" s="4"/>
      <c r="D21" s="5"/>
      <c r="E21" s="6"/>
      <c r="F21" s="50"/>
    </row>
    <row r="22" spans="2:13">
      <c r="E22" s="6"/>
      <c r="F22" s="50"/>
    </row>
    <row r="23" spans="2:13">
      <c r="E23" s="6"/>
      <c r="F23" s="50"/>
    </row>
    <row r="24" spans="2:13">
      <c r="E24" s="6"/>
      <c r="F24" s="1"/>
      <c r="G24" s="1"/>
      <c r="H24" s="1"/>
    </row>
    <row r="25" spans="2:13">
      <c r="E25" s="6"/>
      <c r="F25" s="1"/>
      <c r="G25" s="1"/>
      <c r="H25" s="1"/>
    </row>
    <row r="26" spans="2:13">
      <c r="E26" s="6"/>
    </row>
    <row r="27" spans="2:13">
      <c r="E27" s="6"/>
      <c r="H27" s="49"/>
      <c r="L27" s="49"/>
      <c r="M27" s="49"/>
    </row>
    <row r="28" spans="2:13">
      <c r="E28" s="6"/>
    </row>
  </sheetData>
  <mergeCells count="1">
    <mergeCell ref="C7:C10"/>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pageSetUpPr autoPageBreaks="0"/>
  </sheetPr>
  <dimension ref="B1:S28"/>
  <sheetViews>
    <sheetView showGridLines="0" showRowColHeaders="0" topLeftCell="A2" zoomScale="93" zoomScaleNormal="93" workbookViewId="0">
      <selection activeCell="E31" sqref="E31"/>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s>
  <sheetData>
    <row r="1" spans="2:19" ht="0.6" customHeight="1">
      <c r="F1"/>
    </row>
    <row r="2" spans="2:19" ht="21" customHeight="1">
      <c r="E2" s="17" t="s">
        <v>31</v>
      </c>
      <c r="F2"/>
    </row>
    <row r="3" spans="2:19" ht="15" customHeight="1">
      <c r="E3" s="78" t="str">
        <f>Indice!E3</f>
        <v>Enero 2026</v>
      </c>
      <c r="F3"/>
    </row>
    <row r="4" spans="2:19" s="1" customFormat="1" ht="20.100000000000001" customHeight="1">
      <c r="B4" s="2"/>
      <c r="C4" s="19" t="s">
        <v>30</v>
      </c>
    </row>
    <row r="5" spans="2:19" s="1" customFormat="1" ht="12.6" customHeight="1">
      <c r="B5" s="2"/>
      <c r="C5" s="3"/>
    </row>
    <row r="6" spans="2:19" s="1" customFormat="1" ht="13.35" customHeight="1">
      <c r="B6" s="2"/>
      <c r="C6" s="4"/>
      <c r="D6" s="5"/>
      <c r="E6" s="5"/>
    </row>
    <row r="7" spans="2:19" s="1" customFormat="1" ht="12.75" customHeight="1">
      <c r="B7" s="2"/>
      <c r="C7" s="228" t="s">
        <v>44</v>
      </c>
      <c r="D7" s="5"/>
      <c r="E7" s="12"/>
    </row>
    <row r="8" spans="2:19" s="1" customFormat="1" ht="12.75" customHeight="1">
      <c r="B8" s="2"/>
      <c r="C8" s="228"/>
      <c r="D8" s="5"/>
      <c r="E8" s="12"/>
    </row>
    <row r="9" spans="2:19" s="1" customFormat="1" ht="18" customHeight="1">
      <c r="B9" s="2"/>
      <c r="C9" s="228"/>
      <c r="D9" s="5"/>
      <c r="E9" s="12"/>
      <c r="F9" s="50"/>
      <c r="R9" s="79"/>
      <c r="S9" s="82"/>
    </row>
    <row r="10" spans="2:19" s="1" customFormat="1" ht="12.75" customHeight="1">
      <c r="B10" s="2"/>
      <c r="D10" s="5"/>
      <c r="E10" s="12"/>
      <c r="F10" s="50"/>
      <c r="R10" s="79"/>
      <c r="S10" s="82"/>
    </row>
    <row r="11" spans="2:19" s="1" customFormat="1" ht="12.75" customHeight="1">
      <c r="B11" s="2"/>
      <c r="C11" s="8"/>
      <c r="D11" s="5"/>
      <c r="E11" s="12"/>
      <c r="F11" s="50"/>
      <c r="R11" s="79"/>
      <c r="S11" s="82"/>
    </row>
    <row r="12" spans="2:19" s="1" customFormat="1" ht="12.75" customHeight="1">
      <c r="B12" s="2"/>
      <c r="C12" s="38"/>
      <c r="D12" s="5"/>
      <c r="E12" s="12"/>
      <c r="F12" s="50"/>
      <c r="R12" s="79"/>
      <c r="S12" s="82"/>
    </row>
    <row r="13" spans="2:19" s="1" customFormat="1" ht="12.75" customHeight="1">
      <c r="B13" s="2"/>
      <c r="C13" s="4"/>
      <c r="D13" s="5"/>
      <c r="E13" s="12"/>
      <c r="F13" s="50"/>
      <c r="R13" s="79"/>
      <c r="S13" s="82"/>
    </row>
    <row r="14" spans="2:19" s="1" customFormat="1" ht="12.75" customHeight="1">
      <c r="B14" s="2"/>
      <c r="C14" s="4"/>
      <c r="D14" s="5"/>
      <c r="E14" s="12"/>
      <c r="F14" s="50"/>
      <c r="R14" s="79"/>
      <c r="S14" s="82"/>
    </row>
    <row r="15" spans="2:19" s="1" customFormat="1" ht="12.75" customHeight="1">
      <c r="B15" s="2"/>
      <c r="C15" s="4"/>
      <c r="D15" s="5"/>
      <c r="E15" s="12"/>
      <c r="F15" s="50"/>
      <c r="R15" s="79"/>
      <c r="S15" s="82"/>
    </row>
    <row r="16" spans="2:19" s="1" customFormat="1" ht="12.75" customHeight="1">
      <c r="B16" s="2"/>
      <c r="C16" s="4"/>
      <c r="D16" s="5"/>
      <c r="E16" s="12"/>
      <c r="F16" s="50"/>
      <c r="R16" s="79"/>
      <c r="S16" s="82"/>
    </row>
    <row r="17" spans="2:19" s="1" customFormat="1" ht="12.75" customHeight="1">
      <c r="B17" s="2"/>
      <c r="C17" s="4"/>
      <c r="D17" s="5"/>
      <c r="E17" s="12"/>
      <c r="F17" s="50"/>
      <c r="R17" s="79"/>
      <c r="S17" s="82"/>
    </row>
    <row r="18" spans="2:19" s="1" customFormat="1" ht="12.75" customHeight="1">
      <c r="B18" s="2"/>
      <c r="C18" s="4"/>
      <c r="D18" s="5"/>
      <c r="E18" s="12"/>
      <c r="F18" s="50"/>
      <c r="R18" s="79"/>
      <c r="S18" s="82"/>
    </row>
    <row r="19" spans="2:19" s="1" customFormat="1" ht="12.75" customHeight="1">
      <c r="B19" s="2"/>
      <c r="C19" s="4"/>
      <c r="D19" s="5"/>
      <c r="E19" s="12"/>
      <c r="F19" s="50"/>
      <c r="R19" s="79"/>
      <c r="S19" s="82"/>
    </row>
    <row r="20" spans="2:19" s="1" customFormat="1" ht="12.75" customHeight="1">
      <c r="B20" s="2"/>
      <c r="C20" s="4"/>
      <c r="D20" s="5"/>
      <c r="E20" s="12"/>
      <c r="F20" s="50"/>
      <c r="R20" s="79"/>
      <c r="S20" s="82"/>
    </row>
    <row r="21" spans="2:19" s="1" customFormat="1" ht="12.75" customHeight="1">
      <c r="B21" s="2"/>
      <c r="C21" s="4"/>
      <c r="D21" s="5"/>
      <c r="E21" s="12"/>
      <c r="F21" s="50"/>
      <c r="R21" s="79"/>
      <c r="S21" s="82"/>
    </row>
    <row r="22" spans="2:19">
      <c r="E22" s="12"/>
      <c r="F22" s="1"/>
      <c r="R22" s="80"/>
    </row>
    <row r="23" spans="2:19">
      <c r="E23" s="12"/>
      <c r="F23" s="1"/>
      <c r="R23" s="81"/>
    </row>
    <row r="24" spans="2:19">
      <c r="E24" s="12"/>
      <c r="F24" s="1"/>
    </row>
    <row r="25" spans="2:19">
      <c r="E25" s="6"/>
      <c r="F25" s="1"/>
      <c r="G25" s="1"/>
      <c r="H25" s="1"/>
      <c r="Q25" s="1"/>
    </row>
    <row r="26" spans="2:19">
      <c r="E26" s="6"/>
    </row>
    <row r="27" spans="2:19">
      <c r="E27" s="6"/>
    </row>
    <row r="28" spans="2:19">
      <c r="E28" s="6"/>
    </row>
  </sheetData>
  <customSheetViews>
    <customSheetView guid="{900DFCC7-DCF9-11D6-8470-0008C7298EBA}" showGridLines="0" showRowCol="0" outlineSymbols="0" showRuler="0"/>
    <customSheetView guid="{900DFCC6-DCF9-11D6-8470-0008C7298EBA}" showGridLines="0" showRowCol="0" outlineSymbols="0" showRuler="0"/>
    <customSheetView guid="{900DFCC5-DCF9-11D6-8470-0008C7298EBA}" showGridLines="0" showRowCol="0" outlineSymbols="0" showRuler="0"/>
    <customSheetView guid="{900DFCC4-DCF9-11D6-8470-0008C7298EBA}" showGridLines="0" showRowCol="0" outlineSymbols="0" showRuler="0"/>
    <customSheetView guid="{900DFCC3-DCF9-11D6-8470-0008C7298EBA}" showGridLines="0" showRowCol="0" outlineSymbols="0" showRuler="0"/>
    <customSheetView guid="{900DFCC2-DCF9-11D6-8470-0008C7298EBA}" showGridLines="0" showRowCol="0" outlineSymbols="0" showRuler="0"/>
    <customSheetView guid="{900DFCC1-DCF9-11D6-8470-0008C7298EBA}" showGridLines="0" showRowCol="0" outlineSymbols="0" showRuler="0"/>
    <customSheetView guid="{900DFCC0-DCF9-11D6-8470-0008C7298EBA}" showGridLines="0" showRowCol="0" outlineSymbols="0" showRuler="0"/>
    <customSheetView guid="{900DFCBF-DCF9-11D6-8470-0008C7298EBA}" showGridLines="0" showRowCol="0" outlineSymbols="0" showRuler="0"/>
    <customSheetView guid="{900DFCBE-DCF9-11D6-8470-0008C7298EBA}" showGridLines="0" showRowCol="0" outlineSymbols="0" showRuler="0"/>
    <customSheetView guid="{900DFCBD-DCF9-11D6-8470-0008C7298EBA}" showGridLines="0" showRowCol="0" outlineSymbols="0" showRuler="0"/>
    <customSheetView guid="{900DFCBC-DCF9-11D6-8470-0008C7298EBA}" showGridLines="0" showRowCol="0" outlineSymbols="0" showRuler="0"/>
    <customSheetView guid="{900DFCBB-DCF9-11D6-8470-0008C7298EBA}" showGridLines="0" showRowCol="0" outlineSymbols="0" showRuler="0"/>
    <customSheetView guid="{900DFCBA-DCF9-11D6-8470-0008C7298EBA}" showGridLines="0" showRowCol="0" outlineSymbols="0" showRuler="0"/>
    <customSheetView guid="{900DFCB9-DCF9-11D6-8470-0008C7298EBA}" showGridLines="0" showRowCol="0" outlineSymbols="0" showRuler="0"/>
    <customSheetView guid="{900DFCB8-DCF9-11D6-8470-0008C7298EBA}" showGridLines="0" showRowCol="0" outlineSymbols="0" showRuler="0"/>
    <customSheetView guid="{900DFCB7-DCF9-11D6-8470-0008C7298EBA}" showGridLines="0" showRowCol="0" outlineSymbols="0" showRuler="0"/>
    <customSheetView guid="{900DFCB6-DCF9-11D6-8470-0008C7298EBA}" showGridLines="0" showRowCol="0" outlineSymbols="0" showRuler="0"/>
    <customSheetView guid="{900DFCB5-DCF9-11D6-8470-0008C7298EBA}" showGridLines="0" showRowCol="0" outlineSymbols="0" showRuler="0"/>
    <customSheetView guid="{900DFCB4-DCF9-11D6-8470-0008C7298EBA}" showGridLines="0" showRowCol="0" outlineSymbols="0" showRuler="0"/>
    <customSheetView guid="{900DFCB2-DCF9-11D6-8470-0008C7298EBA}" showGridLines="0" showRowCol="0" outlineSymbols="0" showRuler="0"/>
  </customSheetViews>
  <mergeCells count="1">
    <mergeCell ref="C7:C9"/>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S36"/>
  <sheetViews>
    <sheetView showGridLines="0" showRowColHeaders="0" workbookViewId="0">
      <selection activeCell="F26" sqref="F26"/>
    </sheetView>
  </sheetViews>
  <sheetFormatPr baseColWidth="10" defaultColWidth="11.42578125" defaultRowHeight="12.75"/>
  <cols>
    <col min="1" max="1" width="3.5703125" style="20" customWidth="1"/>
    <col min="2" max="2" width="23.5703125" style="20" customWidth="1"/>
    <col min="3" max="3" width="11.42578125" style="20"/>
    <col min="4" max="4" width="12.42578125" style="20" customWidth="1"/>
    <col min="5" max="5" width="11.42578125" style="20" customWidth="1"/>
    <col min="6" max="6" width="11.42578125" style="20"/>
    <col min="7" max="7" width="12.42578125" style="20" customWidth="1"/>
    <col min="8" max="10" width="11.42578125" style="20"/>
    <col min="11" max="11" width="13" style="20" customWidth="1"/>
    <col min="12" max="16384" width="11.42578125" style="20"/>
  </cols>
  <sheetData>
    <row r="1" spans="1:8">
      <c r="A1" s="20" t="s">
        <v>4</v>
      </c>
    </row>
    <row r="2" spans="1:8">
      <c r="H2" s="17" t="s">
        <v>31</v>
      </c>
    </row>
    <row r="3" spans="1:8">
      <c r="H3" s="78" t="str">
        <f>Indice!E3</f>
        <v>Enero 2026</v>
      </c>
    </row>
    <row r="4" spans="1:8">
      <c r="B4" s="19" t="s">
        <v>30</v>
      </c>
    </row>
    <row r="7" spans="1:8" ht="12.75" customHeight="1">
      <c r="B7" s="229" t="s">
        <v>38</v>
      </c>
    </row>
    <row r="8" spans="1:8">
      <c r="B8" s="229"/>
    </row>
    <row r="9" spans="1:8">
      <c r="B9" s="47" t="s">
        <v>14</v>
      </c>
    </row>
    <row r="27" spans="5:19">
      <c r="P27" s="21"/>
      <c r="Q27" s="22"/>
      <c r="R27" s="21"/>
      <c r="S27" s="22"/>
    </row>
    <row r="28" spans="5:19">
      <c r="P28" s="23"/>
      <c r="Q28" s="24"/>
      <c r="R28" s="23"/>
      <c r="S28" s="24"/>
    </row>
    <row r="30" spans="5:19">
      <c r="E30" s="66"/>
      <c r="F30" s="66"/>
      <c r="G30" s="66"/>
      <c r="H30" s="66"/>
    </row>
    <row r="32" spans="5:19">
      <c r="J32" s="25"/>
      <c r="K32" s="26"/>
      <c r="L32" s="26"/>
      <c r="M32" s="26"/>
      <c r="N32" s="26"/>
    </row>
    <row r="33" spans="10:15">
      <c r="J33" s="25"/>
      <c r="K33" s="26"/>
      <c r="L33" s="26"/>
      <c r="M33" s="26"/>
      <c r="N33" s="26"/>
      <c r="O33" s="26"/>
    </row>
    <row r="34" spans="10:15">
      <c r="J34" s="26"/>
      <c r="K34" s="26"/>
      <c r="L34" s="26"/>
      <c r="M34" s="26"/>
      <c r="N34" s="26"/>
    </row>
    <row r="35" spans="10:15">
      <c r="J35" s="26"/>
      <c r="K35" s="26"/>
      <c r="L35" s="26"/>
      <c r="M35" s="26"/>
      <c r="N35" s="26"/>
    </row>
    <row r="36" spans="10:15">
      <c r="K36" s="27"/>
    </row>
  </sheetData>
  <mergeCells count="1">
    <mergeCell ref="B7:B8"/>
  </mergeCells>
  <printOptions horizontalCentered="1" verticalCentered="1"/>
  <pageMargins left="0.78740157480314965" right="0.78740157480314965" top="0.98425196850393704" bottom="0.98425196850393704" header="0" footer="0"/>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autoPageBreaks="0"/>
  </sheetPr>
  <dimension ref="B1:AM34"/>
  <sheetViews>
    <sheetView showGridLines="0" showRowColHeaders="0" topLeftCell="A2" zoomScaleNormal="100" workbookViewId="0">
      <selection activeCell="H21" sqref="H21"/>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7" max="7" width="28.42578125" customWidth="1"/>
    <col min="8" max="20" width="9.42578125" customWidth="1"/>
    <col min="24" max="36" width="13.42578125" bestFit="1" customWidth="1"/>
  </cols>
  <sheetData>
    <row r="1" spans="2:39" ht="0.6" customHeight="1">
      <c r="F1"/>
    </row>
    <row r="2" spans="2:39" ht="21" customHeight="1">
      <c r="E2" s="17" t="s">
        <v>31</v>
      </c>
      <c r="F2" s="10"/>
      <c r="G2" s="10"/>
      <c r="H2" s="10"/>
      <c r="I2" s="10"/>
      <c r="J2" s="10"/>
      <c r="K2" s="10"/>
      <c r="L2" s="10"/>
      <c r="M2" s="10"/>
      <c r="N2" s="10"/>
      <c r="O2" s="10"/>
      <c r="P2" s="10"/>
      <c r="Q2" s="10"/>
      <c r="R2" s="10"/>
      <c r="S2" s="10"/>
      <c r="T2" s="10"/>
    </row>
    <row r="3" spans="2:39" ht="15" customHeight="1">
      <c r="E3" s="78" t="str">
        <f>Indice!E3</f>
        <v>Enero 2026</v>
      </c>
      <c r="F3" s="11"/>
      <c r="G3" s="11"/>
      <c r="H3" s="11"/>
      <c r="I3" s="11"/>
      <c r="J3" s="11"/>
      <c r="K3" s="11"/>
      <c r="L3" s="11"/>
      <c r="M3" s="11"/>
      <c r="N3" s="11"/>
      <c r="O3" s="11"/>
      <c r="P3" s="11"/>
      <c r="Q3" s="11"/>
      <c r="R3" s="11"/>
      <c r="S3" s="11"/>
      <c r="T3" s="11"/>
    </row>
    <row r="4" spans="2:39" s="1" customFormat="1" ht="20.100000000000001" customHeight="1">
      <c r="C4" s="19" t="s">
        <v>30</v>
      </c>
    </row>
    <row r="5" spans="2:39" s="1" customFormat="1" ht="12.6" customHeight="1">
      <c r="B5" s="2"/>
      <c r="C5" s="3"/>
    </row>
    <row r="6" spans="2:39" s="1" customFormat="1" ht="13.35" customHeight="1">
      <c r="B6" s="2"/>
      <c r="C6" s="4"/>
      <c r="D6" s="5"/>
      <c r="E6" s="5"/>
    </row>
    <row r="7" spans="2:39" s="1" customFormat="1" ht="12.75" customHeight="1">
      <c r="B7" s="2"/>
      <c r="C7" s="229" t="s">
        <v>28</v>
      </c>
      <c r="D7" s="5"/>
      <c r="E7" s="12"/>
    </row>
    <row r="8" spans="2:39" s="1" customFormat="1" ht="12.75" customHeight="1">
      <c r="B8" s="2"/>
      <c r="C8" s="229"/>
      <c r="D8" s="5"/>
      <c r="E8" s="12"/>
    </row>
    <row r="9" spans="2:39" s="1" customFormat="1" ht="12.75" customHeight="1">
      <c r="B9" s="2"/>
      <c r="C9" s="229"/>
      <c r="D9" s="5"/>
      <c r="E9" s="12"/>
    </row>
    <row r="10" spans="2:39" s="1" customFormat="1" ht="12.75" customHeight="1">
      <c r="B10" s="2"/>
      <c r="C10" s="229"/>
      <c r="D10" s="5"/>
      <c r="E10" s="12"/>
    </row>
    <row r="11" spans="2:39" s="1" customFormat="1" ht="12.75" customHeight="1">
      <c r="B11" s="2"/>
      <c r="C11" s="47"/>
      <c r="D11" s="5"/>
      <c r="E11" s="9"/>
    </row>
    <row r="12" spans="2:39" s="1" customFormat="1" ht="12.75" customHeight="1">
      <c r="B12" s="2"/>
      <c r="C12" s="47"/>
      <c r="D12" s="5"/>
      <c r="E12" s="9"/>
    </row>
    <row r="13" spans="2:39" s="1" customFormat="1" ht="12.75" customHeight="1">
      <c r="B13" s="2"/>
      <c r="C13" s="4"/>
      <c r="D13" s="5"/>
      <c r="E13" s="9"/>
    </row>
    <row r="14" spans="2:39" s="1" customFormat="1" ht="12.75" customHeight="1">
      <c r="B14" s="2"/>
      <c r="C14" s="4"/>
      <c r="D14" s="5"/>
      <c r="E14" s="9"/>
    </row>
    <row r="15" spans="2:39" s="1" customFormat="1" ht="12.75" customHeight="1">
      <c r="B15" s="2"/>
      <c r="C15" s="4"/>
      <c r="D15" s="5"/>
      <c r="E15" s="9"/>
    </row>
    <row r="16" spans="2:39" s="74" customFormat="1" ht="12.75" customHeight="1">
      <c r="C16" s="75"/>
      <c r="D16" s="76"/>
      <c r="E16" s="77"/>
      <c r="AL16" s="1"/>
      <c r="AM16" s="1"/>
    </row>
    <row r="17" spans="2:39" s="1" customFormat="1" ht="12.75" customHeight="1">
      <c r="B17" s="2"/>
      <c r="C17" s="4"/>
      <c r="D17" s="5"/>
      <c r="E17" s="9"/>
    </row>
    <row r="18" spans="2:39" s="1" customFormat="1" ht="12.75" customHeight="1">
      <c r="B18" s="2"/>
      <c r="C18" s="4"/>
      <c r="D18" s="5"/>
      <c r="E18" s="9"/>
    </row>
    <row r="19" spans="2:39" s="1" customFormat="1" ht="12.75" customHeight="1">
      <c r="B19" s="2"/>
      <c r="C19" s="4"/>
      <c r="D19" s="5"/>
      <c r="E19" s="9"/>
      <c r="AL19" s="74"/>
      <c r="AM19" s="74"/>
    </row>
    <row r="20" spans="2:39" s="1" customFormat="1" ht="12.75" customHeight="1">
      <c r="B20" s="2"/>
      <c r="C20" s="4"/>
      <c r="D20" s="5"/>
      <c r="E20" s="9"/>
    </row>
    <row r="21" spans="2:39" s="1" customFormat="1" ht="12.75" customHeight="1">
      <c r="B21" s="2"/>
      <c r="C21" s="4"/>
      <c r="D21" s="5"/>
      <c r="E21" s="9"/>
    </row>
    <row r="22" spans="2:39">
      <c r="E22" s="13"/>
      <c r="AL22" s="1"/>
      <c r="AM22" s="1"/>
    </row>
    <row r="23" spans="2:39">
      <c r="E23" s="13"/>
      <c r="AL23" s="1"/>
      <c r="AM23" s="1"/>
    </row>
    <row r="24" spans="2:39">
      <c r="E24" s="13"/>
      <c r="AL24" s="1"/>
      <c r="AM24" s="1"/>
    </row>
    <row r="25" spans="2:39" ht="16.350000000000001" customHeight="1">
      <c r="E25" s="39"/>
    </row>
    <row r="27" spans="2:39">
      <c r="E27" s="132" t="s">
        <v>188</v>
      </c>
    </row>
    <row r="34" spans="6:6">
      <c r="F34" s="70"/>
    </row>
  </sheetData>
  <customSheetViews>
    <customSheetView guid="{900DFCC7-DCF9-11D6-8470-0008C7298EBA}" showGridLines="0" showRowCol="0" outlineSymbols="0" showRuler="0"/>
    <customSheetView guid="{900DFCC6-DCF9-11D6-8470-0008C7298EBA}" showGridLines="0" showRowCol="0" outlineSymbols="0" showRuler="0"/>
    <customSheetView guid="{900DFCC5-DCF9-11D6-8470-0008C7298EBA}" showGridLines="0" showRowCol="0" outlineSymbols="0" showRuler="0"/>
    <customSheetView guid="{900DFCC4-DCF9-11D6-8470-0008C7298EBA}" showGridLines="0" showRowCol="0" outlineSymbols="0" showRuler="0"/>
    <customSheetView guid="{900DFCC3-DCF9-11D6-8470-0008C7298EBA}" showGridLines="0" showRowCol="0" outlineSymbols="0" showRuler="0"/>
    <customSheetView guid="{900DFCC2-DCF9-11D6-8470-0008C7298EBA}" showGridLines="0" showRowCol="0" outlineSymbols="0" showRuler="0"/>
    <customSheetView guid="{900DFCC1-DCF9-11D6-8470-0008C7298EBA}" showGridLines="0" showRowCol="0" outlineSymbols="0" showRuler="0"/>
    <customSheetView guid="{900DFCC0-DCF9-11D6-8470-0008C7298EBA}" showGridLines="0" showRowCol="0" outlineSymbols="0" showRuler="0"/>
    <customSheetView guid="{900DFCBF-DCF9-11D6-8470-0008C7298EBA}" showGridLines="0" showRowCol="0" outlineSymbols="0" showRuler="0"/>
    <customSheetView guid="{900DFCBE-DCF9-11D6-8470-0008C7298EBA}" showGridLines="0" showRowCol="0" outlineSymbols="0" showRuler="0"/>
    <customSheetView guid="{900DFCBD-DCF9-11D6-8470-0008C7298EBA}" showGridLines="0" showRowCol="0" outlineSymbols="0" showRuler="0"/>
    <customSheetView guid="{900DFCBC-DCF9-11D6-8470-0008C7298EBA}" showGridLines="0" showRowCol="0" outlineSymbols="0" showRuler="0"/>
    <customSheetView guid="{900DFCBB-DCF9-11D6-8470-0008C7298EBA}" showGridLines="0" showRowCol="0" outlineSymbols="0" showRuler="0"/>
    <customSheetView guid="{900DFCBA-DCF9-11D6-8470-0008C7298EBA}" showGridLines="0" showRowCol="0" outlineSymbols="0" showRuler="0"/>
    <customSheetView guid="{900DFCB9-DCF9-11D6-8470-0008C7298EBA}" showGridLines="0" showRowCol="0" outlineSymbols="0" showRuler="0"/>
    <customSheetView guid="{900DFCB8-DCF9-11D6-8470-0008C7298EBA}" showGridLines="0" showRowCol="0" outlineSymbols="0" showRuler="0"/>
    <customSheetView guid="{900DFCB7-DCF9-11D6-8470-0008C7298EBA}" showGridLines="0" showRowCol="0" outlineSymbols="0" showRuler="0"/>
    <customSheetView guid="{900DFCB6-DCF9-11D6-8470-0008C7298EBA}" showGridLines="0" showRowCol="0" outlineSymbols="0" showRuler="0"/>
    <customSheetView guid="{900DFCB5-DCF9-11D6-8470-0008C7298EBA}" showGridLines="0" showRowCol="0" outlineSymbols="0" showRuler="0"/>
    <customSheetView guid="{900DFCB4-DCF9-11D6-8470-0008C7298EBA}" showGridLines="0" showRowCol="0" outlineSymbols="0" showRuler="0"/>
    <customSheetView guid="{900DFCB2-DCF9-11D6-8470-0008C7298EBA}" showGridLines="0" showRowCol="0" outlineSymbols="0" showRuler="0"/>
  </customSheetViews>
  <mergeCells count="1">
    <mergeCell ref="C7:C10"/>
  </mergeCells>
  <phoneticPr fontId="0" type="noConversion"/>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pageSetUpPr autoPageBreaks="0"/>
  </sheetPr>
  <dimension ref="B1:K39"/>
  <sheetViews>
    <sheetView showGridLines="0" showRowColHeaders="0" topLeftCell="A2" workbookViewId="0">
      <selection activeCell="H21" sqref="H21"/>
    </sheetView>
  </sheetViews>
  <sheetFormatPr baseColWidth="10" defaultRowHeight="12.75"/>
  <cols>
    <col min="1" max="1" width="0.42578125" customWidth="1"/>
    <col min="2" max="2" width="2.5703125" customWidth="1"/>
    <col min="3" max="3" width="23.5703125" customWidth="1"/>
    <col min="4" max="4" width="1.42578125" customWidth="1"/>
    <col min="5" max="5" width="50.5703125" customWidth="1"/>
    <col min="6" max="6" width="18.5703125" style="7" customWidth="1"/>
    <col min="7" max="7" width="18.5703125" customWidth="1"/>
    <col min="8" max="9" width="9.42578125" customWidth="1"/>
    <col min="11" max="11" width="26.5703125" bestFit="1" customWidth="1"/>
    <col min="12" max="12" width="12.42578125" bestFit="1" customWidth="1"/>
    <col min="13" max="13" width="35.42578125" bestFit="1" customWidth="1"/>
    <col min="14" max="14" width="20.42578125" bestFit="1" customWidth="1"/>
    <col min="15" max="15" width="28.42578125" bestFit="1" customWidth="1"/>
    <col min="16" max="16" width="12.42578125" bestFit="1" customWidth="1"/>
    <col min="17" max="17" width="35.42578125" bestFit="1" customWidth="1"/>
    <col min="18" max="18" width="20.42578125" bestFit="1" customWidth="1"/>
  </cols>
  <sheetData>
    <row r="1" spans="2:11" ht="0.6" customHeight="1">
      <c r="F1"/>
    </row>
    <row r="2" spans="2:11" ht="21" customHeight="1">
      <c r="E2" s="230" t="s">
        <v>31</v>
      </c>
      <c r="F2" s="230"/>
      <c r="G2" s="230"/>
      <c r="H2" s="10"/>
      <c r="I2" s="10"/>
    </row>
    <row r="3" spans="2:11" ht="15" customHeight="1">
      <c r="E3" s="231" t="str">
        <f>Indice!E3</f>
        <v>Enero 2026</v>
      </c>
      <c r="F3" s="231"/>
      <c r="G3" s="231"/>
      <c r="H3" s="11"/>
      <c r="I3" s="11"/>
    </row>
    <row r="4" spans="2:11" s="1" customFormat="1" ht="20.100000000000001" customHeight="1">
      <c r="C4" s="19" t="s">
        <v>30</v>
      </c>
    </row>
    <row r="5" spans="2:11" s="1" customFormat="1" ht="12.6" customHeight="1">
      <c r="B5" s="2"/>
      <c r="C5" s="3"/>
    </row>
    <row r="6" spans="2:11" s="1" customFormat="1" ht="13.35" customHeight="1">
      <c r="B6" s="2"/>
      <c r="C6" s="4"/>
      <c r="D6" s="5"/>
      <c r="E6" s="5"/>
      <c r="F6" s="73"/>
    </row>
    <row r="7" spans="2:11" s="57" customFormat="1" ht="15" customHeight="1">
      <c r="B7" s="54"/>
      <c r="C7" s="229" t="s">
        <v>63</v>
      </c>
      <c r="D7" s="55"/>
      <c r="E7" s="56"/>
      <c r="F7" s="72"/>
      <c r="G7" s="72"/>
      <c r="I7" s="130"/>
    </row>
    <row r="8" spans="2:11" s="57" customFormat="1" ht="15" customHeight="1">
      <c r="B8" s="54"/>
      <c r="C8" s="229"/>
      <c r="D8" s="55"/>
      <c r="E8" s="58"/>
      <c r="F8" s="59" t="str">
        <f>Dat_01!G97</f>
        <v>2025 Enero</v>
      </c>
      <c r="G8" s="59" t="str">
        <f>Dat_01!C97</f>
        <v>2026 Enero</v>
      </c>
      <c r="I8" s="130"/>
    </row>
    <row r="9" spans="2:11" s="1" customFormat="1" ht="15" customHeight="1">
      <c r="B9" s="2"/>
      <c r="C9" s="47"/>
      <c r="D9" s="5"/>
      <c r="E9" s="134" t="s">
        <v>150</v>
      </c>
      <c r="F9" s="135">
        <f>Dat_01!G98/1000000</f>
        <v>91.1109109848</v>
      </c>
      <c r="G9" s="135">
        <f>Dat_01!C98/1000000</f>
        <v>272.78716046007997</v>
      </c>
      <c r="H9" s="57"/>
      <c r="I9" s="130"/>
      <c r="J9" s="57"/>
      <c r="K9" s="57"/>
    </row>
    <row r="10" spans="2:11" s="1" customFormat="1" ht="15" customHeight="1">
      <c r="B10" s="2"/>
      <c r="C10" s="229"/>
      <c r="D10" s="5"/>
      <c r="E10" s="134" t="s">
        <v>151</v>
      </c>
      <c r="F10" s="135">
        <f>Dat_01!G99/1000000</f>
        <v>77.227343596640011</v>
      </c>
      <c r="G10" s="135">
        <f>Dat_01!C99/1000000</f>
        <v>42.368105486739999</v>
      </c>
      <c r="H10" s="57"/>
      <c r="I10" s="130"/>
      <c r="J10" s="57"/>
      <c r="K10" s="57"/>
    </row>
    <row r="11" spans="2:11" s="1" customFormat="1" ht="15" customHeight="1">
      <c r="B11" s="2"/>
      <c r="C11" s="229"/>
      <c r="D11" s="5"/>
      <c r="E11" s="52" t="s">
        <v>40</v>
      </c>
      <c r="F11" s="136">
        <f>SUM(F9:F10)</f>
        <v>168.33825458144003</v>
      </c>
      <c r="G11" s="136">
        <f>SUM(G9:G10)</f>
        <v>315.15526594681995</v>
      </c>
      <c r="H11" s="57"/>
      <c r="I11" s="130"/>
      <c r="J11" s="57"/>
      <c r="K11" s="57"/>
    </row>
    <row r="12" spans="2:11" s="1" customFormat="1" ht="15" customHeight="1">
      <c r="B12" s="2"/>
      <c r="C12" s="229"/>
      <c r="D12" s="5"/>
      <c r="E12" s="52" t="s">
        <v>21</v>
      </c>
      <c r="F12" s="136">
        <f>Dat_01!G101/1000000</f>
        <v>93.280218389200002</v>
      </c>
      <c r="G12" s="136">
        <f>Dat_01!C101/1000000</f>
        <v>66.837385660899997</v>
      </c>
      <c r="H12" s="57"/>
      <c r="I12" s="130"/>
      <c r="J12" s="57"/>
      <c r="K12" s="57"/>
    </row>
    <row r="13" spans="2:11" s="1" customFormat="1" ht="15" customHeight="1">
      <c r="B13" s="2"/>
      <c r="C13" s="4"/>
      <c r="D13" s="5"/>
      <c r="E13" s="52" t="s">
        <v>15</v>
      </c>
      <c r="F13" s="136">
        <f>IF(Dat_01!G102="-",0,Dat_01!G102/1000000)</f>
        <v>12.647062167651999</v>
      </c>
      <c r="G13" s="136">
        <f>Dat_01!C102/1000000</f>
        <v>9.5158311788399992</v>
      </c>
      <c r="H13" s="57"/>
      <c r="I13" s="130"/>
      <c r="J13" s="57"/>
      <c r="K13" s="57"/>
    </row>
    <row r="14" spans="2:11" s="1" customFormat="1" ht="15" customHeight="1">
      <c r="B14" s="2"/>
      <c r="C14" s="4"/>
      <c r="D14" s="5"/>
      <c r="E14" s="52" t="s">
        <v>134</v>
      </c>
      <c r="F14" s="136">
        <f>(SUM(Dat_01!G103:G105)+IF(Dat_01!G106="-",0,Dat_01!G106))/1000000</f>
        <v>-35.945423690908001</v>
      </c>
      <c r="G14" s="136">
        <f>(SUM(Dat_01!C103:C105)+IF(Dat_01!C106="-",0,Dat_01!C106))/1000000</f>
        <v>-59.360661163240003</v>
      </c>
      <c r="H14" s="57"/>
      <c r="I14" s="130"/>
      <c r="J14" s="57"/>
      <c r="K14" s="57"/>
    </row>
    <row r="15" spans="2:11" s="1" customFormat="1" ht="15" customHeight="1">
      <c r="B15" s="2"/>
      <c r="C15" s="4"/>
      <c r="D15" s="5"/>
      <c r="E15" s="52" t="s">
        <v>41</v>
      </c>
      <c r="F15" s="137">
        <f>IF(Dat_01!G107="-","-",Dat_01!G107/1000000)</f>
        <v>-2.6031688852800001</v>
      </c>
      <c r="G15" s="137">
        <f>IF(Dat_01!C107="-","-",Dat_01!C107/1000000)</f>
        <v>-0.45313481804</v>
      </c>
      <c r="H15" s="57"/>
      <c r="I15" s="130"/>
      <c r="J15" s="57"/>
      <c r="K15" s="57"/>
    </row>
    <row r="16" spans="2:11" s="1" customFormat="1" ht="15" customHeight="1">
      <c r="B16" s="2"/>
      <c r="C16" s="4"/>
      <c r="D16" s="5"/>
      <c r="E16" s="53" t="s">
        <v>135</v>
      </c>
      <c r="F16" s="138">
        <f>SUM(F11:F15)</f>
        <v>235.71694256210401</v>
      </c>
      <c r="G16" s="138">
        <f>SUM(G11:G15)</f>
        <v>331.69468680527996</v>
      </c>
      <c r="I16" s="94"/>
    </row>
    <row r="17" spans="2:10" s="1" customFormat="1" ht="15" customHeight="1">
      <c r="B17" s="2"/>
      <c r="C17" s="4"/>
      <c r="D17" s="4"/>
      <c r="E17" s="60" t="str">
        <f>"∆"&amp;MID(G8,1,4)&amp;"/"&amp;MID(F8,1,4)</f>
        <v>∆2026/2025</v>
      </c>
      <c r="F17" s="129"/>
      <c r="G17" s="61">
        <f>(G16-F16)/F16</f>
        <v>0.40717371946180247</v>
      </c>
      <c r="I17" s="4"/>
      <c r="J17" s="4"/>
    </row>
    <row r="18" spans="2:10" s="1" customFormat="1" ht="12.75" customHeight="1">
      <c r="B18" s="2"/>
      <c r="C18" s="4"/>
      <c r="D18" s="5"/>
      <c r="H18" s="51"/>
      <c r="I18" s="51"/>
    </row>
    <row r="19" spans="2:10" s="1" customFormat="1" ht="12.75" customHeight="1">
      <c r="B19" s="2"/>
      <c r="C19" s="4"/>
      <c r="D19" s="4"/>
      <c r="E19" s="232" t="s">
        <v>204</v>
      </c>
      <c r="F19" s="232"/>
      <c r="G19" s="232"/>
    </row>
    <row r="20" spans="2:10" s="1" customFormat="1" ht="12.75" customHeight="1">
      <c r="B20" s="2"/>
      <c r="C20" s="4"/>
      <c r="D20" s="4"/>
      <c r="E20" s="232"/>
      <c r="F20" s="232"/>
      <c r="G20" s="232"/>
    </row>
    <row r="24" spans="2:10" ht="16.350000000000001" customHeight="1"/>
    <row r="37" ht="9.75" customHeight="1"/>
    <row r="38" ht="12.75" hidden="1" customHeight="1"/>
    <row r="39" ht="12.75" hidden="1" customHeight="1"/>
  </sheetData>
  <mergeCells count="5">
    <mergeCell ref="E2:G2"/>
    <mergeCell ref="E3:G3"/>
    <mergeCell ref="C7:C8"/>
    <mergeCell ref="C10:C12"/>
    <mergeCell ref="E19:G20"/>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6">
    <pageSetUpPr autoPageBreaks="0"/>
  </sheetPr>
  <dimension ref="B1:I27"/>
  <sheetViews>
    <sheetView showGridLines="0" showRowColHeaders="0" topLeftCell="A2" zoomScaleNormal="100" workbookViewId="0">
      <selection activeCell="H21" sqref="H21"/>
    </sheetView>
  </sheetViews>
  <sheetFormatPr baseColWidth="10" defaultRowHeight="12.75"/>
  <cols>
    <col min="1" max="1" width="0.42578125" customWidth="1"/>
    <col min="2" max="2" width="2.5703125" customWidth="1"/>
    <col min="3" max="3" width="23.5703125" customWidth="1"/>
    <col min="4" max="4" width="1.42578125" customWidth="1"/>
    <col min="5" max="5" width="105.5703125" customWidth="1"/>
    <col min="6" max="6" width="11.42578125" style="7" customWidth="1"/>
    <col min="7" max="7" width="28.42578125" customWidth="1"/>
    <col min="8" max="9" width="9.42578125" customWidth="1"/>
  </cols>
  <sheetData>
    <row r="1" spans="2:9" ht="0.6" customHeight="1">
      <c r="F1"/>
    </row>
    <row r="2" spans="2:9" ht="21" customHeight="1">
      <c r="E2" s="17" t="s">
        <v>31</v>
      </c>
      <c r="F2" s="10"/>
      <c r="G2" s="10"/>
      <c r="H2" s="10"/>
      <c r="I2" s="10"/>
    </row>
    <row r="3" spans="2:9" ht="15" customHeight="1">
      <c r="E3" s="18" t="str">
        <f>Indice!E3</f>
        <v>Enero 2026</v>
      </c>
      <c r="F3" s="11"/>
      <c r="G3" s="11"/>
      <c r="H3" s="11"/>
      <c r="I3" s="11"/>
    </row>
    <row r="4" spans="2:9" s="1" customFormat="1" ht="20.100000000000001" customHeight="1">
      <c r="C4" s="19" t="s">
        <v>30</v>
      </c>
    </row>
    <row r="5" spans="2:9" s="1" customFormat="1" ht="12.6" customHeight="1">
      <c r="B5" s="2"/>
      <c r="C5" s="3"/>
    </row>
    <row r="6" spans="2:9" s="1" customFormat="1" ht="13.35" customHeight="1">
      <c r="B6" s="2"/>
      <c r="C6" s="4"/>
      <c r="D6" s="5"/>
      <c r="E6" s="5"/>
    </row>
    <row r="7" spans="2:9" s="1" customFormat="1" ht="12.75" customHeight="1">
      <c r="B7" s="2"/>
      <c r="C7" s="229" t="s">
        <v>168</v>
      </c>
      <c r="D7" s="5"/>
      <c r="E7" s="12"/>
    </row>
    <row r="8" spans="2:9" s="1" customFormat="1" ht="12.75" customHeight="1">
      <c r="B8" s="2"/>
      <c r="C8" s="229"/>
      <c r="D8" s="5"/>
      <c r="E8" s="12"/>
    </row>
    <row r="9" spans="2:9" s="1" customFormat="1" ht="12.75" customHeight="1">
      <c r="B9" s="2"/>
      <c r="C9" s="229"/>
      <c r="D9" s="5"/>
      <c r="E9" s="12"/>
    </row>
    <row r="10" spans="2:9" s="1" customFormat="1" ht="12.75" customHeight="1">
      <c r="B10" s="2"/>
      <c r="C10" s="47" t="s">
        <v>42</v>
      </c>
      <c r="D10" s="5"/>
      <c r="E10" s="12"/>
    </row>
    <row r="11" spans="2:9" s="1" customFormat="1" ht="12.75" customHeight="1">
      <c r="B11" s="2"/>
      <c r="C11" s="47"/>
      <c r="D11" s="5"/>
      <c r="E11" s="9"/>
    </row>
    <row r="12" spans="2:9" s="1" customFormat="1" ht="12.75" customHeight="1">
      <c r="B12" s="2"/>
      <c r="C12" s="47"/>
      <c r="D12" s="5"/>
      <c r="E12" s="9"/>
    </row>
    <row r="13" spans="2:9" s="1" customFormat="1" ht="12.75" customHeight="1">
      <c r="B13" s="2"/>
      <c r="C13" s="4"/>
      <c r="D13" s="5"/>
      <c r="E13" s="9"/>
    </row>
    <row r="14" spans="2:9" s="1" customFormat="1" ht="12.75" customHeight="1">
      <c r="B14" s="2"/>
      <c r="C14" s="4"/>
      <c r="D14" s="5"/>
      <c r="E14" s="9"/>
    </row>
    <row r="15" spans="2:9" s="1" customFormat="1" ht="12.75" customHeight="1">
      <c r="B15" s="2"/>
      <c r="C15" s="4"/>
      <c r="D15" s="5"/>
      <c r="E15" s="9"/>
    </row>
    <row r="16" spans="2:9" s="1" customFormat="1" ht="12.75" customHeight="1">
      <c r="B16" s="2"/>
      <c r="C16" s="4"/>
      <c r="D16" s="5"/>
      <c r="E16" s="9"/>
    </row>
    <row r="17" spans="2:9" s="1" customFormat="1" ht="12.75" customHeight="1">
      <c r="B17" s="2"/>
      <c r="C17" s="4"/>
      <c r="D17" s="5"/>
      <c r="E17" s="9"/>
    </row>
    <row r="18" spans="2:9" s="1" customFormat="1" ht="12.75" customHeight="1">
      <c r="B18" s="2"/>
      <c r="C18" s="4"/>
      <c r="D18" s="5"/>
      <c r="E18" s="9"/>
      <c r="H18" s="51"/>
      <c r="I18" s="51"/>
    </row>
    <row r="19" spans="2:9" s="1" customFormat="1" ht="12.75" customHeight="1">
      <c r="B19" s="2"/>
      <c r="C19" s="4"/>
      <c r="D19" s="5"/>
      <c r="E19" s="9"/>
      <c r="H19" s="51"/>
      <c r="I19" s="51"/>
    </row>
    <row r="20" spans="2:9" s="1" customFormat="1" ht="12.75" customHeight="1">
      <c r="B20" s="2"/>
      <c r="C20" s="4"/>
      <c r="D20" s="5"/>
      <c r="E20" s="9"/>
    </row>
    <row r="21" spans="2:9" s="1" customFormat="1" ht="12.75" customHeight="1">
      <c r="B21" s="2"/>
      <c r="C21" s="4"/>
      <c r="D21" s="5"/>
      <c r="E21" s="9"/>
    </row>
    <row r="22" spans="2:9">
      <c r="E22" s="13"/>
    </row>
    <row r="23" spans="2:9">
      <c r="E23" s="13"/>
    </row>
    <row r="24" spans="2:9">
      <c r="E24" s="13"/>
    </row>
    <row r="25" spans="2:9" ht="16.350000000000001" customHeight="1">
      <c r="E25" s="39"/>
    </row>
    <row r="27" spans="2:9">
      <c r="E27" s="132" t="s">
        <v>158</v>
      </c>
    </row>
  </sheetData>
  <mergeCells count="1">
    <mergeCell ref="C7:C9"/>
  </mergeCells>
  <printOptions horizontalCentered="1" verticalCentered="1"/>
  <pageMargins left="0.78740157480314965" right="0.78740157480314965" top="0.78740157480314965" bottom="0.98425196850393704" header="0" footer="0"/>
  <pageSetup paperSize="9" orientation="landscape" verticalDpi="300" r:id="rId1"/>
  <headerFooter alignWithMargins="0">
    <oddFooter>&amp;R&amp;A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Indice</vt:lpstr>
      <vt:lpstr>M1</vt:lpstr>
      <vt:lpstr>M2</vt:lpstr>
      <vt:lpstr>M3</vt:lpstr>
      <vt:lpstr>M4</vt:lpstr>
      <vt:lpstr>M5</vt:lpstr>
      <vt:lpstr>M6</vt:lpstr>
      <vt:lpstr>M7</vt:lpstr>
      <vt:lpstr>M8</vt:lpstr>
      <vt:lpstr>M9</vt:lpstr>
      <vt:lpstr>M10</vt:lpstr>
      <vt:lpstr>M11</vt:lpstr>
      <vt:lpstr>M12</vt:lpstr>
      <vt:lpstr>M13</vt:lpstr>
      <vt:lpstr>M14</vt:lpstr>
      <vt:lpstr>Dat_01</vt:lpstr>
    </vt:vector>
  </TitlesOfParts>
  <Company>Red Eléctrica de España,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Operación del Sistema Eléctrico. Informe 1998 (4)</dc:title>
  <dc:creator>FUEPERRO</dc:creator>
  <cp:lastModifiedBy>De La Fuente Perez, Roberto</cp:lastModifiedBy>
  <cp:lastPrinted>2024-05-20T10:15:27Z</cp:lastPrinted>
  <dcterms:created xsi:type="dcterms:W3CDTF">1999-07-09T11:45:32Z</dcterms:created>
  <dcterms:modified xsi:type="dcterms:W3CDTF">2026-02-17T11:24:23Z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06 Mercados.xlsm</vt:lpwstr>
  </property>
</Properties>
</file>