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8.xml" ContentType="application/vnd.openxmlformats-officedocument.drawingml.chartshapes+xml"/>
  <Override PartName="/xl/charts/chart10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1.xml" ContentType="application/vnd.openxmlformats-officedocument.drawingml.chartshapes+xml"/>
  <Override PartName="/xl/charts/chart12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7.xml" ContentType="application/vnd.openxmlformats-officedocument.drawingml.chart+xml"/>
  <Override PartName="/xl/drawings/drawing30.xml" ContentType="application/vnd.openxmlformats-officedocument.drawing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updateLinks="always" codeName="ThisWorkbook"/>
  <mc:AlternateContent xmlns:mc="http://schemas.openxmlformats.org/markup-compatibility/2006">
    <mc:Choice Requires="x15">
      <x15ac:absPath xmlns:x15ac="http://schemas.microsoft.com/office/spreadsheetml/2010/11/ac" url="Z:\Departamento\Gestión de la Información\Publicaciones e Informes\Mensual\Boletín&amp;Consejo\BOLETIN ELECTRONICO\2026\AGO\INF_ELABORADA\"/>
    </mc:Choice>
  </mc:AlternateContent>
  <xr:revisionPtr revIDLastSave="0" documentId="13_ncr:1_{F4B9968B-F046-438A-9931-58886B493437}" xr6:coauthVersionLast="47" xr6:coauthVersionMax="47" xr10:uidLastSave="{00000000-0000-0000-0000-000000000000}"/>
  <bookViews>
    <workbookView xWindow="-120" yWindow="-120" windowWidth="29040" windowHeight="15720" firstSheet="1" activeTab="1" xr2:uid="{5759C3D2-C91E-426B-9199-6DCD323BBCB5}"/>
  </bookViews>
  <sheets>
    <sheet name="Mozart Reports" sheetId="95" state="veryHidden" r:id="rId1"/>
    <sheet name="Indice" sheetId="92" r:id="rId2"/>
    <sheet name="M1" sheetId="70" r:id="rId3"/>
    <sheet name="M2" sheetId="71" r:id="rId4"/>
    <sheet name="M3" sheetId="3" r:id="rId5"/>
    <sheet name="M4" sheetId="53" r:id="rId6"/>
    <sheet name="M5" sheetId="10" r:id="rId7"/>
    <sheet name="M6" sheetId="76" r:id="rId8"/>
    <sheet name="M7" sheetId="75" r:id="rId9"/>
    <sheet name="M8" sheetId="58" r:id="rId10"/>
    <sheet name="M9" sheetId="77" r:id="rId11"/>
    <sheet name="M10" sheetId="83" r:id="rId12"/>
    <sheet name="M11" sheetId="85" r:id="rId13"/>
    <sheet name="M12" sheetId="87" r:id="rId14"/>
    <sheet name="M13" sheetId="107" r:id="rId15"/>
    <sheet name="M14" sheetId="110" r:id="rId16"/>
    <sheet name="Dat_01" sheetId="96" r:id="rId17"/>
    <sheet name="Dat_02" sheetId="101" r:id="rId18"/>
  </sheets>
  <definedNames>
    <definedName name="asd" localSheetId="17">#REF!</definedName>
    <definedName name="asd">#REF!</definedName>
    <definedName name="BALANCE3" localSheetId="17">#REF!</definedName>
    <definedName name="BALANCE3">#REF!</definedName>
    <definedName name="CUADRO_ANTERIOR" localSheetId="17">Dat_02!CUADRO_ANTERIOR</definedName>
    <definedName name="CUADRO_ANTERIOR">Dat_02!CUADRO_ANTERIOR</definedName>
    <definedName name="cuadro_anterior_jcol" localSheetId="17">Dat_02!CUADRO_ANTERIOR</definedName>
    <definedName name="cuadro_anterior_jcol">[0]!CUADRO_ANTERIOR</definedName>
    <definedName name="CUADRO_PROXIMO" localSheetId="17">Dat_02!CUADRO_PROXIMO</definedName>
    <definedName name="CUADRO_PROXIMO">Dat_02!CUADRO_PROXIMO</definedName>
    <definedName name="cuadro_proximo_jcol" localSheetId="17">Dat_02!CUADRO_PROXIMO</definedName>
    <definedName name="cuadro_proximo_jcol">[0]!CUADRO_PROXIMO</definedName>
    <definedName name="de" localSheetId="17">#REF!</definedName>
    <definedName name="de">#REF!</definedName>
    <definedName name="deem" localSheetId="17">#REF!</definedName>
    <definedName name="deem">#REF!</definedName>
    <definedName name="Demanda">#REF!</definedName>
    <definedName name="dif" localSheetId="17">#REF!</definedName>
    <definedName name="dif">#REF!</definedName>
    <definedName name="Fecha">#REF!</definedName>
    <definedName name="FINALIZAR" localSheetId="17">Dat_02!FINALIZAR</definedName>
    <definedName name="FINALIZAR">Dat_02!FINALIZAR</definedName>
    <definedName name="finalizar_jcol" localSheetId="17">Dat_02!FINALIZAR</definedName>
    <definedName name="finalizar_jcol">[0]!FINALIZAR</definedName>
    <definedName name="fl" localSheetId="17">Dat_02!CUADRO_PROXIMO</definedName>
    <definedName name="fl">[0]!CUADRO_PROXIMO</definedName>
    <definedName name="hola" localSheetId="17">Dat_02!FINALIZAR</definedName>
    <definedName name="hola">[0]!FINALIZAR</definedName>
    <definedName name="Horas" localSheetId="17">#REF!</definedName>
    <definedName name="Horas">#REF!</definedName>
    <definedName name="IMPRESION" localSheetId="17">Dat_02!IMPRESION</definedName>
    <definedName name="IMPRESION">Dat_02!IMPRESION</definedName>
    <definedName name="impresion_jcol" localSheetId="17">Dat_02!IMPRESION</definedName>
    <definedName name="impresion_jcol">[0]!IMPRESION</definedName>
    <definedName name="Índice" localSheetId="17">[0]!INDICE</definedName>
    <definedName name="Índice" localSheetId="14">[0]!INDICE</definedName>
    <definedName name="Índice" localSheetId="15">[0]!INDICE</definedName>
    <definedName name="Índice">[0]!INDICE</definedName>
    <definedName name="indice_jcol" localSheetId="17">[0]!INDICE</definedName>
    <definedName name="indice_jcol" localSheetId="14">[0]!INDICE</definedName>
    <definedName name="indice_jcol" localSheetId="15">[0]!INDICE</definedName>
    <definedName name="indice_jcol">[0]!INDICE</definedName>
    <definedName name="INES_melilla" localSheetId="17">#REF!</definedName>
    <definedName name="INES_melilla">#REF!</definedName>
    <definedName name="jkhjklhjkhjkl" localSheetId="17">[0]!PRINCIPAL</definedName>
    <definedName name="jkhjklhjkhjkl" localSheetId="14">[0]!PRINCIPAL</definedName>
    <definedName name="jkhjklhjkhjkl" localSheetId="15">[0]!PRINCIPAL</definedName>
    <definedName name="jkhjklhjkhjkl">[0]!PRINCIPAL</definedName>
    <definedName name="lionel" localSheetId="17">Dat_02!CUADRO_PROXIMO</definedName>
    <definedName name="lionel">[0]!CUADRO_PROXIMO</definedName>
    <definedName name="M1_Fechas" localSheetId="17">OFFSET(#REF!,0,0,COUNT(#REF!),1)</definedName>
    <definedName name="M1_Fechas">OFFSET(Dat_01!$A$8,0,0,COUNT(Dat_01!$B$8:$B$38),1)</definedName>
    <definedName name="M1_Max" localSheetId="17">OFFSET(#REF!,0,0,COUNT(#REF!),1)</definedName>
    <definedName name="M1_Max">OFFSET(Dat_01!$C$8,0,0,COUNT(Dat_01!$B$8:$B$38),1)</definedName>
    <definedName name="M1_Min" localSheetId="17">OFFSET(#REF!,0,0,COUNT(#REF!),1)</definedName>
    <definedName name="M1_Min">OFFSET(Dat_01!$B$8,0,0,COUNT(Dat_01!$B$8:$B$38),1)</definedName>
    <definedName name="M1_Pro" localSheetId="17">OFFSET(#REF!,0,0,COUNT(#REF!),1)</definedName>
    <definedName name="M1_Pro">OFFSET(Dat_01!$D$8,0,0,COUNT(Dat_01!$B$8:$B$38),1)</definedName>
    <definedName name="mio" localSheetId="17">#REF!</definedName>
    <definedName name="mio">#REF!</definedName>
    <definedName name="MM" localSheetId="17">#REF!</definedName>
    <definedName name="MM">#REF!</definedName>
    <definedName name="MMM">#REF!</definedName>
    <definedName name="MSTR.1046078A4CF38ECA518880B55263B1D6" localSheetId="17">#REF!</definedName>
    <definedName name="MSTR.1046078A4CF38ECA518880B55263B1D6">#REF!</definedName>
    <definedName name="MSTR.1046078A4CF38ECA518880B55263B1D6.1" localSheetId="17">#REF!</definedName>
    <definedName name="MSTR.1046078A4CF38ECA518880B55263B1D6.1">#REF!</definedName>
    <definedName name="MSTR.1046078A4CF38ECA518880B55263B1D6.10" localSheetId="17">#REF!</definedName>
    <definedName name="MSTR.1046078A4CF38ECA518880B55263B1D6.10">#REF!</definedName>
    <definedName name="MSTR.1046078A4CF38ECA518880B55263B1D6.11" localSheetId="17">#REF!</definedName>
    <definedName name="MSTR.1046078A4CF38ECA518880B55263B1D6.11">#REF!</definedName>
    <definedName name="MSTR.1046078A4CF38ECA518880B55263B1D6.12">#REF!</definedName>
    <definedName name="MSTR.1046078A4CF38ECA518880B55263B1D6.13">#REF!</definedName>
    <definedName name="MSTR.1046078A4CF38ECA518880B55263B1D6.14">#REF!</definedName>
    <definedName name="MSTR.1046078A4CF38ECA518880B55263B1D6.15">#REF!</definedName>
    <definedName name="MSTR.1046078A4CF38ECA518880B55263B1D6.16">#REF!</definedName>
    <definedName name="MSTR.1046078A4CF38ECA518880B55263B1D6.17">#REF!</definedName>
    <definedName name="MSTR.1046078A4CF38ECA518880B55263B1D6.18">#REF!</definedName>
    <definedName name="MSTR.1046078A4CF38ECA518880B55263B1D6.2">#REF!</definedName>
    <definedName name="MSTR.1046078A4CF38ECA518880B55263B1D6.3">#REF!</definedName>
    <definedName name="MSTR.1046078A4CF38ECA518880B55263B1D6.4">#REF!</definedName>
    <definedName name="MSTR.1046078A4CF38ECA518880B55263B1D6.5">#REF!</definedName>
    <definedName name="MSTR.1046078A4CF38ECA518880B55263B1D6.6">#REF!</definedName>
    <definedName name="MSTR.1046078A4CF38ECA518880B55263B1D6.7">#REF!</definedName>
    <definedName name="MSTR.1046078A4CF38ECA518880B55263B1D6.8">#REF!</definedName>
    <definedName name="MSTR.1046078A4CF38ECA518880B55263B1D6.9">#REF!</definedName>
    <definedName name="MSTR.1609E10940836077440B01BE364D7C30">#REF!</definedName>
    <definedName name="MSTR.1609E10940836077440B01BE364D7C30.1">#REF!</definedName>
    <definedName name="MSTR.1609E10940836077440B01BE364D7C30.10">#REF!</definedName>
    <definedName name="MSTR.1609E10940836077440B01BE364D7C30.11">#REF!</definedName>
    <definedName name="MSTR.1609E10940836077440B01BE364D7C30.12">#REF!</definedName>
    <definedName name="MSTR.1609E10940836077440B01BE364D7C30.13">#REF!</definedName>
    <definedName name="MSTR.1609E10940836077440B01BE364D7C30.14">#REF!</definedName>
    <definedName name="MSTR.1609E10940836077440B01BE364D7C30.15">#REF!</definedName>
    <definedName name="MSTR.1609E10940836077440B01BE364D7C30.16">#REF!</definedName>
    <definedName name="MSTR.1609E10940836077440B01BE364D7C30.17">#REF!</definedName>
    <definedName name="MSTR.1609E10940836077440B01BE364D7C30.18">#REF!</definedName>
    <definedName name="MSTR.1609E10940836077440B01BE364D7C30.19">#REF!</definedName>
    <definedName name="MSTR.1609E10940836077440B01BE364D7C30.2">#REF!</definedName>
    <definedName name="MSTR.1609E10940836077440B01BE364D7C30.20">#REF!</definedName>
    <definedName name="MSTR.1609E10940836077440B01BE364D7C30.21">#REF!</definedName>
    <definedName name="MSTR.1609E10940836077440B01BE364D7C30.22">#REF!</definedName>
    <definedName name="MSTR.1609E10940836077440B01BE364D7C30.23">#REF!</definedName>
    <definedName name="MSTR.1609E10940836077440B01BE364D7C30.24">#REF!</definedName>
    <definedName name="MSTR.1609E10940836077440B01BE364D7C30.25">#REF!</definedName>
    <definedName name="MSTR.1609E10940836077440B01BE364D7C30.26">#REF!</definedName>
    <definedName name="MSTR.1609E10940836077440B01BE364D7C30.27">#REF!</definedName>
    <definedName name="MSTR.1609E10940836077440B01BE364D7C30.28">#REF!</definedName>
    <definedName name="MSTR.1609E10940836077440B01BE364D7C30.29">#REF!</definedName>
    <definedName name="MSTR.1609E10940836077440B01BE364D7C30.3">#REF!</definedName>
    <definedName name="MSTR.1609E10940836077440B01BE364D7C30.30">#REF!</definedName>
    <definedName name="MSTR.1609E10940836077440B01BE364D7C30.31">#REF!</definedName>
    <definedName name="MSTR.1609E10940836077440B01BE364D7C30.32">#REF!</definedName>
    <definedName name="MSTR.1609E10940836077440B01BE364D7C30.33">#REF!</definedName>
    <definedName name="MSTR.1609E10940836077440B01BE364D7C30.34">#REF!</definedName>
    <definedName name="MSTR.1609E10940836077440B01BE364D7C30.35">#REF!</definedName>
    <definedName name="MSTR.1609E10940836077440B01BE364D7C30.36">#REF!</definedName>
    <definedName name="MSTR.1609E10940836077440B01BE364D7C30.37">#REF!</definedName>
    <definedName name="MSTR.1609E10940836077440B01BE364D7C30.38">#REF!</definedName>
    <definedName name="MSTR.1609E10940836077440B01BE364D7C30.39">#REF!</definedName>
    <definedName name="MSTR.1609E10940836077440B01BE364D7C30.4">#REF!</definedName>
    <definedName name="MSTR.1609E10940836077440B01BE364D7C30.40">#REF!</definedName>
    <definedName name="MSTR.1609E10940836077440B01BE364D7C30.41">#REF!</definedName>
    <definedName name="MSTR.1609E10940836077440B01BE364D7C30.42">#REF!</definedName>
    <definedName name="MSTR.1609E10940836077440B01BE364D7C30.43">#REF!</definedName>
    <definedName name="MSTR.1609E10940836077440B01BE364D7C30.5">#REF!</definedName>
    <definedName name="MSTR.1609E10940836077440B01BE364D7C30.6">#REF!</definedName>
    <definedName name="MSTR.1609E10940836077440B01BE364D7C30.7">#REF!</definedName>
    <definedName name="MSTR.1609E10940836077440B01BE364D7C30.8">#REF!</definedName>
    <definedName name="MSTR.1609E10940836077440B01BE364D7C30.9">#REF!</definedName>
    <definedName name="MSTR.162524EA11E544CB00000080EF65CE84" localSheetId="17">#REF!</definedName>
    <definedName name="MSTR.162524EA11E544CB00000080EF65CE84">#REF!</definedName>
    <definedName name="MSTR.162524EA11E544CB00000080EF65CE84.1" localSheetId="17">#REF!</definedName>
    <definedName name="MSTR.162524EA11E544CB00000080EF65CE84.1">#REF!</definedName>
    <definedName name="MSTR.162524EA11E544CB00000080EF65CE84.10" localSheetId="17">#REF!</definedName>
    <definedName name="MSTR.162524EA11E544CB00000080EF65CE84.10">#REF!</definedName>
    <definedName name="MSTR.162524EA11E544CB00000080EF65CE84.11" localSheetId="17">#REF!</definedName>
    <definedName name="MSTR.162524EA11E544CB00000080EF65CE84.11">#REF!</definedName>
    <definedName name="MSTR.162524EA11E544CB00000080EF65CE84.12">#REF!</definedName>
    <definedName name="MSTR.162524EA11E544CB00000080EF65CE84.13">#REF!</definedName>
    <definedName name="MSTR.162524EA11E544CB00000080EF65CE84.14">#REF!</definedName>
    <definedName name="MSTR.162524EA11E544CB00000080EF65CE84.15">#REF!</definedName>
    <definedName name="MSTR.162524EA11E544CB00000080EF65CE84.16">#REF!</definedName>
    <definedName name="MSTR.162524EA11E544CB00000080EF65CE84.17">#REF!</definedName>
    <definedName name="MSTR.162524EA11E544CB00000080EF65CE84.18">#REF!</definedName>
    <definedName name="MSTR.162524EA11E544CB00000080EF65CE84.19">#REF!</definedName>
    <definedName name="MSTR.162524EA11E544CB00000080EF65CE84.2" localSheetId="17">#REF!</definedName>
    <definedName name="MSTR.162524EA11E544CB00000080EF65CE84.2">#REF!</definedName>
    <definedName name="MSTR.162524EA11E544CB00000080EF65CE84.20">#REF!</definedName>
    <definedName name="MSTR.162524EA11E544CB00000080EF65CE84.21">#REF!</definedName>
    <definedName name="MSTR.162524EA11E544CB00000080EF65CE84.22">#REF!</definedName>
    <definedName name="MSTR.162524EA11E544CB00000080EF65CE84.23">#REF!</definedName>
    <definedName name="MSTR.162524EA11E544CB00000080EF65CE84.24">#REF!</definedName>
    <definedName name="MSTR.162524EA11E544CB00000080EF65CE84.3" localSheetId="17">#REF!</definedName>
    <definedName name="MSTR.162524EA11E544CB00000080EF65CE84.3">#REF!</definedName>
    <definedName name="MSTR.162524EA11E544CB00000080EF65CE84.4" localSheetId="17">#REF!</definedName>
    <definedName name="MSTR.162524EA11E544CB00000080EF65CE84.4">#REF!</definedName>
    <definedName name="MSTR.162524EA11E544CB00000080EF65CE84.5" localSheetId="17">#REF!</definedName>
    <definedName name="MSTR.162524EA11E544CB00000080EF65CE84.5">#REF!</definedName>
    <definedName name="MSTR.162524EA11E544CB00000080EF65CE84.6" localSheetId="17">#REF!</definedName>
    <definedName name="MSTR.162524EA11E544CB00000080EF65CE84.6">#REF!</definedName>
    <definedName name="MSTR.162524EA11E544CB00000080EF65CE84.7" localSheetId="17">#REF!</definedName>
    <definedName name="MSTR.162524EA11E544CB00000080EF65CE84.7">#REF!</definedName>
    <definedName name="MSTR.162524EA11E544CB00000080EF65CE84.8" localSheetId="17">#REF!</definedName>
    <definedName name="MSTR.162524EA11E544CB00000080EF65CE84.8">#REF!</definedName>
    <definedName name="MSTR.162524EA11E544CB00000080EF65CE84.9" localSheetId="17">#REF!</definedName>
    <definedName name="MSTR.162524EA11E544CB00000080EF65CE84.9">#REF!</definedName>
    <definedName name="MSTR.18A53A9C4AB31C3CA6B8999A6BA2CCCB">#REF!</definedName>
    <definedName name="MSTR.18A53A9C4AB31C3CA6B8999A6BA2CCCB.1">#REF!</definedName>
    <definedName name="MSTR.18A53A9C4AB31C3CA6B8999A6BA2CCCB.10">#REF!</definedName>
    <definedName name="MSTR.18A53A9C4AB31C3CA6B8999A6BA2CCCB.11">#REF!</definedName>
    <definedName name="MSTR.18A53A9C4AB31C3CA6B8999A6BA2CCCB.12">#REF!</definedName>
    <definedName name="MSTR.18A53A9C4AB31C3CA6B8999A6BA2CCCB.13">#REF!</definedName>
    <definedName name="MSTR.18A53A9C4AB31C3CA6B8999A6BA2CCCB.14">#REF!</definedName>
    <definedName name="MSTR.18A53A9C4AB31C3CA6B8999A6BA2CCCB.15">#REF!</definedName>
    <definedName name="MSTR.18A53A9C4AB31C3CA6B8999A6BA2CCCB.16">#REF!</definedName>
    <definedName name="MSTR.18A53A9C4AB31C3CA6B8999A6BA2CCCB.17">#REF!</definedName>
    <definedName name="MSTR.18A53A9C4AB31C3CA6B8999A6BA2CCCB.18">#REF!</definedName>
    <definedName name="MSTR.18A53A9C4AB31C3CA6B8999A6BA2CCCB.19">#REF!</definedName>
    <definedName name="MSTR.18A53A9C4AB31C3CA6B8999A6BA2CCCB.2">#REF!</definedName>
    <definedName name="MSTR.18A53A9C4AB31C3CA6B8999A6BA2CCCB.20">#REF!</definedName>
    <definedName name="MSTR.18A53A9C4AB31C3CA6B8999A6BA2CCCB.21">#REF!</definedName>
    <definedName name="MSTR.18A53A9C4AB31C3CA6B8999A6BA2CCCB.22">#REF!</definedName>
    <definedName name="MSTR.18A53A9C4AB31C3CA6B8999A6BA2CCCB.23">#REF!</definedName>
    <definedName name="MSTR.18A53A9C4AB31C3CA6B8999A6BA2CCCB.24">#REF!</definedName>
    <definedName name="MSTR.18A53A9C4AB31C3CA6B8999A6BA2CCCB.25">#REF!</definedName>
    <definedName name="MSTR.18A53A9C4AB31C3CA6B8999A6BA2CCCB.26">#REF!</definedName>
    <definedName name="MSTR.18A53A9C4AB31C3CA6B8999A6BA2CCCB.27">#REF!</definedName>
    <definedName name="MSTR.18A53A9C4AB31C3CA6B8999A6BA2CCCB.28">#REF!</definedName>
    <definedName name="MSTR.18A53A9C4AB31C3CA6B8999A6BA2CCCB.29">#REF!</definedName>
    <definedName name="MSTR.18A53A9C4AB31C3CA6B8999A6BA2CCCB.3">#REF!</definedName>
    <definedName name="MSTR.18A53A9C4AB31C3CA6B8999A6BA2CCCB.30">#REF!</definedName>
    <definedName name="MSTR.18A53A9C4AB31C3CA6B8999A6BA2CCCB.31">#REF!</definedName>
    <definedName name="MSTR.18A53A9C4AB31C3CA6B8999A6BA2CCCB.32">#REF!</definedName>
    <definedName name="MSTR.18A53A9C4AB31C3CA6B8999A6BA2CCCB.33">#REF!</definedName>
    <definedName name="MSTR.18A53A9C4AB31C3CA6B8999A6BA2CCCB.34">#REF!</definedName>
    <definedName name="MSTR.18A53A9C4AB31C3CA6B8999A6BA2CCCB.35">#REF!</definedName>
    <definedName name="MSTR.18A53A9C4AB31C3CA6B8999A6BA2CCCB.36">#REF!</definedName>
    <definedName name="MSTR.18A53A9C4AB31C3CA6B8999A6BA2CCCB.37">#REF!</definedName>
    <definedName name="MSTR.18A53A9C4AB31C3CA6B8999A6BA2CCCB.38">#REF!</definedName>
    <definedName name="MSTR.18A53A9C4AB31C3CA6B8999A6BA2CCCB.39">#REF!</definedName>
    <definedName name="MSTR.18A53A9C4AB31C3CA6B8999A6BA2CCCB.4">#REF!</definedName>
    <definedName name="MSTR.18A53A9C4AB31C3CA6B8999A6BA2CCCB.40">#REF!</definedName>
    <definedName name="MSTR.18A53A9C4AB31C3CA6B8999A6BA2CCCB.41">#REF!</definedName>
    <definedName name="MSTR.18A53A9C4AB31C3CA6B8999A6BA2CCCB.42">#REF!</definedName>
    <definedName name="MSTR.18A53A9C4AB31C3CA6B8999A6BA2CCCB.43">#REF!</definedName>
    <definedName name="MSTR.18A53A9C4AB31C3CA6B8999A6BA2CCCB.44">#REF!</definedName>
    <definedName name="MSTR.18A53A9C4AB31C3CA6B8999A6BA2CCCB.45">#REF!</definedName>
    <definedName name="MSTR.18A53A9C4AB31C3CA6B8999A6BA2CCCB.46">#REF!</definedName>
    <definedName name="MSTR.18A53A9C4AB31C3CA6B8999A6BA2CCCB.47">#REF!</definedName>
    <definedName name="MSTR.18A53A9C4AB31C3CA6B8999A6BA2CCCB.48">#REF!</definedName>
    <definedName name="MSTR.18A53A9C4AB31C3CA6B8999A6BA2CCCB.49">#REF!</definedName>
    <definedName name="MSTR.18A53A9C4AB31C3CA6B8999A6BA2CCCB.5">#REF!</definedName>
    <definedName name="MSTR.18A53A9C4AB31C3CA6B8999A6BA2CCCB.50">#REF!</definedName>
    <definedName name="MSTR.18A53A9C4AB31C3CA6B8999A6BA2CCCB.51">#REF!</definedName>
    <definedName name="MSTR.18A53A9C4AB31C3CA6B8999A6BA2CCCB.52">#REF!</definedName>
    <definedName name="MSTR.18A53A9C4AB31C3CA6B8999A6BA2CCCB.53">#REF!</definedName>
    <definedName name="MSTR.18A53A9C4AB31C3CA6B8999A6BA2CCCB.54">#REF!</definedName>
    <definedName name="MSTR.18A53A9C4AB31C3CA6B8999A6BA2CCCB.55">#REF!</definedName>
    <definedName name="MSTR.18A53A9C4AB31C3CA6B8999A6BA2CCCB.56">#REF!</definedName>
    <definedName name="MSTR.18A53A9C4AB31C3CA6B8999A6BA2CCCB.57">#REF!</definedName>
    <definedName name="MSTR.18A53A9C4AB31C3CA6B8999A6BA2CCCB.58">#REF!</definedName>
    <definedName name="MSTR.18A53A9C4AB31C3CA6B8999A6BA2CCCB.59">#REF!</definedName>
    <definedName name="MSTR.18A53A9C4AB31C3CA6B8999A6BA2CCCB.6">#REF!</definedName>
    <definedName name="MSTR.18A53A9C4AB31C3CA6B8999A6BA2CCCB.60">#REF!</definedName>
    <definedName name="MSTR.18A53A9C4AB31C3CA6B8999A6BA2CCCB.61">#REF!</definedName>
    <definedName name="MSTR.18A53A9C4AB31C3CA6B8999A6BA2CCCB.62">#REF!</definedName>
    <definedName name="MSTR.18A53A9C4AB31C3CA6B8999A6BA2CCCB.63">#REF!</definedName>
    <definedName name="MSTR.18A53A9C4AB31C3CA6B8999A6BA2CCCB.7">#REF!</definedName>
    <definedName name="MSTR.18A53A9C4AB31C3CA6B8999A6BA2CCCB.8">#REF!</definedName>
    <definedName name="MSTR.18A53A9C4AB31C3CA6B8999A6BA2CCCB.9">#REF!</definedName>
    <definedName name="MSTR.1C44A06811E53FED00000080EF4503B0" localSheetId="17">#REF!</definedName>
    <definedName name="MSTR.1C44A06811E53FED00000080EF4503B0">#REF!</definedName>
    <definedName name="MSTR.1C44A06811E53FED00000080EF4503B0.1" localSheetId="17">#REF!</definedName>
    <definedName name="MSTR.1C44A06811E53FED00000080EF4503B0.1">#REF!</definedName>
    <definedName name="MSTR.1C44A06811E53FED00000080EF4503B0.10" localSheetId="17">#REF!</definedName>
    <definedName name="MSTR.1C44A06811E53FED00000080EF4503B0.10">#REF!</definedName>
    <definedName name="MSTR.1C44A06811E53FED00000080EF4503B0.11" localSheetId="17">#REF!</definedName>
    <definedName name="MSTR.1C44A06811E53FED00000080EF4503B0.11">#REF!</definedName>
    <definedName name="MSTR.1C44A06811E53FED00000080EF4503B0.12">#REF!</definedName>
    <definedName name="MSTR.1C44A06811E53FED00000080EF4503B0.13">#REF!</definedName>
    <definedName name="MSTR.1C44A06811E53FED00000080EF4503B0.2" localSheetId="17">#REF!</definedName>
    <definedName name="MSTR.1C44A06811E53FED00000080EF4503B0.2">#REF!</definedName>
    <definedName name="MSTR.1C44A06811E53FED00000080EF4503B0.3" localSheetId="17">#REF!</definedName>
    <definedName name="MSTR.1C44A06811E53FED00000080EF4503B0.3">#REF!</definedName>
    <definedName name="MSTR.1C44A06811E53FED00000080EF4503B0.4" localSheetId="17">#REF!</definedName>
    <definedName name="MSTR.1C44A06811E53FED00000080EF4503B0.4">#REF!</definedName>
    <definedName name="MSTR.1C44A06811E53FED00000080EF4503B0.5">#REF!</definedName>
    <definedName name="MSTR.1C44A06811E53FED00000080EF4503B0.6">#REF!</definedName>
    <definedName name="MSTR.1C44A06811E53FED00000080EF4503B0.7">#REF!</definedName>
    <definedName name="MSTR.1C44A06811E53FED00000080EF4503B0.8">#REF!</definedName>
    <definedName name="MSTR.1C44A06811E53FED00000080EF4503B0.9">#REF!</definedName>
    <definedName name="MSTR.1F16545811E712C800000080EF25E636" localSheetId="17">#REF!</definedName>
    <definedName name="MSTR.1F16545811E712C800000080EF25E636">#REF!</definedName>
    <definedName name="MSTR.1F16545811E712C800000080EF25E636.1" localSheetId="17">#REF!</definedName>
    <definedName name="MSTR.1F16545811E712C800000080EF25E636.1">#REF!</definedName>
    <definedName name="MSTR.3481B37A11E805B912F40080EFD574EF" localSheetId="17">#REF!</definedName>
    <definedName name="MSTR.3481B37A11E805B912F40080EFD574EF">#REF!</definedName>
    <definedName name="MSTR.3481B37A11E805B912F40080EFD574EF.1" localSheetId="17">#REF!</definedName>
    <definedName name="MSTR.3481B37A11E805B912F40080EFD574EF.1">#REF!</definedName>
    <definedName name="MSTR.3481B37A11E805B912F40080EFD574EF.10">#REF!</definedName>
    <definedName name="MSTR.3481B37A11E805B912F40080EFD574EF.11">#REF!</definedName>
    <definedName name="MSTR.3481B37A11E805B912F40080EFD574EF.12">#REF!</definedName>
    <definedName name="MSTR.3481B37A11E805B912F40080EFD574EF.13">#REF!</definedName>
    <definedName name="MSTR.3481B37A11E805B912F40080EFD574EF.14">#REF!</definedName>
    <definedName name="MSTR.3481B37A11E805B912F40080EFD574EF.15">#REF!</definedName>
    <definedName name="MSTR.3481B37A11E805B912F40080EFD574EF.16">#REF!</definedName>
    <definedName name="MSTR.3481B37A11E805B912F40080EFD574EF.17">#REF!</definedName>
    <definedName name="MSTR.3481B37A11E805B912F40080EFD574EF.18">#REF!</definedName>
    <definedName name="MSTR.3481B37A11E805B912F40080EFD574EF.19">#REF!</definedName>
    <definedName name="MSTR.3481B37A11E805B912F40080EFD574EF.2">#REF!</definedName>
    <definedName name="MSTR.3481B37A11E805B912F40080EFD574EF.20">#REF!</definedName>
    <definedName name="MSTR.3481B37A11E805B912F40080EFD574EF.21">#REF!</definedName>
    <definedName name="MSTR.3481B37A11E805B912F40080EFD574EF.22">#REF!</definedName>
    <definedName name="MSTR.3481B37A11E805B912F40080EFD574EF.23">#REF!</definedName>
    <definedName name="MSTR.3481B37A11E805B912F40080EFD574EF.24">#REF!</definedName>
    <definedName name="MSTR.3481B37A11E805B912F40080EFD574EF.25">#REF!</definedName>
    <definedName name="MSTR.3481B37A11E805B912F40080EFD574EF.26">#REF!</definedName>
    <definedName name="MSTR.3481B37A11E805B912F40080EFD574EF.27">#REF!</definedName>
    <definedName name="MSTR.3481B37A11E805B912F40080EFD574EF.28">#REF!</definedName>
    <definedName name="MSTR.3481B37A11E805B912F40080EFD574EF.29">#REF!</definedName>
    <definedName name="MSTR.3481B37A11E805B912F40080EFD574EF.3">#REF!</definedName>
    <definedName name="MSTR.3481B37A11E805B912F40080EFD574EF.30">#REF!</definedName>
    <definedName name="MSTR.3481B37A11E805B912F40080EFD574EF.31">#REF!</definedName>
    <definedName name="MSTR.3481B37A11E805B912F40080EFD574EF.32">#REF!</definedName>
    <definedName name="MSTR.3481B37A11E805B912F40080EFD574EF.33">#REF!</definedName>
    <definedName name="MSTR.3481B37A11E805B912F40080EFD574EF.34">#REF!</definedName>
    <definedName name="MSTR.3481B37A11E805B912F40080EFD574EF.35">#REF!</definedName>
    <definedName name="MSTR.3481B37A11E805B912F40080EFD574EF.36">#REF!</definedName>
    <definedName name="MSTR.3481B37A11E805B912F40080EFD574EF.37">#REF!</definedName>
    <definedName name="MSTR.3481B37A11E805B912F40080EFD574EF.38">#REF!</definedName>
    <definedName name="MSTR.3481B37A11E805B912F40080EFD574EF.39">#REF!</definedName>
    <definedName name="MSTR.3481B37A11E805B912F40080EFD574EF.4">#REF!</definedName>
    <definedName name="MSTR.3481B37A11E805B912F40080EFD574EF.40">#REF!</definedName>
    <definedName name="MSTR.3481B37A11E805B912F40080EFD574EF.41">#REF!</definedName>
    <definedName name="MSTR.3481B37A11E805B912F40080EFD574EF.42">#REF!</definedName>
    <definedName name="MSTR.3481B37A11E805B912F40080EFD574EF.43">#REF!</definedName>
    <definedName name="MSTR.3481B37A11E805B912F40080EFD574EF.44">#REF!</definedName>
    <definedName name="MSTR.3481B37A11E805B912F40080EFD574EF.45">#REF!</definedName>
    <definedName name="MSTR.3481B37A11E805B912F40080EFD574EF.46">#REF!</definedName>
    <definedName name="MSTR.3481B37A11E805B912F40080EFD574EF.47">#REF!</definedName>
    <definedName name="MSTR.3481B37A11E805B912F40080EFD574EF.48">#REF!</definedName>
    <definedName name="MSTR.3481B37A11E805B912F40080EFD574EF.49">#REF!</definedName>
    <definedName name="MSTR.3481B37A11E805B912F40080EFD574EF.5">#REF!</definedName>
    <definedName name="MSTR.3481B37A11E805B912F40080EFD574EF.6">#REF!</definedName>
    <definedName name="MSTR.3481B37A11E805B912F40080EFD574EF.7">#REF!</definedName>
    <definedName name="MSTR.3481B37A11E805B912F40080EFD574EF.8">#REF!</definedName>
    <definedName name="MSTR.3481B37A11E805B912F40080EFD574EF.9">#REF!</definedName>
    <definedName name="MSTR.366C90B74AD9C560FCC20182468ED56D">#REF!</definedName>
    <definedName name="MSTR.366C90B74AD9C560FCC20182468ED56D.1">#REF!</definedName>
    <definedName name="MSTR.366C90B74AD9C560FCC20182468ED56D.10">#REF!</definedName>
    <definedName name="MSTR.366C90B74AD9C560FCC20182468ED56D.11">#REF!</definedName>
    <definedName name="MSTR.366C90B74AD9C560FCC20182468ED56D.12">#REF!</definedName>
    <definedName name="MSTR.366C90B74AD9C560FCC20182468ED56D.13">#REF!</definedName>
    <definedName name="MSTR.366C90B74AD9C560FCC20182468ED56D.14">#REF!</definedName>
    <definedName name="MSTR.366C90B74AD9C560FCC20182468ED56D.15">#REF!</definedName>
    <definedName name="MSTR.366C90B74AD9C560FCC20182468ED56D.16">#REF!</definedName>
    <definedName name="MSTR.366C90B74AD9C560FCC20182468ED56D.17">#REF!</definedName>
    <definedName name="MSTR.366C90B74AD9C560FCC20182468ED56D.18">#REF!</definedName>
    <definedName name="MSTR.366C90B74AD9C560FCC20182468ED56D.19">#REF!</definedName>
    <definedName name="MSTR.366C90B74AD9C560FCC20182468ED56D.2">#REF!</definedName>
    <definedName name="MSTR.366C90B74AD9C560FCC20182468ED56D.20">#REF!</definedName>
    <definedName name="MSTR.366C90B74AD9C560FCC20182468ED56D.21">#REF!</definedName>
    <definedName name="MSTR.366C90B74AD9C560FCC20182468ED56D.3">#REF!</definedName>
    <definedName name="MSTR.366C90B74AD9C560FCC20182468ED56D.4">#REF!</definedName>
    <definedName name="MSTR.366C90B74AD9C560FCC20182468ED56D.5">#REF!</definedName>
    <definedName name="MSTR.366C90B74AD9C560FCC20182468ED56D.6">#REF!</definedName>
    <definedName name="MSTR.366C90B74AD9C560FCC20182468ED56D.7">#REF!</definedName>
    <definedName name="MSTR.366C90B74AD9C560FCC20182468ED56D.8">#REF!</definedName>
    <definedName name="MSTR.366C90B74AD9C560FCC20182468ED56D.9">#REF!</definedName>
    <definedName name="MSTR.4290739411E5D3BF79790080EF35F8EE" localSheetId="17">#REF!</definedName>
    <definedName name="MSTR.4290739411E5D3BF79790080EF35F8EE">#REF!</definedName>
    <definedName name="MSTR.4290739411E5D3BF79790080EF35F8EE.1" localSheetId="17">#REF!</definedName>
    <definedName name="MSTR.4290739411E5D3BF79790080EF35F8EE.1">#REF!</definedName>
    <definedName name="MSTR.4290739411E5D3BF79790080EF35F8EE.10" localSheetId="17">#REF!</definedName>
    <definedName name="MSTR.4290739411E5D3BF79790080EF35F8EE.10">#REF!</definedName>
    <definedName name="MSTR.4290739411E5D3BF79790080EF35F8EE.11" localSheetId="17">#REF!</definedName>
    <definedName name="MSTR.4290739411E5D3BF79790080EF35F8EE.11">#REF!</definedName>
    <definedName name="MSTR.4290739411E5D3BF79790080EF35F8EE.12">#REF!</definedName>
    <definedName name="MSTR.4290739411E5D3BF79790080EF35F8EE.13">#REF!</definedName>
    <definedName name="MSTR.4290739411E5D3BF79790080EF35F8EE.14">#REF!</definedName>
    <definedName name="MSTR.4290739411E5D3BF79790080EF35F8EE.15">#REF!</definedName>
    <definedName name="MSTR.4290739411E5D3BF79790080EF35F8EE.16">#REF!</definedName>
    <definedName name="MSTR.4290739411E5D3BF79790080EF35F8EE.17">#REF!</definedName>
    <definedName name="MSTR.4290739411E5D3BF79790080EF35F8EE.18">#REF!</definedName>
    <definedName name="MSTR.4290739411E5D3BF79790080EF35F8EE.19">#REF!</definedName>
    <definedName name="MSTR.4290739411E5D3BF79790080EF35F8EE.2" localSheetId="17">#REF!</definedName>
    <definedName name="MSTR.4290739411E5D3BF79790080EF35F8EE.2">#REF!</definedName>
    <definedName name="MSTR.4290739411E5D3BF79790080EF35F8EE.20">#REF!</definedName>
    <definedName name="MSTR.4290739411E5D3BF79790080EF35F8EE.21">#REF!</definedName>
    <definedName name="MSTR.4290739411E5D3BF79790080EF35F8EE.22">#REF!</definedName>
    <definedName name="MSTR.4290739411E5D3BF79790080EF35F8EE.23">#REF!</definedName>
    <definedName name="MSTR.4290739411E5D3BF79790080EF35F8EE.24">#REF!</definedName>
    <definedName name="MSTR.4290739411E5D3BF79790080EF35F8EE.25">#REF!</definedName>
    <definedName name="MSTR.4290739411E5D3BF79790080EF35F8EE.26">#REF!</definedName>
    <definedName name="MSTR.4290739411E5D3BF79790080EF35F8EE.27">#REF!</definedName>
    <definedName name="MSTR.4290739411E5D3BF79790080EF35F8EE.3">#REF!</definedName>
    <definedName name="MSTR.4290739411E5D3BF79790080EF35F8EE.4">#REF!</definedName>
    <definedName name="MSTR.4290739411E5D3BF79790080EF35F8EE.5">#REF!</definedName>
    <definedName name="MSTR.4290739411E5D3BF79790080EF35F8EE.6">#REF!</definedName>
    <definedName name="MSTR.4290739411E5D3BF79790080EF35F8EE.7">#REF!</definedName>
    <definedName name="MSTR.4290739411E5D3BF79790080EF35F8EE.8">#REF!</definedName>
    <definedName name="MSTR.4290739411E5D3BF79790080EF35F8EE.9">#REF!</definedName>
    <definedName name="MSTR.44461D2011E5FC9A89AB0080EF055ECB">#REF!</definedName>
    <definedName name="MSTR.44461D2011E5FC9A89AB0080EF055ECB.1">#REF!</definedName>
    <definedName name="MSTR.44461D2011E5FC9A89AB0080EF055ECB.10">#REF!</definedName>
    <definedName name="MSTR.44461D2011E5FC9A89AB0080EF055ECB.11">#REF!</definedName>
    <definedName name="MSTR.44461D2011E5FC9A89AB0080EF055ECB.12">#REF!</definedName>
    <definedName name="MSTR.44461D2011E5FC9A89AB0080EF055ECB.13">#REF!</definedName>
    <definedName name="MSTR.44461D2011E5FC9A89AB0080EF055ECB.14">#REF!</definedName>
    <definedName name="MSTR.44461D2011E5FC9A89AB0080EF055ECB.15">#REF!</definedName>
    <definedName name="MSTR.44461D2011E5FC9A89AB0080EF055ECB.16">#REF!</definedName>
    <definedName name="MSTR.44461D2011E5FC9A89AB0080EF055ECB.17">#REF!</definedName>
    <definedName name="MSTR.44461D2011E5FC9A89AB0080EF055ECB.18">#REF!</definedName>
    <definedName name="MSTR.44461D2011E5FC9A89AB0080EF055ECB.19">#REF!</definedName>
    <definedName name="MSTR.44461D2011E5FC9A89AB0080EF055ECB.2">#REF!</definedName>
    <definedName name="MSTR.44461D2011E5FC9A89AB0080EF055ECB.20">#REF!</definedName>
    <definedName name="MSTR.44461D2011E5FC9A89AB0080EF055ECB.21">#REF!</definedName>
    <definedName name="MSTR.44461D2011E5FC9A89AB0080EF055ECB.22">#REF!</definedName>
    <definedName name="MSTR.44461D2011E5FC9A89AB0080EF055ECB.23">#REF!</definedName>
    <definedName name="MSTR.44461D2011E5FC9A89AB0080EF055ECB.24">#REF!</definedName>
    <definedName name="MSTR.44461D2011E5FC9A89AB0080EF055ECB.25">#REF!</definedName>
    <definedName name="MSTR.44461D2011E5FC9A89AB0080EF055ECB.26">#REF!</definedName>
    <definedName name="MSTR.44461D2011E5FC9A89AB0080EF055ECB.27">#REF!</definedName>
    <definedName name="MSTR.44461D2011E5FC9A89AB0080EF055ECB.28">#REF!</definedName>
    <definedName name="MSTR.44461D2011E5FC9A89AB0080EF055ECB.29">#REF!</definedName>
    <definedName name="MSTR.44461D2011E5FC9A89AB0080EF055ECB.3">#REF!</definedName>
    <definedName name="MSTR.44461D2011E5FC9A89AB0080EF055ECB.30">#REF!</definedName>
    <definedName name="MSTR.44461D2011E5FC9A89AB0080EF055ECB.4">#REF!</definedName>
    <definedName name="MSTR.44461D2011E5FC9A89AB0080EF055ECB.5">#REF!</definedName>
    <definedName name="MSTR.44461D2011E5FC9A89AB0080EF055ECB.6">#REF!</definedName>
    <definedName name="MSTR.44461D2011E5FC9A89AB0080EF055ECB.7">#REF!</definedName>
    <definedName name="MSTR.44461D2011E5FC9A89AB0080EF055ECB.8">#REF!</definedName>
    <definedName name="MSTR.44461D2011E5FC9A89AB0080EF055ECB.9">#REF!</definedName>
    <definedName name="MSTR.4ECD5C164CDAD1D43AD44C88EC311376">#REF!</definedName>
    <definedName name="MSTR.4ECD5C164CDAD1D43AD44C88EC311376.1">#REF!</definedName>
    <definedName name="MSTR.4ECD5C164CDAD1D43AD44C88EC311376.10">#REF!</definedName>
    <definedName name="MSTR.4ECD5C164CDAD1D43AD44C88EC311376.11">#REF!</definedName>
    <definedName name="MSTR.4ECD5C164CDAD1D43AD44C88EC311376.12">#REF!</definedName>
    <definedName name="MSTR.4ECD5C164CDAD1D43AD44C88EC311376.13">#REF!</definedName>
    <definedName name="MSTR.4ECD5C164CDAD1D43AD44C88EC311376.14">#REF!</definedName>
    <definedName name="MSTR.4ECD5C164CDAD1D43AD44C88EC311376.15">#REF!</definedName>
    <definedName name="MSTR.4ECD5C164CDAD1D43AD44C88EC311376.16">#REF!</definedName>
    <definedName name="MSTR.4ECD5C164CDAD1D43AD44C88EC311376.17">#REF!</definedName>
    <definedName name="MSTR.4ECD5C164CDAD1D43AD44C88EC311376.18">#REF!</definedName>
    <definedName name="MSTR.4ECD5C164CDAD1D43AD44C88EC311376.19">#REF!</definedName>
    <definedName name="MSTR.4ECD5C164CDAD1D43AD44C88EC311376.2">#REF!</definedName>
    <definedName name="MSTR.4ECD5C164CDAD1D43AD44C88EC311376.20">#REF!</definedName>
    <definedName name="MSTR.4ECD5C164CDAD1D43AD44C88EC311376.21">#REF!</definedName>
    <definedName name="MSTR.4ECD5C164CDAD1D43AD44C88EC311376.22">#REF!</definedName>
    <definedName name="MSTR.4ECD5C164CDAD1D43AD44C88EC311376.23">#REF!</definedName>
    <definedName name="MSTR.4ECD5C164CDAD1D43AD44C88EC311376.24">#REF!</definedName>
    <definedName name="MSTR.4ECD5C164CDAD1D43AD44C88EC311376.25">#REF!</definedName>
    <definedName name="MSTR.4ECD5C164CDAD1D43AD44C88EC311376.26">#REF!</definedName>
    <definedName name="MSTR.4ECD5C164CDAD1D43AD44C88EC311376.27">#REF!</definedName>
    <definedName name="MSTR.4ECD5C164CDAD1D43AD44C88EC311376.28">#REF!</definedName>
    <definedName name="MSTR.4ECD5C164CDAD1D43AD44C88EC311376.29">#REF!</definedName>
    <definedName name="MSTR.4ECD5C164CDAD1D43AD44C88EC311376.3">#REF!</definedName>
    <definedName name="MSTR.4ECD5C164CDAD1D43AD44C88EC311376.30">#REF!</definedName>
    <definedName name="MSTR.4ECD5C164CDAD1D43AD44C88EC311376.31">#REF!</definedName>
    <definedName name="MSTR.4ECD5C164CDAD1D43AD44C88EC311376.32">#REF!</definedName>
    <definedName name="MSTR.4ECD5C164CDAD1D43AD44C88EC311376.33">#REF!</definedName>
    <definedName name="MSTR.4ECD5C164CDAD1D43AD44C88EC311376.34">#REF!</definedName>
    <definedName name="MSTR.4ECD5C164CDAD1D43AD44C88EC311376.35">#REF!</definedName>
    <definedName name="MSTR.4ECD5C164CDAD1D43AD44C88EC311376.36">#REF!</definedName>
    <definedName name="MSTR.4ECD5C164CDAD1D43AD44C88EC311376.37">#REF!</definedName>
    <definedName name="MSTR.4ECD5C164CDAD1D43AD44C88EC311376.38">#REF!</definedName>
    <definedName name="MSTR.4ECD5C164CDAD1D43AD44C88EC311376.39">#REF!</definedName>
    <definedName name="MSTR.4ECD5C164CDAD1D43AD44C88EC311376.4">#REF!</definedName>
    <definedName name="MSTR.4ECD5C164CDAD1D43AD44C88EC311376.40">#REF!</definedName>
    <definedName name="MSTR.4ECD5C164CDAD1D43AD44C88EC311376.41">#REF!</definedName>
    <definedName name="MSTR.4ECD5C164CDAD1D43AD44C88EC311376.42">#REF!</definedName>
    <definedName name="MSTR.4ECD5C164CDAD1D43AD44C88EC311376.43">#REF!</definedName>
    <definedName name="MSTR.4ECD5C164CDAD1D43AD44C88EC311376.44">#REF!</definedName>
    <definedName name="MSTR.4ECD5C164CDAD1D43AD44C88EC311376.45">#REF!</definedName>
    <definedName name="MSTR.4ECD5C164CDAD1D43AD44C88EC311376.46">#REF!</definedName>
    <definedName name="MSTR.4ECD5C164CDAD1D43AD44C88EC311376.47">#REF!</definedName>
    <definedName name="MSTR.4ECD5C164CDAD1D43AD44C88EC311376.48">#REF!</definedName>
    <definedName name="MSTR.4ECD5C164CDAD1D43AD44C88EC311376.49">#REF!</definedName>
    <definedName name="MSTR.4ECD5C164CDAD1D43AD44C88EC311376.5">#REF!</definedName>
    <definedName name="MSTR.4ECD5C164CDAD1D43AD44C88EC311376.50">#REF!</definedName>
    <definedName name="MSTR.4ECD5C164CDAD1D43AD44C88EC311376.51">#REF!</definedName>
    <definedName name="MSTR.4ECD5C164CDAD1D43AD44C88EC311376.52">#REF!</definedName>
    <definedName name="MSTR.4ECD5C164CDAD1D43AD44C88EC311376.53">#REF!</definedName>
    <definedName name="MSTR.4ECD5C164CDAD1D43AD44C88EC311376.54">#REF!</definedName>
    <definedName name="MSTR.4ECD5C164CDAD1D43AD44C88EC311376.55">#REF!</definedName>
    <definedName name="MSTR.4ECD5C164CDAD1D43AD44C88EC311376.56">#REF!</definedName>
    <definedName name="MSTR.4ECD5C164CDAD1D43AD44C88EC311376.57">#REF!</definedName>
    <definedName name="MSTR.4ECD5C164CDAD1D43AD44C88EC311376.58">#REF!</definedName>
    <definedName name="MSTR.4ECD5C164CDAD1D43AD44C88EC311376.59">#REF!</definedName>
    <definedName name="MSTR.4ECD5C164CDAD1D43AD44C88EC311376.6">#REF!</definedName>
    <definedName name="MSTR.4ECD5C164CDAD1D43AD44C88EC311376.60">#REF!</definedName>
    <definedName name="MSTR.4ECD5C164CDAD1D43AD44C88EC311376.61">#REF!</definedName>
    <definedName name="MSTR.4ECD5C164CDAD1D43AD44C88EC311376.62">#REF!</definedName>
    <definedName name="MSTR.4ECD5C164CDAD1D43AD44C88EC311376.63">#REF!</definedName>
    <definedName name="MSTR.4ECD5C164CDAD1D43AD44C88EC311376.64">#REF!</definedName>
    <definedName name="MSTR.4ECD5C164CDAD1D43AD44C88EC311376.65">#REF!</definedName>
    <definedName name="MSTR.4ECD5C164CDAD1D43AD44C88EC311376.66">#REF!</definedName>
    <definedName name="MSTR.4ECD5C164CDAD1D43AD44C88EC311376.67">#REF!</definedName>
    <definedName name="MSTR.4ECD5C164CDAD1D43AD44C88EC311376.68">#REF!</definedName>
    <definedName name="MSTR.4ECD5C164CDAD1D43AD44C88EC311376.69">#REF!</definedName>
    <definedName name="MSTR.4ECD5C164CDAD1D43AD44C88EC311376.7">#REF!</definedName>
    <definedName name="MSTR.4ECD5C164CDAD1D43AD44C88EC311376.70">#REF!</definedName>
    <definedName name="MSTR.4ECD5C164CDAD1D43AD44C88EC311376.71">#REF!</definedName>
    <definedName name="MSTR.4ECD5C164CDAD1D43AD44C88EC311376.72">#REF!</definedName>
    <definedName name="MSTR.4ECD5C164CDAD1D43AD44C88EC311376.73">#REF!</definedName>
    <definedName name="MSTR.4ECD5C164CDAD1D43AD44C88EC311376.74">#REF!</definedName>
    <definedName name="MSTR.4ECD5C164CDAD1D43AD44C88EC311376.75">#REF!</definedName>
    <definedName name="MSTR.4ECD5C164CDAD1D43AD44C88EC311376.76">#REF!</definedName>
    <definedName name="MSTR.4ECD5C164CDAD1D43AD44C88EC311376.77">#REF!</definedName>
    <definedName name="MSTR.4ECD5C164CDAD1D43AD44C88EC311376.78">#REF!</definedName>
    <definedName name="MSTR.4ECD5C164CDAD1D43AD44C88EC311376.79">#REF!</definedName>
    <definedName name="MSTR.4ECD5C164CDAD1D43AD44C88EC311376.8">#REF!</definedName>
    <definedName name="MSTR.4ECD5C164CDAD1D43AD44C88EC311376.80">#REF!</definedName>
    <definedName name="MSTR.4ECD5C164CDAD1D43AD44C88EC311376.81">#REF!</definedName>
    <definedName name="MSTR.4ECD5C164CDAD1D43AD44C88EC311376.82">#REF!</definedName>
    <definedName name="MSTR.4ECD5C164CDAD1D43AD44C88EC311376.83">#REF!</definedName>
    <definedName name="MSTR.4ECD5C164CDAD1D43AD44C88EC311376.84">#REF!</definedName>
    <definedName name="MSTR.4ECD5C164CDAD1D43AD44C88EC311376.85">#REF!</definedName>
    <definedName name="MSTR.4ECD5C164CDAD1D43AD44C88EC311376.86">#REF!</definedName>
    <definedName name="MSTR.4ECD5C164CDAD1D43AD44C88EC311376.87">#REF!</definedName>
    <definedName name="MSTR.4ECD5C164CDAD1D43AD44C88EC311376.88">#REF!</definedName>
    <definedName name="MSTR.4ECD5C164CDAD1D43AD44C88EC311376.89">#REF!</definedName>
    <definedName name="MSTR.4ECD5C164CDAD1D43AD44C88EC311376.9">#REF!</definedName>
    <definedName name="MSTR.4ECD5C164CDAD1D43AD44C88EC311376.90">#REF!</definedName>
    <definedName name="MSTR.4ECD5C164CDAD1D43AD44C88EC311376.91">#REF!</definedName>
    <definedName name="MSTR.4ECD5C164CDAD1D43AD44C88EC311376.92">#REF!</definedName>
    <definedName name="MSTR.563EFCEA11E5377400000080EF151421">#REF!</definedName>
    <definedName name="MSTR.563EFCEA11E5377400000080EF151421.1">#REF!</definedName>
    <definedName name="MSTR.563EFCEA11E5377400000080EF151421.10">#REF!</definedName>
    <definedName name="MSTR.563EFCEA11E5377400000080EF151421.11">#REF!</definedName>
    <definedName name="MSTR.563EFCEA11E5377400000080EF151421.12">#REF!</definedName>
    <definedName name="MSTR.563EFCEA11E5377400000080EF151421.13">#REF!</definedName>
    <definedName name="MSTR.563EFCEA11E5377400000080EF151421.14">#REF!</definedName>
    <definedName name="MSTR.563EFCEA11E5377400000080EF151421.2">#REF!</definedName>
    <definedName name="MSTR.563EFCEA11E5377400000080EF151421.3">#REF!</definedName>
    <definedName name="MSTR.563EFCEA11E5377400000080EF151421.4">#REF!</definedName>
    <definedName name="MSTR.563EFCEA11E5377400000080EF151421.5">#REF!</definedName>
    <definedName name="MSTR.563EFCEA11E5377400000080EF151421.6">#REF!</definedName>
    <definedName name="MSTR.563EFCEA11E5377400000080EF151421.7">#REF!</definedName>
    <definedName name="MSTR.563EFCEA11E5377400000080EF151421.8">#REF!</definedName>
    <definedName name="MSTR.563EFCEA11E5377400000080EF151421.9">#REF!</definedName>
    <definedName name="MSTR.5C5D7EE0401A7C1CD1D23A84F94BE2AD">#REF!</definedName>
    <definedName name="MSTR.5C5D7EE0401A7C1CD1D23A84F94BE2AD.1">#REF!</definedName>
    <definedName name="MSTR.5C5D7EE0401A7C1CD1D23A84F94BE2AD.2">#REF!</definedName>
    <definedName name="MSTR.5C5D7EE0401A7C1CD1D23A84F94BE2AD.3">#REF!</definedName>
    <definedName name="MSTR.5C5D7EE0401A7C1CD1D23A84F94BE2AD.4">#REF!</definedName>
    <definedName name="MSTR.5C5D7EE0401A7C1CD1D23A84F94BE2AD.5">#REF!</definedName>
    <definedName name="MSTR.5C5D7EE0401A7C1CD1D23A84F94BE2AD.6">#REF!</definedName>
    <definedName name="MSTR.5C5D7EE0401A7C1CD1D23A84F94BE2AD.7">#REF!</definedName>
    <definedName name="MSTR.5C5D7EE0401A7C1CD1D23A84F94BE2AD.8">#REF!</definedName>
    <definedName name="MSTR.5C5D7EE0401A7C1CD1D23A84F94BE2AD.9">#REF!</definedName>
    <definedName name="MSTR.617E107E11E6DE2F1D4C0080EF85D27A">#REF!</definedName>
    <definedName name="MSTR.617E107E11E6DE2F1D4C0080EF85D27A.1">#REF!</definedName>
    <definedName name="MSTR.617E107E11E6DE2F1D4C0080EF85D27A.10">#REF!</definedName>
    <definedName name="MSTR.617E107E11E6DE2F1D4C0080EF85D27A.11">#REF!</definedName>
    <definedName name="MSTR.617E107E11E6DE2F1D4C0080EF85D27A.12">#REF!</definedName>
    <definedName name="MSTR.617E107E11E6DE2F1D4C0080EF85D27A.13">#REF!</definedName>
    <definedName name="MSTR.617E107E11E6DE2F1D4C0080EF85D27A.14">#REF!</definedName>
    <definedName name="MSTR.617E107E11E6DE2F1D4C0080EF85D27A.15">#REF!</definedName>
    <definedName name="MSTR.617E107E11E6DE2F1D4C0080EF85D27A.16">#REF!</definedName>
    <definedName name="MSTR.617E107E11E6DE2F1D4C0080EF85D27A.17">#REF!</definedName>
    <definedName name="MSTR.617E107E11E6DE2F1D4C0080EF85D27A.18">#REF!</definedName>
    <definedName name="MSTR.617E107E11E6DE2F1D4C0080EF85D27A.19">#REF!</definedName>
    <definedName name="MSTR.617E107E11E6DE2F1D4C0080EF85D27A.2">#REF!</definedName>
    <definedName name="MSTR.617E107E11E6DE2F1D4C0080EF85D27A.20">#REF!</definedName>
    <definedName name="MSTR.617E107E11E6DE2F1D4C0080EF85D27A.21">#REF!</definedName>
    <definedName name="MSTR.617E107E11E6DE2F1D4C0080EF85D27A.22">#REF!</definedName>
    <definedName name="MSTR.617E107E11E6DE2F1D4C0080EF85D27A.23">#REF!</definedName>
    <definedName name="MSTR.617E107E11E6DE2F1D4C0080EF85D27A.24">#REF!</definedName>
    <definedName name="MSTR.617E107E11E6DE2F1D4C0080EF85D27A.25">#REF!</definedName>
    <definedName name="MSTR.617E107E11E6DE2F1D4C0080EF85D27A.26">#REF!</definedName>
    <definedName name="MSTR.617E107E11E6DE2F1D4C0080EF85D27A.27">#REF!</definedName>
    <definedName name="MSTR.617E107E11E6DE2F1D4C0080EF85D27A.28">#REF!</definedName>
    <definedName name="MSTR.617E107E11E6DE2F1D4C0080EF85D27A.29">#REF!</definedName>
    <definedName name="MSTR.617E107E11E6DE2F1D4C0080EF85D27A.3">#REF!</definedName>
    <definedName name="MSTR.617E107E11E6DE2F1D4C0080EF85D27A.30">#REF!</definedName>
    <definedName name="MSTR.617E107E11E6DE2F1D4C0080EF85D27A.31">#REF!</definedName>
    <definedName name="MSTR.617E107E11E6DE2F1D4C0080EF85D27A.32">#REF!</definedName>
    <definedName name="MSTR.617E107E11E6DE2F1D4C0080EF85D27A.33">#REF!</definedName>
    <definedName name="MSTR.617E107E11E6DE2F1D4C0080EF85D27A.34">#REF!</definedName>
    <definedName name="MSTR.617E107E11E6DE2F1D4C0080EF85D27A.35">#REF!</definedName>
    <definedName name="MSTR.617E107E11E6DE2F1D4C0080EF85D27A.36">#REF!</definedName>
    <definedName name="MSTR.617E107E11E6DE2F1D4C0080EF85D27A.37">#REF!</definedName>
    <definedName name="MSTR.617E107E11E6DE2F1D4C0080EF85D27A.38">#REF!</definedName>
    <definedName name="MSTR.617E107E11E6DE2F1D4C0080EF85D27A.39">#REF!</definedName>
    <definedName name="MSTR.617E107E11E6DE2F1D4C0080EF85D27A.4">#REF!</definedName>
    <definedName name="MSTR.617E107E11E6DE2F1D4C0080EF85D27A.40">#REF!</definedName>
    <definedName name="MSTR.617E107E11E6DE2F1D4C0080EF85D27A.41">#REF!</definedName>
    <definedName name="MSTR.617E107E11E6DE2F1D4C0080EF85D27A.42">#REF!</definedName>
    <definedName name="MSTR.617E107E11E6DE2F1D4C0080EF85D27A.5">#REF!</definedName>
    <definedName name="MSTR.617E107E11E6DE2F1D4C0080EF85D27A.6">#REF!</definedName>
    <definedName name="MSTR.617E107E11E6DE2F1D4C0080EF85D27A.7">#REF!</definedName>
    <definedName name="MSTR.617E107E11E6DE2F1D4C0080EF85D27A.8">#REF!</definedName>
    <definedName name="MSTR.617E107E11E6DE2F1D4C0080EF85D27A.9">#REF!</definedName>
    <definedName name="MSTR.66711E2411E6DE291D330080EF35A0AA">#REF!</definedName>
    <definedName name="MSTR.66711E2411E6DE291D330080EF35A0AA.1">#REF!</definedName>
    <definedName name="MSTR.66711E2411E6DE291D330080EF35A0AA.10">#REF!</definedName>
    <definedName name="MSTR.66711E2411E6DE291D330080EF35A0AA.11">#REF!</definedName>
    <definedName name="MSTR.66711E2411E6DE291D330080EF35A0AA.12">#REF!</definedName>
    <definedName name="MSTR.66711E2411E6DE291D330080EF35A0AA.13">#REF!</definedName>
    <definedName name="MSTR.66711E2411E6DE291D330080EF35A0AA.14">#REF!</definedName>
    <definedName name="MSTR.66711E2411E6DE291D330080EF35A0AA.15">#REF!</definedName>
    <definedName name="MSTR.66711E2411E6DE291D330080EF35A0AA.16">#REF!</definedName>
    <definedName name="MSTR.66711E2411E6DE291D330080EF35A0AA.17">#REF!</definedName>
    <definedName name="MSTR.66711E2411E6DE291D330080EF35A0AA.18">#REF!</definedName>
    <definedName name="MSTR.66711E2411E6DE291D330080EF35A0AA.19">#REF!</definedName>
    <definedName name="MSTR.66711E2411E6DE291D330080EF35A0AA.2">#REF!</definedName>
    <definedName name="MSTR.66711E2411E6DE291D330080EF35A0AA.20">#REF!</definedName>
    <definedName name="MSTR.66711E2411E6DE291D330080EF35A0AA.21">#REF!</definedName>
    <definedName name="MSTR.66711E2411E6DE291D330080EF35A0AA.22">#REF!</definedName>
    <definedName name="MSTR.66711E2411E6DE291D330080EF35A0AA.23">#REF!</definedName>
    <definedName name="MSTR.66711E2411E6DE291D330080EF35A0AA.24">#REF!</definedName>
    <definedName name="MSTR.66711E2411E6DE291D330080EF35A0AA.25">#REF!</definedName>
    <definedName name="MSTR.66711E2411E6DE291D330080EF35A0AA.26">#REF!</definedName>
    <definedName name="MSTR.66711E2411E6DE291D330080EF35A0AA.27">#REF!</definedName>
    <definedName name="MSTR.66711E2411E6DE291D330080EF35A0AA.28">#REF!</definedName>
    <definedName name="MSTR.66711E2411E6DE291D330080EF35A0AA.29">#REF!</definedName>
    <definedName name="MSTR.66711E2411E6DE291D330080EF35A0AA.3">#REF!</definedName>
    <definedName name="MSTR.66711E2411E6DE291D330080EF35A0AA.30">#REF!</definedName>
    <definedName name="MSTR.66711E2411E6DE291D330080EF35A0AA.31">#REF!</definedName>
    <definedName name="MSTR.66711E2411E6DE291D330080EF35A0AA.32">#REF!</definedName>
    <definedName name="MSTR.66711E2411E6DE291D330080EF35A0AA.33">#REF!</definedName>
    <definedName name="MSTR.66711E2411E6DE291D330080EF35A0AA.34">#REF!</definedName>
    <definedName name="MSTR.66711E2411E6DE291D330080EF35A0AA.35">#REF!</definedName>
    <definedName name="MSTR.66711E2411E6DE291D330080EF35A0AA.36">#REF!</definedName>
    <definedName name="MSTR.66711E2411E6DE291D330080EF35A0AA.37">#REF!</definedName>
    <definedName name="MSTR.66711E2411E6DE291D330080EF35A0AA.38">#REF!</definedName>
    <definedName name="MSTR.66711E2411E6DE291D330080EF35A0AA.39">#REF!</definedName>
    <definedName name="MSTR.66711E2411E6DE291D330080EF35A0AA.4">#REF!</definedName>
    <definedName name="MSTR.66711E2411E6DE291D330080EF35A0AA.40">#REF!</definedName>
    <definedName name="MSTR.66711E2411E6DE291D330080EF35A0AA.41">#REF!</definedName>
    <definedName name="MSTR.66711E2411E6DE291D330080EF35A0AA.42">#REF!</definedName>
    <definedName name="MSTR.66711E2411E6DE291D330080EF35A0AA.43">#REF!</definedName>
    <definedName name="MSTR.66711E2411E6DE291D330080EF35A0AA.44">#REF!</definedName>
    <definedName name="MSTR.66711E2411E6DE291D330080EF35A0AA.45">#REF!</definedName>
    <definedName name="MSTR.66711E2411E6DE291D330080EF35A0AA.46">#REF!</definedName>
    <definedName name="MSTR.66711E2411E6DE291D330080EF35A0AA.47">#REF!</definedName>
    <definedName name="MSTR.66711E2411E6DE291D330080EF35A0AA.48">#REF!</definedName>
    <definedName name="MSTR.66711E2411E6DE291D330080EF35A0AA.49">#REF!</definedName>
    <definedName name="MSTR.66711E2411E6DE291D330080EF35A0AA.5">#REF!</definedName>
    <definedName name="MSTR.66711E2411E6DE291D330080EF35A0AA.50">#REF!</definedName>
    <definedName name="MSTR.66711E2411E6DE291D330080EF35A0AA.51">#REF!</definedName>
    <definedName name="MSTR.66711E2411E6DE291D330080EF35A0AA.52">#REF!</definedName>
    <definedName name="MSTR.66711E2411E6DE291D330080EF35A0AA.53">#REF!</definedName>
    <definedName name="MSTR.66711E2411E6DE291D330080EF35A0AA.54">#REF!</definedName>
    <definedName name="MSTR.66711E2411E6DE291D330080EF35A0AA.55">#REF!</definedName>
    <definedName name="MSTR.66711E2411E6DE291D330080EF35A0AA.56">#REF!</definedName>
    <definedName name="MSTR.66711E2411E6DE291D330080EF35A0AA.57">#REF!</definedName>
    <definedName name="MSTR.66711E2411E6DE291D330080EF35A0AA.58">#REF!</definedName>
    <definedName name="MSTR.66711E2411E6DE291D330080EF35A0AA.59">#REF!</definedName>
    <definedName name="MSTR.66711E2411E6DE291D330080EF35A0AA.6">#REF!</definedName>
    <definedName name="MSTR.66711E2411E6DE291D330080EF35A0AA.60">#REF!</definedName>
    <definedName name="MSTR.66711E2411E6DE291D330080EF35A0AA.61">#REF!</definedName>
    <definedName name="MSTR.66711E2411E6DE291D330080EF35A0AA.62">#REF!</definedName>
    <definedName name="MSTR.66711E2411E6DE291D330080EF35A0AA.63">#REF!</definedName>
    <definedName name="MSTR.66711E2411E6DE291D330080EF35A0AA.7">#REF!</definedName>
    <definedName name="MSTR.66711E2411E6DE291D330080EF35A0AA.8">#REF!</definedName>
    <definedName name="MSTR.66711E2411E6DE291D330080EF35A0AA.9">#REF!</definedName>
    <definedName name="MSTR.6E38459A11E5FC8B39B10080EFF56469">#REF!</definedName>
    <definedName name="MSTR.6E38459A11E5FC8B39B10080EFF56469.1">#REF!</definedName>
    <definedName name="MSTR.6E38459A11E5FC8B39B10080EFF56469.2">#REF!</definedName>
    <definedName name="MSTR.7387488940B2E3126B41E79EBA963D9D">#REF!</definedName>
    <definedName name="MSTR.7387488940B2E3126B41E79EBA963D9D.1">#REF!</definedName>
    <definedName name="MSTR.7387488940B2E3126B41E79EBA963D9D.10">#REF!</definedName>
    <definedName name="MSTR.7387488940B2E3126B41E79EBA963D9D.11">#REF!</definedName>
    <definedName name="MSTR.7387488940B2E3126B41E79EBA963D9D.12">#REF!</definedName>
    <definedName name="MSTR.7387488940B2E3126B41E79EBA963D9D.13">#REF!</definedName>
    <definedName name="MSTR.7387488940B2E3126B41E79EBA963D9D.14">#REF!</definedName>
    <definedName name="MSTR.7387488940B2E3126B41E79EBA963D9D.15">#REF!</definedName>
    <definedName name="MSTR.7387488940B2E3126B41E79EBA963D9D.16">#REF!</definedName>
    <definedName name="MSTR.7387488940B2E3126B41E79EBA963D9D.17">#REF!</definedName>
    <definedName name="MSTR.7387488940B2E3126B41E79EBA963D9D.18">#REF!</definedName>
    <definedName name="MSTR.7387488940B2E3126B41E79EBA963D9D.19">#REF!</definedName>
    <definedName name="MSTR.7387488940B2E3126B41E79EBA963D9D.2">#REF!</definedName>
    <definedName name="MSTR.7387488940B2E3126B41E79EBA963D9D.20">#REF!</definedName>
    <definedName name="MSTR.7387488940B2E3126B41E79EBA963D9D.21">#REF!</definedName>
    <definedName name="MSTR.7387488940B2E3126B41E79EBA963D9D.22">#REF!</definedName>
    <definedName name="MSTR.7387488940B2E3126B41E79EBA963D9D.23">#REF!</definedName>
    <definedName name="MSTR.7387488940B2E3126B41E79EBA963D9D.24">#REF!</definedName>
    <definedName name="MSTR.7387488940B2E3126B41E79EBA963D9D.25">#REF!</definedName>
    <definedName name="MSTR.7387488940B2E3126B41E79EBA963D9D.26">#REF!</definedName>
    <definedName name="MSTR.7387488940B2E3126B41E79EBA963D9D.27">#REF!</definedName>
    <definedName name="MSTR.7387488940B2E3126B41E79EBA963D9D.28">#REF!</definedName>
    <definedName name="MSTR.7387488940B2E3126B41E79EBA963D9D.29">#REF!</definedName>
    <definedName name="MSTR.7387488940B2E3126B41E79EBA963D9D.3">#REF!</definedName>
    <definedName name="MSTR.7387488940B2E3126B41E79EBA963D9D.30">#REF!</definedName>
    <definedName name="MSTR.7387488940B2E3126B41E79EBA963D9D.31">#REF!</definedName>
    <definedName name="MSTR.7387488940B2E3126B41E79EBA963D9D.32">#REF!</definedName>
    <definedName name="MSTR.7387488940B2E3126B41E79EBA963D9D.33">#REF!</definedName>
    <definedName name="MSTR.7387488940B2E3126B41E79EBA963D9D.34">#REF!</definedName>
    <definedName name="MSTR.7387488940B2E3126B41E79EBA963D9D.35">#REF!</definedName>
    <definedName name="MSTR.7387488940B2E3126B41E79EBA963D9D.36">#REF!</definedName>
    <definedName name="MSTR.7387488940B2E3126B41E79EBA963D9D.37">#REF!</definedName>
    <definedName name="MSTR.7387488940B2E3126B41E79EBA963D9D.38">#REF!</definedName>
    <definedName name="MSTR.7387488940B2E3126B41E79EBA963D9D.39">#REF!</definedName>
    <definedName name="MSTR.7387488940B2E3126B41E79EBA963D9D.4">#REF!</definedName>
    <definedName name="MSTR.7387488940B2E3126B41E79EBA963D9D.40">#REF!</definedName>
    <definedName name="MSTR.7387488940B2E3126B41E79EBA963D9D.41">#REF!</definedName>
    <definedName name="MSTR.7387488940B2E3126B41E79EBA963D9D.42">#REF!</definedName>
    <definedName name="MSTR.7387488940B2E3126B41E79EBA963D9D.43">#REF!</definedName>
    <definedName name="MSTR.7387488940B2E3126B41E79EBA963D9D.44">#REF!</definedName>
    <definedName name="MSTR.7387488940B2E3126B41E79EBA963D9D.45">#REF!</definedName>
    <definedName name="MSTR.7387488940B2E3126B41E79EBA963D9D.46">#REF!</definedName>
    <definedName name="MSTR.7387488940B2E3126B41E79EBA963D9D.47">#REF!</definedName>
    <definedName name="MSTR.7387488940B2E3126B41E79EBA963D9D.48">#REF!</definedName>
    <definedName name="MSTR.7387488940B2E3126B41E79EBA963D9D.49">#REF!</definedName>
    <definedName name="MSTR.7387488940B2E3126B41E79EBA963D9D.5">#REF!</definedName>
    <definedName name="MSTR.7387488940B2E3126B41E79EBA963D9D.50">#REF!</definedName>
    <definedName name="MSTR.7387488940B2E3126B41E79EBA963D9D.51">#REF!</definedName>
    <definedName name="MSTR.7387488940B2E3126B41E79EBA963D9D.6">#REF!</definedName>
    <definedName name="MSTR.7387488940B2E3126B41E79EBA963D9D.7">#REF!</definedName>
    <definedName name="MSTR.7387488940B2E3126B41E79EBA963D9D.8">#REF!</definedName>
    <definedName name="MSTR.7387488940B2E3126B41E79EBA963D9D.9">#REF!</definedName>
    <definedName name="MSTR.7A0F0D1F49BFAEDBBBD917A296B79D22">#REF!</definedName>
    <definedName name="MSTR.7A0F0D1F49BFAEDBBBD917A296B79D22.1">#REF!</definedName>
    <definedName name="MSTR.7A0F0D1F49BFAEDBBBD917A296B79D22.10">#REF!</definedName>
    <definedName name="MSTR.7A0F0D1F49BFAEDBBBD917A296B79D22.11">#REF!</definedName>
    <definedName name="MSTR.7A0F0D1F49BFAEDBBBD917A296B79D22.12">#REF!</definedName>
    <definedName name="MSTR.7A0F0D1F49BFAEDBBBD917A296B79D22.13">#REF!</definedName>
    <definedName name="MSTR.7A0F0D1F49BFAEDBBBD917A296B79D22.14">#REF!</definedName>
    <definedName name="MSTR.7A0F0D1F49BFAEDBBBD917A296B79D22.15">#REF!</definedName>
    <definedName name="MSTR.7A0F0D1F49BFAEDBBBD917A296B79D22.16">#REF!</definedName>
    <definedName name="MSTR.7A0F0D1F49BFAEDBBBD917A296B79D22.17">#REF!</definedName>
    <definedName name="MSTR.7A0F0D1F49BFAEDBBBD917A296B79D22.18">#REF!</definedName>
    <definedName name="MSTR.7A0F0D1F49BFAEDBBBD917A296B79D22.19">#REF!</definedName>
    <definedName name="MSTR.7A0F0D1F49BFAEDBBBD917A296B79D22.2">#REF!</definedName>
    <definedName name="MSTR.7A0F0D1F49BFAEDBBBD917A296B79D22.20">#REF!</definedName>
    <definedName name="MSTR.7A0F0D1F49BFAEDBBBD917A296B79D22.21">#REF!</definedName>
    <definedName name="MSTR.7A0F0D1F49BFAEDBBBD917A296B79D22.22">#REF!</definedName>
    <definedName name="MSTR.7A0F0D1F49BFAEDBBBD917A296B79D22.23">#REF!</definedName>
    <definedName name="MSTR.7A0F0D1F49BFAEDBBBD917A296B79D22.24">#REF!</definedName>
    <definedName name="MSTR.7A0F0D1F49BFAEDBBBD917A296B79D22.25">#REF!</definedName>
    <definedName name="MSTR.7A0F0D1F49BFAEDBBBD917A296B79D22.26">#REF!</definedName>
    <definedName name="MSTR.7A0F0D1F49BFAEDBBBD917A296B79D22.27">#REF!</definedName>
    <definedName name="MSTR.7A0F0D1F49BFAEDBBBD917A296B79D22.28">#REF!</definedName>
    <definedName name="MSTR.7A0F0D1F49BFAEDBBBD917A296B79D22.29">#REF!</definedName>
    <definedName name="MSTR.7A0F0D1F49BFAEDBBBD917A296B79D22.3">#REF!</definedName>
    <definedName name="MSTR.7A0F0D1F49BFAEDBBBD917A296B79D22.30">#REF!</definedName>
    <definedName name="MSTR.7A0F0D1F49BFAEDBBBD917A296B79D22.31">#REF!</definedName>
    <definedName name="MSTR.7A0F0D1F49BFAEDBBBD917A296B79D22.32">#REF!</definedName>
    <definedName name="MSTR.7A0F0D1F49BFAEDBBBD917A296B79D22.33">#REF!</definedName>
    <definedName name="MSTR.7A0F0D1F49BFAEDBBBD917A296B79D22.34">#REF!</definedName>
    <definedName name="MSTR.7A0F0D1F49BFAEDBBBD917A296B79D22.35">#REF!</definedName>
    <definedName name="MSTR.7A0F0D1F49BFAEDBBBD917A296B79D22.36">#REF!</definedName>
    <definedName name="MSTR.7A0F0D1F49BFAEDBBBD917A296B79D22.37">#REF!</definedName>
    <definedName name="MSTR.7A0F0D1F49BFAEDBBBD917A296B79D22.38">#REF!</definedName>
    <definedName name="MSTR.7A0F0D1F49BFAEDBBBD917A296B79D22.39">#REF!</definedName>
    <definedName name="MSTR.7A0F0D1F49BFAEDBBBD917A296B79D22.4">#REF!</definedName>
    <definedName name="MSTR.7A0F0D1F49BFAEDBBBD917A296B79D22.40">#REF!</definedName>
    <definedName name="MSTR.7A0F0D1F49BFAEDBBBD917A296B79D22.41">#REF!</definedName>
    <definedName name="MSTR.7A0F0D1F49BFAEDBBBD917A296B79D22.5">#REF!</definedName>
    <definedName name="MSTR.7A0F0D1F49BFAEDBBBD917A296B79D22.6">#REF!</definedName>
    <definedName name="MSTR.7A0F0D1F49BFAEDBBBD917A296B79D22.7">#REF!</definedName>
    <definedName name="MSTR.7A0F0D1F49BFAEDBBBD917A296B79D22.8">#REF!</definedName>
    <definedName name="MSTR.7A0F0D1F49BFAEDBBBD917A296B79D22.9">#REF!</definedName>
    <definedName name="MSTR.82081BD04F3B31D938A895B1E6EF601C">#REF!</definedName>
    <definedName name="MSTR.82081BD04F3B31D938A895B1E6EF601C.1">#REF!</definedName>
    <definedName name="MSTR.82081BD04F3B31D938A895B1E6EF601C.10">#REF!</definedName>
    <definedName name="MSTR.82081BD04F3B31D938A895B1E6EF601C.11">#REF!</definedName>
    <definedName name="MSTR.82081BD04F3B31D938A895B1E6EF601C.12">#REF!</definedName>
    <definedName name="MSTR.82081BD04F3B31D938A895B1E6EF601C.13">#REF!</definedName>
    <definedName name="MSTR.82081BD04F3B31D938A895B1E6EF601C.14">#REF!</definedName>
    <definedName name="MSTR.82081BD04F3B31D938A895B1E6EF601C.15">#REF!</definedName>
    <definedName name="MSTR.82081BD04F3B31D938A895B1E6EF601C.16">#REF!</definedName>
    <definedName name="MSTR.82081BD04F3B31D938A895B1E6EF601C.17">#REF!</definedName>
    <definedName name="MSTR.82081BD04F3B31D938A895B1E6EF601C.18">#REF!</definedName>
    <definedName name="MSTR.82081BD04F3B31D938A895B1E6EF601C.19">#REF!</definedName>
    <definedName name="MSTR.82081BD04F3B31D938A895B1E6EF601C.2">#REF!</definedName>
    <definedName name="MSTR.82081BD04F3B31D938A895B1E6EF601C.20">#REF!</definedName>
    <definedName name="MSTR.82081BD04F3B31D938A895B1E6EF601C.21">#REF!</definedName>
    <definedName name="MSTR.82081BD04F3B31D938A895B1E6EF601C.22">#REF!</definedName>
    <definedName name="MSTR.82081BD04F3B31D938A895B1E6EF601C.23">#REF!</definedName>
    <definedName name="MSTR.82081BD04F3B31D938A895B1E6EF601C.24">#REF!</definedName>
    <definedName name="MSTR.82081BD04F3B31D938A895B1E6EF601C.25">#REF!</definedName>
    <definedName name="MSTR.82081BD04F3B31D938A895B1E6EF601C.26">#REF!</definedName>
    <definedName name="MSTR.82081BD04F3B31D938A895B1E6EF601C.27">#REF!</definedName>
    <definedName name="MSTR.82081BD04F3B31D938A895B1E6EF601C.28">#REF!</definedName>
    <definedName name="MSTR.82081BD04F3B31D938A895B1E6EF601C.29">#REF!</definedName>
    <definedName name="MSTR.82081BD04F3B31D938A895B1E6EF601C.3">#REF!</definedName>
    <definedName name="MSTR.82081BD04F3B31D938A895B1E6EF601C.30">#REF!</definedName>
    <definedName name="MSTR.82081BD04F3B31D938A895B1E6EF601C.31">#REF!</definedName>
    <definedName name="MSTR.82081BD04F3B31D938A895B1E6EF601C.32">#REF!</definedName>
    <definedName name="MSTR.82081BD04F3B31D938A895B1E6EF601C.33">#REF!</definedName>
    <definedName name="MSTR.82081BD04F3B31D938A895B1E6EF601C.34">#REF!</definedName>
    <definedName name="MSTR.82081BD04F3B31D938A895B1E6EF601C.35">#REF!</definedName>
    <definedName name="MSTR.82081BD04F3B31D938A895B1E6EF601C.36">#REF!</definedName>
    <definedName name="MSTR.82081BD04F3B31D938A895B1E6EF601C.37">#REF!</definedName>
    <definedName name="MSTR.82081BD04F3B31D938A895B1E6EF601C.38">#REF!</definedName>
    <definedName name="MSTR.82081BD04F3B31D938A895B1E6EF601C.39">#REF!</definedName>
    <definedName name="MSTR.82081BD04F3B31D938A895B1E6EF601C.4">#REF!</definedName>
    <definedName name="MSTR.82081BD04F3B31D938A895B1E6EF601C.40">#REF!</definedName>
    <definedName name="MSTR.82081BD04F3B31D938A895B1E6EF601C.41">#REF!</definedName>
    <definedName name="MSTR.82081BD04F3B31D938A895B1E6EF601C.42">#REF!</definedName>
    <definedName name="MSTR.82081BD04F3B31D938A895B1E6EF601C.43">#REF!</definedName>
    <definedName name="MSTR.82081BD04F3B31D938A895B1E6EF601C.44">#REF!</definedName>
    <definedName name="MSTR.82081BD04F3B31D938A895B1E6EF601C.45">#REF!</definedName>
    <definedName name="MSTR.82081BD04F3B31D938A895B1E6EF601C.46">#REF!</definedName>
    <definedName name="MSTR.82081BD04F3B31D938A895B1E6EF601C.47">#REF!</definedName>
    <definedName name="MSTR.82081BD04F3B31D938A895B1E6EF601C.48">#REF!</definedName>
    <definedName name="MSTR.82081BD04F3B31D938A895B1E6EF601C.49">#REF!</definedName>
    <definedName name="MSTR.82081BD04F3B31D938A895B1E6EF601C.5">#REF!</definedName>
    <definedName name="MSTR.82081BD04F3B31D938A895B1E6EF601C.50">#REF!</definedName>
    <definedName name="MSTR.82081BD04F3B31D938A895B1E6EF601C.51">#REF!</definedName>
    <definedName name="MSTR.82081BD04F3B31D938A895B1E6EF601C.52">#REF!</definedName>
    <definedName name="MSTR.82081BD04F3B31D938A895B1E6EF601C.53">#REF!</definedName>
    <definedName name="MSTR.82081BD04F3B31D938A895B1E6EF601C.6">#REF!</definedName>
    <definedName name="MSTR.82081BD04F3B31D938A895B1E6EF601C.7">#REF!</definedName>
    <definedName name="MSTR.82081BD04F3B31D938A895B1E6EF601C.8">#REF!</definedName>
    <definedName name="MSTR.82081BD04F3B31D938A895B1E6EF601C.9">#REF!</definedName>
    <definedName name="MSTR.8569D7D14AB8E0A89493D09B0B04C562">#REF!</definedName>
    <definedName name="MSTR.8569D7D14AB8E0A89493D09B0B04C562.1">#REF!</definedName>
    <definedName name="MSTR.8569D7D14AB8E0A89493D09B0B04C562.10">#REF!</definedName>
    <definedName name="MSTR.8569D7D14AB8E0A89493D09B0B04C562.100">#REF!</definedName>
    <definedName name="MSTR.8569D7D14AB8E0A89493D09B0B04C562.101">#REF!</definedName>
    <definedName name="MSTR.8569D7D14AB8E0A89493D09B0B04C562.102">#REF!</definedName>
    <definedName name="MSTR.8569D7D14AB8E0A89493D09B0B04C562.103">#REF!</definedName>
    <definedName name="MSTR.8569D7D14AB8E0A89493D09B0B04C562.104">#REF!</definedName>
    <definedName name="MSTR.8569D7D14AB8E0A89493D09B0B04C562.105">#REF!</definedName>
    <definedName name="MSTR.8569D7D14AB8E0A89493D09B0B04C562.106">#REF!</definedName>
    <definedName name="MSTR.8569D7D14AB8E0A89493D09B0B04C562.107">#REF!</definedName>
    <definedName name="MSTR.8569D7D14AB8E0A89493D09B0B04C562.108">#REF!</definedName>
    <definedName name="MSTR.8569D7D14AB8E0A89493D09B0B04C562.109">#REF!</definedName>
    <definedName name="MSTR.8569D7D14AB8E0A89493D09B0B04C562.11">#REF!</definedName>
    <definedName name="MSTR.8569D7D14AB8E0A89493D09B0B04C562.110">#REF!</definedName>
    <definedName name="MSTR.8569D7D14AB8E0A89493D09B0B04C562.111">#REF!</definedName>
    <definedName name="MSTR.8569D7D14AB8E0A89493D09B0B04C562.112">#REF!</definedName>
    <definedName name="MSTR.8569D7D14AB8E0A89493D09B0B04C562.113">#REF!</definedName>
    <definedName name="MSTR.8569D7D14AB8E0A89493D09B0B04C562.114">#REF!</definedName>
    <definedName name="MSTR.8569D7D14AB8E0A89493D09B0B04C562.115">#REF!</definedName>
    <definedName name="MSTR.8569D7D14AB8E0A89493D09B0B04C562.116">#REF!</definedName>
    <definedName name="MSTR.8569D7D14AB8E0A89493D09B0B04C562.117">#REF!</definedName>
    <definedName name="MSTR.8569D7D14AB8E0A89493D09B0B04C562.118">#REF!</definedName>
    <definedName name="MSTR.8569D7D14AB8E0A89493D09B0B04C562.119">#REF!</definedName>
    <definedName name="MSTR.8569D7D14AB8E0A89493D09B0B04C562.12">#REF!</definedName>
    <definedName name="MSTR.8569D7D14AB8E0A89493D09B0B04C562.120">#REF!</definedName>
    <definedName name="MSTR.8569D7D14AB8E0A89493D09B0B04C562.121">#REF!</definedName>
    <definedName name="MSTR.8569D7D14AB8E0A89493D09B0B04C562.122">#REF!</definedName>
    <definedName name="MSTR.8569D7D14AB8E0A89493D09B0B04C562.123">#REF!</definedName>
    <definedName name="MSTR.8569D7D14AB8E0A89493D09B0B04C562.124">#REF!</definedName>
    <definedName name="MSTR.8569D7D14AB8E0A89493D09B0B04C562.125">#REF!</definedName>
    <definedName name="MSTR.8569D7D14AB8E0A89493D09B0B04C562.126">#REF!</definedName>
    <definedName name="MSTR.8569D7D14AB8E0A89493D09B0B04C562.127">#REF!</definedName>
    <definedName name="MSTR.8569D7D14AB8E0A89493D09B0B04C562.128">#REF!</definedName>
    <definedName name="MSTR.8569D7D14AB8E0A89493D09B0B04C562.129">#REF!</definedName>
    <definedName name="MSTR.8569D7D14AB8E0A89493D09B0B04C562.13">#REF!</definedName>
    <definedName name="MSTR.8569D7D14AB8E0A89493D09B0B04C562.130">#REF!</definedName>
    <definedName name="MSTR.8569D7D14AB8E0A89493D09B0B04C562.131">#REF!</definedName>
    <definedName name="MSTR.8569D7D14AB8E0A89493D09B0B04C562.132">#REF!</definedName>
    <definedName name="MSTR.8569D7D14AB8E0A89493D09B0B04C562.133">#REF!</definedName>
    <definedName name="MSTR.8569D7D14AB8E0A89493D09B0B04C562.134">#REF!</definedName>
    <definedName name="MSTR.8569D7D14AB8E0A89493D09B0B04C562.135">#REF!</definedName>
    <definedName name="MSTR.8569D7D14AB8E0A89493D09B0B04C562.136">#REF!</definedName>
    <definedName name="MSTR.8569D7D14AB8E0A89493D09B0B04C562.137">#REF!</definedName>
    <definedName name="MSTR.8569D7D14AB8E0A89493D09B0B04C562.138">#REF!</definedName>
    <definedName name="MSTR.8569D7D14AB8E0A89493D09B0B04C562.139">#REF!</definedName>
    <definedName name="MSTR.8569D7D14AB8E0A89493D09B0B04C562.14">#REF!</definedName>
    <definedName name="MSTR.8569D7D14AB8E0A89493D09B0B04C562.140">#REF!</definedName>
    <definedName name="MSTR.8569D7D14AB8E0A89493D09B0B04C562.141">#REF!</definedName>
    <definedName name="MSTR.8569D7D14AB8E0A89493D09B0B04C562.142">#REF!</definedName>
    <definedName name="MSTR.8569D7D14AB8E0A89493D09B0B04C562.143">#REF!</definedName>
    <definedName name="MSTR.8569D7D14AB8E0A89493D09B0B04C562.144">#REF!</definedName>
    <definedName name="MSTR.8569D7D14AB8E0A89493D09B0B04C562.145">#REF!</definedName>
    <definedName name="MSTR.8569D7D14AB8E0A89493D09B0B04C562.146">#REF!</definedName>
    <definedName name="MSTR.8569D7D14AB8E0A89493D09B0B04C562.147">#REF!</definedName>
    <definedName name="MSTR.8569D7D14AB8E0A89493D09B0B04C562.148">#REF!</definedName>
    <definedName name="MSTR.8569D7D14AB8E0A89493D09B0B04C562.149">#REF!</definedName>
    <definedName name="MSTR.8569D7D14AB8E0A89493D09B0B04C562.15">#REF!</definedName>
    <definedName name="MSTR.8569D7D14AB8E0A89493D09B0B04C562.150">#REF!</definedName>
    <definedName name="MSTR.8569D7D14AB8E0A89493D09B0B04C562.151">#REF!</definedName>
    <definedName name="MSTR.8569D7D14AB8E0A89493D09B0B04C562.152">#REF!</definedName>
    <definedName name="MSTR.8569D7D14AB8E0A89493D09B0B04C562.153">#REF!</definedName>
    <definedName name="MSTR.8569D7D14AB8E0A89493D09B0B04C562.154">#REF!</definedName>
    <definedName name="MSTR.8569D7D14AB8E0A89493D09B0B04C562.155">#REF!</definedName>
    <definedName name="MSTR.8569D7D14AB8E0A89493D09B0B04C562.156">#REF!</definedName>
    <definedName name="MSTR.8569D7D14AB8E0A89493D09B0B04C562.157">#REF!</definedName>
    <definedName name="MSTR.8569D7D14AB8E0A89493D09B0B04C562.158">#REF!</definedName>
    <definedName name="MSTR.8569D7D14AB8E0A89493D09B0B04C562.159">#REF!</definedName>
    <definedName name="MSTR.8569D7D14AB8E0A89493D09B0B04C562.16">#REF!</definedName>
    <definedName name="MSTR.8569D7D14AB8E0A89493D09B0B04C562.160">#REF!</definedName>
    <definedName name="MSTR.8569D7D14AB8E0A89493D09B0B04C562.161">#REF!</definedName>
    <definedName name="MSTR.8569D7D14AB8E0A89493D09B0B04C562.162">#REF!</definedName>
    <definedName name="MSTR.8569D7D14AB8E0A89493D09B0B04C562.163">#REF!</definedName>
    <definedName name="MSTR.8569D7D14AB8E0A89493D09B0B04C562.164">#REF!</definedName>
    <definedName name="MSTR.8569D7D14AB8E0A89493D09B0B04C562.165">#REF!</definedName>
    <definedName name="MSTR.8569D7D14AB8E0A89493D09B0B04C562.166">#REF!</definedName>
    <definedName name="MSTR.8569D7D14AB8E0A89493D09B0B04C562.167">#REF!</definedName>
    <definedName name="MSTR.8569D7D14AB8E0A89493D09B0B04C562.168">#REF!</definedName>
    <definedName name="MSTR.8569D7D14AB8E0A89493D09B0B04C562.169">#REF!</definedName>
    <definedName name="MSTR.8569D7D14AB8E0A89493D09B0B04C562.17">#REF!</definedName>
    <definedName name="MSTR.8569D7D14AB8E0A89493D09B0B04C562.170">#REF!</definedName>
    <definedName name="MSTR.8569D7D14AB8E0A89493D09B0B04C562.171">#REF!</definedName>
    <definedName name="MSTR.8569D7D14AB8E0A89493D09B0B04C562.172">#REF!</definedName>
    <definedName name="MSTR.8569D7D14AB8E0A89493D09B0B04C562.173">#REF!</definedName>
    <definedName name="MSTR.8569D7D14AB8E0A89493D09B0B04C562.174">#REF!</definedName>
    <definedName name="MSTR.8569D7D14AB8E0A89493D09B0B04C562.175">#REF!</definedName>
    <definedName name="MSTR.8569D7D14AB8E0A89493D09B0B04C562.176">#REF!</definedName>
    <definedName name="MSTR.8569D7D14AB8E0A89493D09B0B04C562.177">#REF!</definedName>
    <definedName name="MSTR.8569D7D14AB8E0A89493D09B0B04C562.178">#REF!</definedName>
    <definedName name="MSTR.8569D7D14AB8E0A89493D09B0B04C562.179">#REF!</definedName>
    <definedName name="MSTR.8569D7D14AB8E0A89493D09B0B04C562.18">#REF!</definedName>
    <definedName name="MSTR.8569D7D14AB8E0A89493D09B0B04C562.180">#REF!</definedName>
    <definedName name="MSTR.8569D7D14AB8E0A89493D09B0B04C562.181">#REF!</definedName>
    <definedName name="MSTR.8569D7D14AB8E0A89493D09B0B04C562.182">#REF!</definedName>
    <definedName name="MSTR.8569D7D14AB8E0A89493D09B0B04C562.183">#REF!</definedName>
    <definedName name="MSTR.8569D7D14AB8E0A89493D09B0B04C562.184">#REF!</definedName>
    <definedName name="MSTR.8569D7D14AB8E0A89493D09B0B04C562.185">#REF!</definedName>
    <definedName name="MSTR.8569D7D14AB8E0A89493D09B0B04C562.186">#REF!</definedName>
    <definedName name="MSTR.8569D7D14AB8E0A89493D09B0B04C562.187">#REF!</definedName>
    <definedName name="MSTR.8569D7D14AB8E0A89493D09B0B04C562.188">#REF!</definedName>
    <definedName name="MSTR.8569D7D14AB8E0A89493D09B0B04C562.189">#REF!</definedName>
    <definedName name="MSTR.8569D7D14AB8E0A89493D09B0B04C562.19">#REF!</definedName>
    <definedName name="MSTR.8569D7D14AB8E0A89493D09B0B04C562.190">#REF!</definedName>
    <definedName name="MSTR.8569D7D14AB8E0A89493D09B0B04C562.191">#REF!</definedName>
    <definedName name="MSTR.8569D7D14AB8E0A89493D09B0B04C562.192">#REF!</definedName>
    <definedName name="MSTR.8569D7D14AB8E0A89493D09B0B04C562.193">#REF!</definedName>
    <definedName name="MSTR.8569D7D14AB8E0A89493D09B0B04C562.194">#REF!</definedName>
    <definedName name="MSTR.8569D7D14AB8E0A89493D09B0B04C562.195">#REF!</definedName>
    <definedName name="MSTR.8569D7D14AB8E0A89493D09B0B04C562.196">#REF!</definedName>
    <definedName name="MSTR.8569D7D14AB8E0A89493D09B0B04C562.197">#REF!</definedName>
    <definedName name="MSTR.8569D7D14AB8E0A89493D09B0B04C562.198">#REF!</definedName>
    <definedName name="MSTR.8569D7D14AB8E0A89493D09B0B04C562.199">#REF!</definedName>
    <definedName name="MSTR.8569D7D14AB8E0A89493D09B0B04C562.2">#REF!</definedName>
    <definedName name="MSTR.8569D7D14AB8E0A89493D09B0B04C562.20">#REF!</definedName>
    <definedName name="MSTR.8569D7D14AB8E0A89493D09B0B04C562.200">#REF!</definedName>
    <definedName name="MSTR.8569D7D14AB8E0A89493D09B0B04C562.201">#REF!</definedName>
    <definedName name="MSTR.8569D7D14AB8E0A89493D09B0B04C562.202">#REF!</definedName>
    <definedName name="MSTR.8569D7D14AB8E0A89493D09B0B04C562.203">#REF!</definedName>
    <definedName name="MSTR.8569D7D14AB8E0A89493D09B0B04C562.204">#REF!</definedName>
    <definedName name="MSTR.8569D7D14AB8E0A89493D09B0B04C562.205">#REF!</definedName>
    <definedName name="MSTR.8569D7D14AB8E0A89493D09B0B04C562.206">#REF!</definedName>
    <definedName name="MSTR.8569D7D14AB8E0A89493D09B0B04C562.207">#REF!</definedName>
    <definedName name="MSTR.8569D7D14AB8E0A89493D09B0B04C562.208">#REF!</definedName>
    <definedName name="MSTR.8569D7D14AB8E0A89493D09B0B04C562.209">#REF!</definedName>
    <definedName name="MSTR.8569D7D14AB8E0A89493D09B0B04C562.21">#REF!</definedName>
    <definedName name="MSTR.8569D7D14AB8E0A89493D09B0B04C562.210">#REF!</definedName>
    <definedName name="MSTR.8569D7D14AB8E0A89493D09B0B04C562.211">#REF!</definedName>
    <definedName name="MSTR.8569D7D14AB8E0A89493D09B0B04C562.212">#REF!</definedName>
    <definedName name="MSTR.8569D7D14AB8E0A89493D09B0B04C562.213">#REF!</definedName>
    <definedName name="MSTR.8569D7D14AB8E0A89493D09B0B04C562.214">#REF!</definedName>
    <definedName name="MSTR.8569D7D14AB8E0A89493D09B0B04C562.215">#REF!</definedName>
    <definedName name="MSTR.8569D7D14AB8E0A89493D09B0B04C562.216">#REF!</definedName>
    <definedName name="MSTR.8569D7D14AB8E0A89493D09B0B04C562.217">#REF!</definedName>
    <definedName name="MSTR.8569D7D14AB8E0A89493D09B0B04C562.218">#REF!</definedName>
    <definedName name="MSTR.8569D7D14AB8E0A89493D09B0B04C562.219">#REF!</definedName>
    <definedName name="MSTR.8569D7D14AB8E0A89493D09B0B04C562.22">#REF!</definedName>
    <definedName name="MSTR.8569D7D14AB8E0A89493D09B0B04C562.220">#REF!</definedName>
    <definedName name="MSTR.8569D7D14AB8E0A89493D09B0B04C562.221">#REF!</definedName>
    <definedName name="MSTR.8569D7D14AB8E0A89493D09B0B04C562.222">#REF!</definedName>
    <definedName name="MSTR.8569D7D14AB8E0A89493D09B0B04C562.223">#REF!</definedName>
    <definedName name="MSTR.8569D7D14AB8E0A89493D09B0B04C562.224">#REF!</definedName>
    <definedName name="MSTR.8569D7D14AB8E0A89493D09B0B04C562.225">#REF!</definedName>
    <definedName name="MSTR.8569D7D14AB8E0A89493D09B0B04C562.226">#REF!</definedName>
    <definedName name="MSTR.8569D7D14AB8E0A89493D09B0B04C562.227">#REF!</definedName>
    <definedName name="MSTR.8569D7D14AB8E0A89493D09B0B04C562.228">#REF!</definedName>
    <definedName name="MSTR.8569D7D14AB8E0A89493D09B0B04C562.229">#REF!</definedName>
    <definedName name="MSTR.8569D7D14AB8E0A89493D09B0B04C562.23">#REF!</definedName>
    <definedName name="MSTR.8569D7D14AB8E0A89493D09B0B04C562.230">#REF!</definedName>
    <definedName name="MSTR.8569D7D14AB8E0A89493D09B0B04C562.231">#REF!</definedName>
    <definedName name="MSTR.8569D7D14AB8E0A89493D09B0B04C562.232">#REF!</definedName>
    <definedName name="MSTR.8569D7D14AB8E0A89493D09B0B04C562.233">#REF!</definedName>
    <definedName name="MSTR.8569D7D14AB8E0A89493D09B0B04C562.234">#REF!</definedName>
    <definedName name="MSTR.8569D7D14AB8E0A89493D09B0B04C562.235">#REF!</definedName>
    <definedName name="MSTR.8569D7D14AB8E0A89493D09B0B04C562.236">#REF!</definedName>
    <definedName name="MSTR.8569D7D14AB8E0A89493D09B0B04C562.237">#REF!</definedName>
    <definedName name="MSTR.8569D7D14AB8E0A89493D09B0B04C562.238">#REF!</definedName>
    <definedName name="MSTR.8569D7D14AB8E0A89493D09B0B04C562.239">#REF!</definedName>
    <definedName name="MSTR.8569D7D14AB8E0A89493D09B0B04C562.24">#REF!</definedName>
    <definedName name="MSTR.8569D7D14AB8E0A89493D09B0B04C562.240">#REF!</definedName>
    <definedName name="MSTR.8569D7D14AB8E0A89493D09B0B04C562.241">#REF!</definedName>
    <definedName name="MSTR.8569D7D14AB8E0A89493D09B0B04C562.242">#REF!</definedName>
    <definedName name="MSTR.8569D7D14AB8E0A89493D09B0B04C562.243">#REF!</definedName>
    <definedName name="MSTR.8569D7D14AB8E0A89493D09B0B04C562.244">#REF!</definedName>
    <definedName name="MSTR.8569D7D14AB8E0A89493D09B0B04C562.245">#REF!</definedName>
    <definedName name="MSTR.8569D7D14AB8E0A89493D09B0B04C562.246">#REF!</definedName>
    <definedName name="MSTR.8569D7D14AB8E0A89493D09B0B04C562.247">#REF!</definedName>
    <definedName name="MSTR.8569D7D14AB8E0A89493D09B0B04C562.248">#REF!</definedName>
    <definedName name="MSTR.8569D7D14AB8E0A89493D09B0B04C562.249">#REF!</definedName>
    <definedName name="MSTR.8569D7D14AB8E0A89493D09B0B04C562.25">#REF!</definedName>
    <definedName name="MSTR.8569D7D14AB8E0A89493D09B0B04C562.250">#REF!</definedName>
    <definedName name="MSTR.8569D7D14AB8E0A89493D09B0B04C562.251">#REF!</definedName>
    <definedName name="MSTR.8569D7D14AB8E0A89493D09B0B04C562.252">#REF!</definedName>
    <definedName name="MSTR.8569D7D14AB8E0A89493D09B0B04C562.253">#REF!</definedName>
    <definedName name="MSTR.8569D7D14AB8E0A89493D09B0B04C562.254">#REF!</definedName>
    <definedName name="MSTR.8569D7D14AB8E0A89493D09B0B04C562.255">#REF!</definedName>
    <definedName name="MSTR.8569D7D14AB8E0A89493D09B0B04C562.256">#REF!</definedName>
    <definedName name="MSTR.8569D7D14AB8E0A89493D09B0B04C562.257">#REF!</definedName>
    <definedName name="MSTR.8569D7D14AB8E0A89493D09B0B04C562.258">#REF!</definedName>
    <definedName name="MSTR.8569D7D14AB8E0A89493D09B0B04C562.259">#REF!</definedName>
    <definedName name="MSTR.8569D7D14AB8E0A89493D09B0B04C562.26">#REF!</definedName>
    <definedName name="MSTR.8569D7D14AB8E0A89493D09B0B04C562.260">#REF!</definedName>
    <definedName name="MSTR.8569D7D14AB8E0A89493D09B0B04C562.261">#REF!</definedName>
    <definedName name="MSTR.8569D7D14AB8E0A89493D09B0B04C562.262">#REF!</definedName>
    <definedName name="MSTR.8569D7D14AB8E0A89493D09B0B04C562.263">#REF!</definedName>
    <definedName name="MSTR.8569D7D14AB8E0A89493D09B0B04C562.264">#REF!</definedName>
    <definedName name="MSTR.8569D7D14AB8E0A89493D09B0B04C562.265">#REF!</definedName>
    <definedName name="MSTR.8569D7D14AB8E0A89493D09B0B04C562.266">#REF!</definedName>
    <definedName name="MSTR.8569D7D14AB8E0A89493D09B0B04C562.267">#REF!</definedName>
    <definedName name="MSTR.8569D7D14AB8E0A89493D09B0B04C562.268">#REF!</definedName>
    <definedName name="MSTR.8569D7D14AB8E0A89493D09B0B04C562.269">#REF!</definedName>
    <definedName name="MSTR.8569D7D14AB8E0A89493D09B0B04C562.27">#REF!</definedName>
    <definedName name="MSTR.8569D7D14AB8E0A89493D09B0B04C562.270">#REF!</definedName>
    <definedName name="MSTR.8569D7D14AB8E0A89493D09B0B04C562.271">#REF!</definedName>
    <definedName name="MSTR.8569D7D14AB8E0A89493D09B0B04C562.272">#REF!</definedName>
    <definedName name="MSTR.8569D7D14AB8E0A89493D09B0B04C562.273">#REF!</definedName>
    <definedName name="MSTR.8569D7D14AB8E0A89493D09B0B04C562.274">#REF!</definedName>
    <definedName name="MSTR.8569D7D14AB8E0A89493D09B0B04C562.275">#REF!</definedName>
    <definedName name="MSTR.8569D7D14AB8E0A89493D09B0B04C562.276">#REF!</definedName>
    <definedName name="MSTR.8569D7D14AB8E0A89493D09B0B04C562.277">#REF!</definedName>
    <definedName name="MSTR.8569D7D14AB8E0A89493D09B0B04C562.278">#REF!</definedName>
    <definedName name="MSTR.8569D7D14AB8E0A89493D09B0B04C562.279">#REF!</definedName>
    <definedName name="MSTR.8569D7D14AB8E0A89493D09B0B04C562.28">#REF!</definedName>
    <definedName name="MSTR.8569D7D14AB8E0A89493D09B0B04C562.280">#REF!</definedName>
    <definedName name="MSTR.8569D7D14AB8E0A89493D09B0B04C562.281">#REF!</definedName>
    <definedName name="MSTR.8569D7D14AB8E0A89493D09B0B04C562.282">#REF!</definedName>
    <definedName name="MSTR.8569D7D14AB8E0A89493D09B0B04C562.283">#REF!</definedName>
    <definedName name="MSTR.8569D7D14AB8E0A89493D09B0B04C562.284">#REF!</definedName>
    <definedName name="MSTR.8569D7D14AB8E0A89493D09B0B04C562.285">#REF!</definedName>
    <definedName name="MSTR.8569D7D14AB8E0A89493D09B0B04C562.286">#REF!</definedName>
    <definedName name="MSTR.8569D7D14AB8E0A89493D09B0B04C562.287">#REF!</definedName>
    <definedName name="MSTR.8569D7D14AB8E0A89493D09B0B04C562.288">#REF!</definedName>
    <definedName name="MSTR.8569D7D14AB8E0A89493D09B0B04C562.289">#REF!</definedName>
    <definedName name="MSTR.8569D7D14AB8E0A89493D09B0B04C562.29">#REF!</definedName>
    <definedName name="MSTR.8569D7D14AB8E0A89493D09B0B04C562.290">#REF!</definedName>
    <definedName name="MSTR.8569D7D14AB8E0A89493D09B0B04C562.291">#REF!</definedName>
    <definedName name="MSTR.8569D7D14AB8E0A89493D09B0B04C562.292">#REF!</definedName>
    <definedName name="MSTR.8569D7D14AB8E0A89493D09B0B04C562.293">#REF!</definedName>
    <definedName name="MSTR.8569D7D14AB8E0A89493D09B0B04C562.294">#REF!</definedName>
    <definedName name="MSTR.8569D7D14AB8E0A89493D09B0B04C562.295">#REF!</definedName>
    <definedName name="MSTR.8569D7D14AB8E0A89493D09B0B04C562.296">#REF!</definedName>
    <definedName name="MSTR.8569D7D14AB8E0A89493D09B0B04C562.297">#REF!</definedName>
    <definedName name="MSTR.8569D7D14AB8E0A89493D09B0B04C562.298">#REF!</definedName>
    <definedName name="MSTR.8569D7D14AB8E0A89493D09B0B04C562.299">#REF!</definedName>
    <definedName name="MSTR.8569D7D14AB8E0A89493D09B0B04C562.3">#REF!</definedName>
    <definedName name="MSTR.8569D7D14AB8E0A89493D09B0B04C562.30">#REF!</definedName>
    <definedName name="MSTR.8569D7D14AB8E0A89493D09B0B04C562.300">#REF!</definedName>
    <definedName name="MSTR.8569D7D14AB8E0A89493D09B0B04C562.301">#REF!</definedName>
    <definedName name="MSTR.8569D7D14AB8E0A89493D09B0B04C562.302">#REF!</definedName>
    <definedName name="MSTR.8569D7D14AB8E0A89493D09B0B04C562.303">#REF!</definedName>
    <definedName name="MSTR.8569D7D14AB8E0A89493D09B0B04C562.304">#REF!</definedName>
    <definedName name="MSTR.8569D7D14AB8E0A89493D09B0B04C562.305">#REF!</definedName>
    <definedName name="MSTR.8569D7D14AB8E0A89493D09B0B04C562.306">#REF!</definedName>
    <definedName name="MSTR.8569D7D14AB8E0A89493D09B0B04C562.307">#REF!</definedName>
    <definedName name="MSTR.8569D7D14AB8E0A89493D09B0B04C562.308">#REF!</definedName>
    <definedName name="MSTR.8569D7D14AB8E0A89493D09B0B04C562.309">#REF!</definedName>
    <definedName name="MSTR.8569D7D14AB8E0A89493D09B0B04C562.31">#REF!</definedName>
    <definedName name="MSTR.8569D7D14AB8E0A89493D09B0B04C562.310">#REF!</definedName>
    <definedName name="MSTR.8569D7D14AB8E0A89493D09B0B04C562.311">#REF!</definedName>
    <definedName name="MSTR.8569D7D14AB8E0A89493D09B0B04C562.312">#REF!</definedName>
    <definedName name="MSTR.8569D7D14AB8E0A89493D09B0B04C562.313">#REF!</definedName>
    <definedName name="MSTR.8569D7D14AB8E0A89493D09B0B04C562.314">#REF!</definedName>
    <definedName name="MSTR.8569D7D14AB8E0A89493D09B0B04C562.315">#REF!</definedName>
    <definedName name="MSTR.8569D7D14AB8E0A89493D09B0B04C562.316">#REF!</definedName>
    <definedName name="MSTR.8569D7D14AB8E0A89493D09B0B04C562.317">#REF!</definedName>
    <definedName name="MSTR.8569D7D14AB8E0A89493D09B0B04C562.318">#REF!</definedName>
    <definedName name="MSTR.8569D7D14AB8E0A89493D09B0B04C562.319">#REF!</definedName>
    <definedName name="MSTR.8569D7D14AB8E0A89493D09B0B04C562.32">#REF!</definedName>
    <definedName name="MSTR.8569D7D14AB8E0A89493D09B0B04C562.320">#REF!</definedName>
    <definedName name="MSTR.8569D7D14AB8E0A89493D09B0B04C562.321">#REF!</definedName>
    <definedName name="MSTR.8569D7D14AB8E0A89493D09B0B04C562.322">#REF!</definedName>
    <definedName name="MSTR.8569D7D14AB8E0A89493D09B0B04C562.323">#REF!</definedName>
    <definedName name="MSTR.8569D7D14AB8E0A89493D09B0B04C562.324">#REF!</definedName>
    <definedName name="MSTR.8569D7D14AB8E0A89493D09B0B04C562.325">#REF!</definedName>
    <definedName name="MSTR.8569D7D14AB8E0A89493D09B0B04C562.326">#REF!</definedName>
    <definedName name="MSTR.8569D7D14AB8E0A89493D09B0B04C562.327">#REF!</definedName>
    <definedName name="MSTR.8569D7D14AB8E0A89493D09B0B04C562.328">#REF!</definedName>
    <definedName name="MSTR.8569D7D14AB8E0A89493D09B0B04C562.329">#REF!</definedName>
    <definedName name="MSTR.8569D7D14AB8E0A89493D09B0B04C562.33">#REF!</definedName>
    <definedName name="MSTR.8569D7D14AB8E0A89493D09B0B04C562.330">#REF!</definedName>
    <definedName name="MSTR.8569D7D14AB8E0A89493D09B0B04C562.331">#REF!</definedName>
    <definedName name="MSTR.8569D7D14AB8E0A89493D09B0B04C562.332">#REF!</definedName>
    <definedName name="MSTR.8569D7D14AB8E0A89493D09B0B04C562.333">#REF!</definedName>
    <definedName name="MSTR.8569D7D14AB8E0A89493D09B0B04C562.334">#REF!</definedName>
    <definedName name="MSTR.8569D7D14AB8E0A89493D09B0B04C562.335">#REF!</definedName>
    <definedName name="MSTR.8569D7D14AB8E0A89493D09B0B04C562.336">#REF!</definedName>
    <definedName name="MSTR.8569D7D14AB8E0A89493D09B0B04C562.337">#REF!</definedName>
    <definedName name="MSTR.8569D7D14AB8E0A89493D09B0B04C562.338">#REF!</definedName>
    <definedName name="MSTR.8569D7D14AB8E0A89493D09B0B04C562.339">#REF!</definedName>
    <definedName name="MSTR.8569D7D14AB8E0A89493D09B0B04C562.34">#REF!</definedName>
    <definedName name="MSTR.8569D7D14AB8E0A89493D09B0B04C562.340">#REF!</definedName>
    <definedName name="MSTR.8569D7D14AB8E0A89493D09B0B04C562.341">#REF!</definedName>
    <definedName name="MSTR.8569D7D14AB8E0A89493D09B0B04C562.342">#REF!</definedName>
    <definedName name="MSTR.8569D7D14AB8E0A89493D09B0B04C562.343">#REF!</definedName>
    <definedName name="MSTR.8569D7D14AB8E0A89493D09B0B04C562.344">#REF!</definedName>
    <definedName name="MSTR.8569D7D14AB8E0A89493D09B0B04C562.345">#REF!</definedName>
    <definedName name="MSTR.8569D7D14AB8E0A89493D09B0B04C562.346">#REF!</definedName>
    <definedName name="MSTR.8569D7D14AB8E0A89493D09B0B04C562.347">#REF!</definedName>
    <definedName name="MSTR.8569D7D14AB8E0A89493D09B0B04C562.348">#REF!</definedName>
    <definedName name="MSTR.8569D7D14AB8E0A89493D09B0B04C562.349">#REF!</definedName>
    <definedName name="MSTR.8569D7D14AB8E0A89493D09B0B04C562.35">#REF!</definedName>
    <definedName name="MSTR.8569D7D14AB8E0A89493D09B0B04C562.350">#REF!</definedName>
    <definedName name="MSTR.8569D7D14AB8E0A89493D09B0B04C562.351">#REF!</definedName>
    <definedName name="MSTR.8569D7D14AB8E0A89493D09B0B04C562.352">#REF!</definedName>
    <definedName name="MSTR.8569D7D14AB8E0A89493D09B0B04C562.353">#REF!</definedName>
    <definedName name="MSTR.8569D7D14AB8E0A89493D09B0B04C562.354">#REF!</definedName>
    <definedName name="MSTR.8569D7D14AB8E0A89493D09B0B04C562.355">#REF!</definedName>
    <definedName name="MSTR.8569D7D14AB8E0A89493D09B0B04C562.356">#REF!</definedName>
    <definedName name="MSTR.8569D7D14AB8E0A89493D09B0B04C562.357">#REF!</definedName>
    <definedName name="MSTR.8569D7D14AB8E0A89493D09B0B04C562.358">#REF!</definedName>
    <definedName name="MSTR.8569D7D14AB8E0A89493D09B0B04C562.359">#REF!</definedName>
    <definedName name="MSTR.8569D7D14AB8E0A89493D09B0B04C562.36">#REF!</definedName>
    <definedName name="MSTR.8569D7D14AB8E0A89493D09B0B04C562.360">#REF!</definedName>
    <definedName name="MSTR.8569D7D14AB8E0A89493D09B0B04C562.361">#REF!</definedName>
    <definedName name="MSTR.8569D7D14AB8E0A89493D09B0B04C562.362">#REF!</definedName>
    <definedName name="MSTR.8569D7D14AB8E0A89493D09B0B04C562.363">#REF!</definedName>
    <definedName name="MSTR.8569D7D14AB8E0A89493D09B0B04C562.364">#REF!</definedName>
    <definedName name="MSTR.8569D7D14AB8E0A89493D09B0B04C562.365">#REF!</definedName>
    <definedName name="MSTR.8569D7D14AB8E0A89493D09B0B04C562.366">#REF!</definedName>
    <definedName name="MSTR.8569D7D14AB8E0A89493D09B0B04C562.367">#REF!</definedName>
    <definedName name="MSTR.8569D7D14AB8E0A89493D09B0B04C562.368">#REF!</definedName>
    <definedName name="MSTR.8569D7D14AB8E0A89493D09B0B04C562.369">#REF!</definedName>
    <definedName name="MSTR.8569D7D14AB8E0A89493D09B0B04C562.37">#REF!</definedName>
    <definedName name="MSTR.8569D7D14AB8E0A89493D09B0B04C562.370">#REF!</definedName>
    <definedName name="MSTR.8569D7D14AB8E0A89493D09B0B04C562.371">#REF!</definedName>
    <definedName name="MSTR.8569D7D14AB8E0A89493D09B0B04C562.372">#REF!</definedName>
    <definedName name="MSTR.8569D7D14AB8E0A89493D09B0B04C562.373">#REF!</definedName>
    <definedName name="MSTR.8569D7D14AB8E0A89493D09B0B04C562.374">#REF!</definedName>
    <definedName name="MSTR.8569D7D14AB8E0A89493D09B0B04C562.375">#REF!</definedName>
    <definedName name="MSTR.8569D7D14AB8E0A89493D09B0B04C562.376">#REF!</definedName>
    <definedName name="MSTR.8569D7D14AB8E0A89493D09B0B04C562.377">#REF!</definedName>
    <definedName name="MSTR.8569D7D14AB8E0A89493D09B0B04C562.378">#REF!</definedName>
    <definedName name="MSTR.8569D7D14AB8E0A89493D09B0B04C562.379">#REF!</definedName>
    <definedName name="MSTR.8569D7D14AB8E0A89493D09B0B04C562.38">#REF!</definedName>
    <definedName name="MSTR.8569D7D14AB8E0A89493D09B0B04C562.380">#REF!</definedName>
    <definedName name="MSTR.8569D7D14AB8E0A89493D09B0B04C562.381">#REF!</definedName>
    <definedName name="MSTR.8569D7D14AB8E0A89493D09B0B04C562.382">#REF!</definedName>
    <definedName name="MSTR.8569D7D14AB8E0A89493D09B0B04C562.383">#REF!</definedName>
    <definedName name="MSTR.8569D7D14AB8E0A89493D09B0B04C562.384">#REF!</definedName>
    <definedName name="MSTR.8569D7D14AB8E0A89493D09B0B04C562.385">#REF!</definedName>
    <definedName name="MSTR.8569D7D14AB8E0A89493D09B0B04C562.386">#REF!</definedName>
    <definedName name="MSTR.8569D7D14AB8E0A89493D09B0B04C562.387">#REF!</definedName>
    <definedName name="MSTR.8569D7D14AB8E0A89493D09B0B04C562.388">#REF!</definedName>
    <definedName name="MSTR.8569D7D14AB8E0A89493D09B0B04C562.389">#REF!</definedName>
    <definedName name="MSTR.8569D7D14AB8E0A89493D09B0B04C562.39">#REF!</definedName>
    <definedName name="MSTR.8569D7D14AB8E0A89493D09B0B04C562.390">#REF!</definedName>
    <definedName name="MSTR.8569D7D14AB8E0A89493D09B0B04C562.391">#REF!</definedName>
    <definedName name="MSTR.8569D7D14AB8E0A89493D09B0B04C562.392">#REF!</definedName>
    <definedName name="MSTR.8569D7D14AB8E0A89493D09B0B04C562.393">#REF!</definedName>
    <definedName name="MSTR.8569D7D14AB8E0A89493D09B0B04C562.4">#REF!</definedName>
    <definedName name="MSTR.8569D7D14AB8E0A89493D09B0B04C562.40">#REF!</definedName>
    <definedName name="MSTR.8569D7D14AB8E0A89493D09B0B04C562.41">#REF!</definedName>
    <definedName name="MSTR.8569D7D14AB8E0A89493D09B0B04C562.42">#REF!</definedName>
    <definedName name="MSTR.8569D7D14AB8E0A89493D09B0B04C562.43">#REF!</definedName>
    <definedName name="MSTR.8569D7D14AB8E0A89493D09B0B04C562.44">#REF!</definedName>
    <definedName name="MSTR.8569D7D14AB8E0A89493D09B0B04C562.45">#REF!</definedName>
    <definedName name="MSTR.8569D7D14AB8E0A89493D09B0B04C562.46">#REF!</definedName>
    <definedName name="MSTR.8569D7D14AB8E0A89493D09B0B04C562.47">#REF!</definedName>
    <definedName name="MSTR.8569D7D14AB8E0A89493D09B0B04C562.48">#REF!</definedName>
    <definedName name="MSTR.8569D7D14AB8E0A89493D09B0B04C562.49">#REF!</definedName>
    <definedName name="MSTR.8569D7D14AB8E0A89493D09B0B04C562.5">#REF!</definedName>
    <definedName name="MSTR.8569D7D14AB8E0A89493D09B0B04C562.50">#REF!</definedName>
    <definedName name="MSTR.8569D7D14AB8E0A89493D09B0B04C562.51">#REF!</definedName>
    <definedName name="MSTR.8569D7D14AB8E0A89493D09B0B04C562.52">#REF!</definedName>
    <definedName name="MSTR.8569D7D14AB8E0A89493D09B0B04C562.53">#REF!</definedName>
    <definedName name="MSTR.8569D7D14AB8E0A89493D09B0B04C562.54">#REF!</definedName>
    <definedName name="MSTR.8569D7D14AB8E0A89493D09B0B04C562.55">#REF!</definedName>
    <definedName name="MSTR.8569D7D14AB8E0A89493D09B0B04C562.56">#REF!</definedName>
    <definedName name="MSTR.8569D7D14AB8E0A89493D09B0B04C562.57">#REF!</definedName>
    <definedName name="MSTR.8569D7D14AB8E0A89493D09B0B04C562.58">#REF!</definedName>
    <definedName name="MSTR.8569D7D14AB8E0A89493D09B0B04C562.59">#REF!</definedName>
    <definedName name="MSTR.8569D7D14AB8E0A89493D09B0B04C562.6">#REF!</definedName>
    <definedName name="MSTR.8569D7D14AB8E0A89493D09B0B04C562.60">#REF!</definedName>
    <definedName name="MSTR.8569D7D14AB8E0A89493D09B0B04C562.61">#REF!</definedName>
    <definedName name="MSTR.8569D7D14AB8E0A89493D09B0B04C562.62">#REF!</definedName>
    <definedName name="MSTR.8569D7D14AB8E0A89493D09B0B04C562.63">#REF!</definedName>
    <definedName name="MSTR.8569D7D14AB8E0A89493D09B0B04C562.64">#REF!</definedName>
    <definedName name="MSTR.8569D7D14AB8E0A89493D09B0B04C562.65">#REF!</definedName>
    <definedName name="MSTR.8569D7D14AB8E0A89493D09B0B04C562.66">#REF!</definedName>
    <definedName name="MSTR.8569D7D14AB8E0A89493D09B0B04C562.67">#REF!</definedName>
    <definedName name="MSTR.8569D7D14AB8E0A89493D09B0B04C562.68">#REF!</definedName>
    <definedName name="MSTR.8569D7D14AB8E0A89493D09B0B04C562.69">#REF!</definedName>
    <definedName name="MSTR.8569D7D14AB8E0A89493D09B0B04C562.7">#REF!</definedName>
    <definedName name="MSTR.8569D7D14AB8E0A89493D09B0B04C562.70">#REF!</definedName>
    <definedName name="MSTR.8569D7D14AB8E0A89493D09B0B04C562.71">#REF!</definedName>
    <definedName name="MSTR.8569D7D14AB8E0A89493D09B0B04C562.72">#REF!</definedName>
    <definedName name="MSTR.8569D7D14AB8E0A89493D09B0B04C562.73">#REF!</definedName>
    <definedName name="MSTR.8569D7D14AB8E0A89493D09B0B04C562.74">#REF!</definedName>
    <definedName name="MSTR.8569D7D14AB8E0A89493D09B0B04C562.75">#REF!</definedName>
    <definedName name="MSTR.8569D7D14AB8E0A89493D09B0B04C562.76">#REF!</definedName>
    <definedName name="MSTR.8569D7D14AB8E0A89493D09B0B04C562.77">#REF!</definedName>
    <definedName name="MSTR.8569D7D14AB8E0A89493D09B0B04C562.78">#REF!</definedName>
    <definedName name="MSTR.8569D7D14AB8E0A89493D09B0B04C562.79">#REF!</definedName>
    <definedName name="MSTR.8569D7D14AB8E0A89493D09B0B04C562.8">#REF!</definedName>
    <definedName name="MSTR.8569D7D14AB8E0A89493D09B0B04C562.80">#REF!</definedName>
    <definedName name="MSTR.8569D7D14AB8E0A89493D09B0B04C562.81">#REF!</definedName>
    <definedName name="MSTR.8569D7D14AB8E0A89493D09B0B04C562.82">#REF!</definedName>
    <definedName name="MSTR.8569D7D14AB8E0A89493D09B0B04C562.83">#REF!</definedName>
    <definedName name="MSTR.8569D7D14AB8E0A89493D09B0B04C562.84">#REF!</definedName>
    <definedName name="MSTR.8569D7D14AB8E0A89493D09B0B04C562.85">#REF!</definedName>
    <definedName name="MSTR.8569D7D14AB8E0A89493D09B0B04C562.86">#REF!</definedName>
    <definedName name="MSTR.8569D7D14AB8E0A89493D09B0B04C562.87">#REF!</definedName>
    <definedName name="MSTR.8569D7D14AB8E0A89493D09B0B04C562.88">#REF!</definedName>
    <definedName name="MSTR.8569D7D14AB8E0A89493D09B0B04C562.89">#REF!</definedName>
    <definedName name="MSTR.8569D7D14AB8E0A89493D09B0B04C562.9">#REF!</definedName>
    <definedName name="MSTR.8569D7D14AB8E0A89493D09B0B04C562.90">#REF!</definedName>
    <definedName name="MSTR.8569D7D14AB8E0A89493D09B0B04C562.91">#REF!</definedName>
    <definedName name="MSTR.8569D7D14AB8E0A89493D09B0B04C562.92">#REF!</definedName>
    <definedName name="MSTR.8569D7D14AB8E0A89493D09B0B04C562.93">#REF!</definedName>
    <definedName name="MSTR.8569D7D14AB8E0A89493D09B0B04C562.94">#REF!</definedName>
    <definedName name="MSTR.8569D7D14AB8E0A89493D09B0B04C562.95">#REF!</definedName>
    <definedName name="MSTR.8569D7D14AB8E0A89493D09B0B04C562.96">#REF!</definedName>
    <definedName name="MSTR.8569D7D14AB8E0A89493D09B0B04C562.97">#REF!</definedName>
    <definedName name="MSTR.8569D7D14AB8E0A89493D09B0B04C562.98">#REF!</definedName>
    <definedName name="MSTR.8569D7D14AB8E0A89493D09B0B04C562.99">#REF!</definedName>
    <definedName name="MSTR.85C6229C45F6074B7127208E69A9F05A">#REF!</definedName>
    <definedName name="MSTR.85C6229C45F6074B7127208E69A9F05A.1">#REF!</definedName>
    <definedName name="MSTR.85C6229C45F6074B7127208E69A9F05A.2">#REF!</definedName>
    <definedName name="MSTR.85C6229C45F6074B7127208E69A9F05A.3">#REF!</definedName>
    <definedName name="MSTR.85C6229C45F6074B7127208E69A9F05A.4">#REF!</definedName>
    <definedName name="MSTR.8A38786811E602457F460080EFD5FDC9">#REF!</definedName>
    <definedName name="MSTR.8A38786811E602457F460080EFD5FDC9.1">#REF!</definedName>
    <definedName name="MSTR.8A38786811E602457F460080EFD5FDC9.10">#REF!</definedName>
    <definedName name="MSTR.8A38786811E602457F460080EFD5FDC9.11">#REF!</definedName>
    <definedName name="MSTR.8A38786811E602457F460080EFD5FDC9.12">#REF!</definedName>
    <definedName name="MSTR.8A38786811E602457F460080EFD5FDC9.13">#REF!</definedName>
    <definedName name="MSTR.8A38786811E602457F460080EFD5FDC9.14">#REF!</definedName>
    <definedName name="MSTR.8A38786811E602457F460080EFD5FDC9.15">#REF!</definedName>
    <definedName name="MSTR.8A38786811E602457F460080EFD5FDC9.2">#REF!</definedName>
    <definedName name="MSTR.8A38786811E602457F460080EFD5FDC9.3">#REF!</definedName>
    <definedName name="MSTR.8A38786811E602457F460080EFD5FDC9.4">#REF!</definedName>
    <definedName name="MSTR.8A38786811E602457F460080EFD5FDC9.5">#REF!</definedName>
    <definedName name="MSTR.8A38786811E602457F460080EFD5FDC9.6">#REF!</definedName>
    <definedName name="MSTR.8A38786811E602457F460080EFD5FDC9.7">#REF!</definedName>
    <definedName name="MSTR.8A38786811E602457F460080EFD5FDC9.8">#REF!</definedName>
    <definedName name="MSTR.8A38786811E602457F460080EFD5FDC9.9">#REF!</definedName>
    <definedName name="MSTR.9C67AED411E6DE2F1D4C0080EF15F279">#REF!</definedName>
    <definedName name="MSTR.9C67AED411E6DE2F1D4C0080EF15F279.1">#REF!</definedName>
    <definedName name="MSTR.9C67AED411E6DE2F1D4C0080EF15F279.10">#REF!</definedName>
    <definedName name="MSTR.9C67AED411E6DE2F1D4C0080EF15F279.11">#REF!</definedName>
    <definedName name="MSTR.9C67AED411E6DE2F1D4C0080EF15F279.12">#REF!</definedName>
    <definedName name="MSTR.9C67AED411E6DE2F1D4C0080EF15F279.13">#REF!</definedName>
    <definedName name="MSTR.9C67AED411E6DE2F1D4C0080EF15F279.14">#REF!</definedName>
    <definedName name="MSTR.9C67AED411E6DE2F1D4C0080EF15F279.15">#REF!</definedName>
    <definedName name="MSTR.9C67AED411E6DE2F1D4C0080EF15F279.16">#REF!</definedName>
    <definedName name="MSTR.9C67AED411E6DE2F1D4C0080EF15F279.17">#REF!</definedName>
    <definedName name="MSTR.9C67AED411E6DE2F1D4C0080EF15F279.18">#REF!</definedName>
    <definedName name="MSTR.9C67AED411E6DE2F1D4C0080EF15F279.19">#REF!</definedName>
    <definedName name="MSTR.9C67AED411E6DE2F1D4C0080EF15F279.2">#REF!</definedName>
    <definedName name="MSTR.9C67AED411E6DE2F1D4C0080EF15F279.20">#REF!</definedName>
    <definedName name="MSTR.9C67AED411E6DE2F1D4C0080EF15F279.21">#REF!</definedName>
    <definedName name="MSTR.9C67AED411E6DE2F1D4C0080EF15F279.22">#REF!</definedName>
    <definedName name="MSTR.9C67AED411E6DE2F1D4C0080EF15F279.23">#REF!</definedName>
    <definedName name="MSTR.9C67AED411E6DE2F1D4C0080EF15F279.24">#REF!</definedName>
    <definedName name="MSTR.9C67AED411E6DE2F1D4C0080EF15F279.25">#REF!</definedName>
    <definedName name="MSTR.9C67AED411E6DE2F1D4C0080EF15F279.26">#REF!</definedName>
    <definedName name="MSTR.9C67AED411E6DE2F1D4C0080EF15F279.3">#REF!</definedName>
    <definedName name="MSTR.9C67AED411E6DE2F1D4C0080EF15F279.4">#REF!</definedName>
    <definedName name="MSTR.9C67AED411E6DE2F1D4C0080EF15F279.5">#REF!</definedName>
    <definedName name="MSTR.9C67AED411E6DE2F1D4C0080EF15F279.6">#REF!</definedName>
    <definedName name="MSTR.9C67AED411E6DE2F1D4C0080EF15F279.7">#REF!</definedName>
    <definedName name="MSTR.9C67AED411E6DE2F1D4C0080EF15F279.8">#REF!</definedName>
    <definedName name="MSTR.9C67AED411E6DE2F1D4C0080EF15F279.9">#REF!</definedName>
    <definedName name="MSTR.A206718C11E53FEC00000080EF6543B0" localSheetId="17">#REF!</definedName>
    <definedName name="MSTR.A206718C11E53FEC00000080EF6543B0">#REF!</definedName>
    <definedName name="MSTR.A206718C11E53FEC00000080EF6543B0.1" localSheetId="17">#REF!</definedName>
    <definedName name="MSTR.A206718C11E53FEC00000080EF6543B0.1">#REF!</definedName>
    <definedName name="MSTR.A206718C11E53FEC00000080EF6543B0.10" localSheetId="17">#REF!</definedName>
    <definedName name="MSTR.A206718C11E53FEC00000080EF6543B0.10">#REF!</definedName>
    <definedName name="MSTR.A206718C11E53FEC00000080EF6543B0.11">#REF!</definedName>
    <definedName name="MSTR.A206718C11E53FEC00000080EF6543B0.12">#REF!</definedName>
    <definedName name="MSTR.A206718C11E53FEC00000080EF6543B0.13">#REF!</definedName>
    <definedName name="MSTR.A206718C11E53FEC00000080EF6543B0.14">#REF!</definedName>
    <definedName name="MSTR.A206718C11E53FEC00000080EF6543B0.15">#REF!</definedName>
    <definedName name="MSTR.A206718C11E53FEC00000080EF6543B0.16">#REF!</definedName>
    <definedName name="MSTR.A206718C11E53FEC00000080EF6543B0.17">#REF!</definedName>
    <definedName name="MSTR.A206718C11E53FEC00000080EF6543B0.18">#REF!</definedName>
    <definedName name="MSTR.A206718C11E53FEC00000080EF6543B0.19">#REF!</definedName>
    <definedName name="MSTR.A206718C11E53FEC00000080EF6543B0.2">#REF!</definedName>
    <definedName name="MSTR.A206718C11E53FEC00000080EF6543B0.20">#REF!</definedName>
    <definedName name="MSTR.A206718C11E53FEC00000080EF6543B0.21">#REF!</definedName>
    <definedName name="MSTR.A206718C11E53FEC00000080EF6543B0.22">#REF!</definedName>
    <definedName name="MSTR.A206718C11E53FEC00000080EF6543B0.23">#REF!</definedName>
    <definedName name="MSTR.A206718C11E53FEC00000080EF6543B0.24">#REF!</definedName>
    <definedName name="MSTR.A206718C11E53FEC00000080EF6543B0.25">#REF!</definedName>
    <definedName name="MSTR.A206718C11E53FEC00000080EF6543B0.26">#REF!</definedName>
    <definedName name="MSTR.A206718C11E53FEC00000080EF6543B0.27">#REF!</definedName>
    <definedName name="MSTR.A206718C11E53FEC00000080EF6543B0.28">#REF!</definedName>
    <definedName name="MSTR.A206718C11E53FEC00000080EF6543B0.29">#REF!</definedName>
    <definedName name="MSTR.A206718C11E53FEC00000080EF6543B0.3">#REF!</definedName>
    <definedName name="MSTR.A206718C11E53FEC00000080EF6543B0.30">#REF!</definedName>
    <definedName name="MSTR.A206718C11E53FEC00000080EF6543B0.31" localSheetId="17">#REF!</definedName>
    <definedName name="MSTR.A206718C11E53FEC00000080EF6543B0.31">#REF!</definedName>
    <definedName name="MSTR.A206718C11E53FEC00000080EF6543B0.32" localSheetId="17">#REF!</definedName>
    <definedName name="MSTR.A206718C11E53FEC00000080EF6543B0.32">#REF!</definedName>
    <definedName name="MSTR.A206718C11E53FEC00000080EF6543B0.33" localSheetId="17">#REF!</definedName>
    <definedName name="MSTR.A206718C11E53FEC00000080EF6543B0.33">#REF!</definedName>
    <definedName name="MSTR.A206718C11E53FEC00000080EF6543B0.34" localSheetId="17">#REF!</definedName>
    <definedName name="MSTR.A206718C11E53FEC00000080EF6543B0.34">#REF!</definedName>
    <definedName name="MSTR.A206718C11E53FEC00000080EF6543B0.35">#REF!</definedName>
    <definedName name="MSTR.A206718C11E53FEC00000080EF6543B0.36">#REF!</definedName>
    <definedName name="MSTR.A206718C11E53FEC00000080EF6543B0.37">#REF!</definedName>
    <definedName name="MSTR.A206718C11E53FEC00000080EF6543B0.38">#REF!</definedName>
    <definedName name="MSTR.A206718C11E53FEC00000080EF6543B0.39">#REF!</definedName>
    <definedName name="MSTR.A206718C11E53FEC00000080EF6543B0.4" localSheetId="17">#REF!</definedName>
    <definedName name="MSTR.A206718C11E53FEC00000080EF6543B0.4">#REF!</definedName>
    <definedName name="MSTR.A206718C11E53FEC00000080EF6543B0.40">#REF!</definedName>
    <definedName name="MSTR.A206718C11E53FEC00000080EF6543B0.41">#REF!</definedName>
    <definedName name="MSTR.A206718C11E53FEC00000080EF6543B0.42">#REF!</definedName>
    <definedName name="MSTR.A206718C11E53FEC00000080EF6543B0.43">#REF!</definedName>
    <definedName name="MSTR.A206718C11E53FEC00000080EF6543B0.44">#REF!</definedName>
    <definedName name="MSTR.A206718C11E53FEC00000080EF6543B0.45">#REF!</definedName>
    <definedName name="MSTR.A206718C11E53FEC00000080EF6543B0.46">#REF!</definedName>
    <definedName name="MSTR.A206718C11E53FEC00000080EF6543B0.47">#REF!</definedName>
    <definedName name="MSTR.A206718C11E53FEC00000080EF6543B0.48">#REF!</definedName>
    <definedName name="MSTR.A206718C11E53FEC00000080EF6543B0.49">#REF!</definedName>
    <definedName name="MSTR.A206718C11E53FEC00000080EF6543B0.5" localSheetId="17">#REF!</definedName>
    <definedName name="MSTR.A206718C11E53FEC00000080EF6543B0.5">#REF!</definedName>
    <definedName name="MSTR.A206718C11E53FEC00000080EF6543B0.50">#REF!</definedName>
    <definedName name="MSTR.A206718C11E53FEC00000080EF6543B0.51">#REF!</definedName>
    <definedName name="MSTR.A206718C11E53FEC00000080EF6543B0.52">#REF!</definedName>
    <definedName name="MSTR.A206718C11E53FEC00000080EF6543B0.53">#REF!</definedName>
    <definedName name="MSTR.A206718C11E53FEC00000080EF6543B0.54">#REF!</definedName>
    <definedName name="MSTR.A206718C11E53FEC00000080EF6543B0.55">#REF!</definedName>
    <definedName name="MSTR.A206718C11E53FEC00000080EF6543B0.56">#REF!</definedName>
    <definedName name="MSTR.A206718C11E53FEC00000080EF6543B0.57">#REF!</definedName>
    <definedName name="MSTR.A206718C11E53FEC00000080EF6543B0.58">#REF!</definedName>
    <definedName name="MSTR.A206718C11E53FEC00000080EF6543B0.59">#REF!</definedName>
    <definedName name="MSTR.A206718C11E53FEC00000080EF6543B0.6" localSheetId="17">#REF!</definedName>
    <definedName name="MSTR.A206718C11E53FEC00000080EF6543B0.6">#REF!</definedName>
    <definedName name="MSTR.A206718C11E53FEC00000080EF6543B0.60">#REF!</definedName>
    <definedName name="MSTR.A206718C11E53FEC00000080EF6543B0.61">#REF!</definedName>
    <definedName name="MSTR.A206718C11E53FEC00000080EF6543B0.62">#REF!</definedName>
    <definedName name="MSTR.A206718C11E53FEC00000080EF6543B0.63">#REF!</definedName>
    <definedName name="MSTR.A206718C11E53FEC00000080EF6543B0.64">#REF!</definedName>
    <definedName name="MSTR.A206718C11E53FEC00000080EF6543B0.65">#REF!</definedName>
    <definedName name="MSTR.A206718C11E53FEC00000080EF6543B0.66">#REF!</definedName>
    <definedName name="MSTR.A206718C11E53FEC00000080EF6543B0.67">#REF!</definedName>
    <definedName name="MSTR.A206718C11E53FEC00000080EF6543B0.68">#REF!</definedName>
    <definedName name="MSTR.A206718C11E53FEC00000080EF6543B0.69">#REF!</definedName>
    <definedName name="MSTR.A206718C11E53FEC00000080EF6543B0.7" localSheetId="17">#REF!</definedName>
    <definedName name="MSTR.A206718C11E53FEC00000080EF6543B0.7">#REF!</definedName>
    <definedName name="MSTR.A206718C11E53FEC00000080EF6543B0.70">#REF!</definedName>
    <definedName name="MSTR.A206718C11E53FEC00000080EF6543B0.71">#REF!</definedName>
    <definedName name="MSTR.A206718C11E53FEC00000080EF6543B0.72">#REF!</definedName>
    <definedName name="MSTR.A206718C11E53FEC00000080EF6543B0.73">#REF!</definedName>
    <definedName name="MSTR.A206718C11E53FEC00000080EF6543B0.74">#REF!</definedName>
    <definedName name="MSTR.A206718C11E53FEC00000080EF6543B0.75">#REF!</definedName>
    <definedName name="MSTR.A206718C11E53FEC00000080EF6543B0.76">#REF!</definedName>
    <definedName name="MSTR.A206718C11E53FEC00000080EF6543B0.77">#REF!</definedName>
    <definedName name="MSTR.A206718C11E53FEC00000080EF6543B0.8" localSheetId="17">#REF!</definedName>
    <definedName name="MSTR.A206718C11E53FEC00000080EF6543B0.8">#REF!</definedName>
    <definedName name="MSTR.A206718C11E53FEC00000080EF6543B0.9" localSheetId="17">#REF!</definedName>
    <definedName name="MSTR.A206718C11E53FEC00000080EF6543B0.9">#REF!</definedName>
    <definedName name="MSTR.A34226D7460501864B3FABA8B44A8468" localSheetId="17">#REF!</definedName>
    <definedName name="MSTR.A34226D7460501864B3FABA8B44A8468">#REF!</definedName>
    <definedName name="MSTR.A34226D7460501864B3FABA8B44A8468.1" localSheetId="17">#REF!</definedName>
    <definedName name="MSTR.A34226D7460501864B3FABA8B44A8468.1">#REF!</definedName>
    <definedName name="MSTR.A34226D7460501864B3FABA8B44A8468.10">#REF!</definedName>
    <definedName name="MSTR.A34226D7460501864B3FABA8B44A8468.11">#REF!</definedName>
    <definedName name="MSTR.A34226D7460501864B3FABA8B44A8468.12">#REF!</definedName>
    <definedName name="MSTR.A34226D7460501864B3FABA8B44A8468.13">#REF!</definedName>
    <definedName name="MSTR.A34226D7460501864B3FABA8B44A8468.14">#REF!</definedName>
    <definedName name="MSTR.A34226D7460501864B3FABA8B44A8468.15">#REF!</definedName>
    <definedName name="MSTR.A34226D7460501864B3FABA8B44A8468.16">#REF!</definedName>
    <definedName name="MSTR.A34226D7460501864B3FABA8B44A8468.17">#REF!</definedName>
    <definedName name="MSTR.A34226D7460501864B3FABA8B44A8468.18">#REF!</definedName>
    <definedName name="MSTR.A34226D7460501864B3FABA8B44A8468.19">#REF!</definedName>
    <definedName name="MSTR.A34226D7460501864B3FABA8B44A8468.2">#REF!</definedName>
    <definedName name="MSTR.A34226D7460501864B3FABA8B44A8468.20">#REF!</definedName>
    <definedName name="MSTR.A34226D7460501864B3FABA8B44A8468.21">#REF!</definedName>
    <definedName name="MSTR.A34226D7460501864B3FABA8B44A8468.22">#REF!</definedName>
    <definedName name="MSTR.A34226D7460501864B3FABA8B44A8468.23">#REF!</definedName>
    <definedName name="MSTR.A34226D7460501864B3FABA8B44A8468.24">#REF!</definedName>
    <definedName name="MSTR.A34226D7460501864B3FABA8B44A8468.25">#REF!</definedName>
    <definedName name="MSTR.A34226D7460501864B3FABA8B44A8468.26">#REF!</definedName>
    <definedName name="MSTR.A34226D7460501864B3FABA8B44A8468.27">#REF!</definedName>
    <definedName name="MSTR.A34226D7460501864B3FABA8B44A8468.28">#REF!</definedName>
    <definedName name="MSTR.A34226D7460501864B3FABA8B44A8468.29">#REF!</definedName>
    <definedName name="MSTR.A34226D7460501864B3FABA8B44A8468.3">#REF!</definedName>
    <definedName name="MSTR.A34226D7460501864B3FABA8B44A8468.30">#REF!</definedName>
    <definedName name="MSTR.A34226D7460501864B3FABA8B44A8468.31">#REF!</definedName>
    <definedName name="MSTR.A34226D7460501864B3FABA8B44A8468.32">#REF!</definedName>
    <definedName name="MSTR.A34226D7460501864B3FABA8B44A8468.33">#REF!</definedName>
    <definedName name="MSTR.A34226D7460501864B3FABA8B44A8468.34">#REF!</definedName>
    <definedName name="MSTR.A34226D7460501864B3FABA8B44A8468.35">#REF!</definedName>
    <definedName name="MSTR.A34226D7460501864B3FABA8B44A8468.36">#REF!</definedName>
    <definedName name="MSTR.A34226D7460501864B3FABA8B44A8468.37">#REF!</definedName>
    <definedName name="MSTR.A34226D7460501864B3FABA8B44A8468.38">#REF!</definedName>
    <definedName name="MSTR.A34226D7460501864B3FABA8B44A8468.39">#REF!</definedName>
    <definedName name="MSTR.A34226D7460501864B3FABA8B44A8468.4">#REF!</definedName>
    <definedName name="MSTR.A34226D7460501864B3FABA8B44A8468.40">#REF!</definedName>
    <definedName name="MSTR.A34226D7460501864B3FABA8B44A8468.41">#REF!</definedName>
    <definedName name="MSTR.A34226D7460501864B3FABA8B44A8468.42">#REF!</definedName>
    <definedName name="MSTR.A34226D7460501864B3FABA8B44A8468.43">#REF!</definedName>
    <definedName name="MSTR.A34226D7460501864B3FABA8B44A8468.44">#REF!</definedName>
    <definedName name="MSTR.A34226D7460501864B3FABA8B44A8468.45">#REF!</definedName>
    <definedName name="MSTR.A34226D7460501864B3FABA8B44A8468.46">#REF!</definedName>
    <definedName name="MSTR.A34226D7460501864B3FABA8B44A8468.47">#REF!</definedName>
    <definedName name="MSTR.A34226D7460501864B3FABA8B44A8468.48">#REF!</definedName>
    <definedName name="MSTR.A34226D7460501864B3FABA8B44A8468.49">#REF!</definedName>
    <definedName name="MSTR.A34226D7460501864B3FABA8B44A8468.5">#REF!</definedName>
    <definedName name="MSTR.A34226D7460501864B3FABA8B44A8468.50">#REF!</definedName>
    <definedName name="MSTR.A34226D7460501864B3FABA8B44A8468.6">#REF!</definedName>
    <definedName name="MSTR.A34226D7460501864B3FABA8B44A8468.7">#REF!</definedName>
    <definedName name="MSTR.A34226D7460501864B3FABA8B44A8468.8">#REF!</definedName>
    <definedName name="MSTR.A34226D7460501864B3FABA8B44A8468.9">#REF!</definedName>
    <definedName name="MSTR.A6438B0611E712CF57180080EF954349">#REF!</definedName>
    <definedName name="MSTR.A6438B0611E712CF57180080EF954349.1">#REF!</definedName>
    <definedName name="MSTR.A6438B0611E712CF57180080EF954349.10">#REF!</definedName>
    <definedName name="MSTR.A6438B0611E712CF57180080EF954349.11">#REF!</definedName>
    <definedName name="MSTR.A6438B0611E712CF57180080EF954349.12">#REF!</definedName>
    <definedName name="MSTR.A6438B0611E712CF57180080EF954349.13">#REF!</definedName>
    <definedName name="MSTR.A6438B0611E712CF57180080EF954349.14">#REF!</definedName>
    <definedName name="MSTR.A6438B0611E712CF57180080EF954349.15">#REF!</definedName>
    <definedName name="MSTR.A6438B0611E712CF57180080EF954349.16">#REF!</definedName>
    <definedName name="MSTR.A6438B0611E712CF57180080EF954349.17">#REF!</definedName>
    <definedName name="MSTR.A6438B0611E712CF57180080EF954349.18">#REF!</definedName>
    <definedName name="MSTR.A6438B0611E712CF57180080EF954349.19">#REF!</definedName>
    <definedName name="MSTR.A6438B0611E712CF57180080EF954349.2">#REF!</definedName>
    <definedName name="MSTR.A6438B0611E712CF57180080EF954349.20">#REF!</definedName>
    <definedName name="MSTR.A6438B0611E712CF57180080EF954349.21">#REF!</definedName>
    <definedName name="MSTR.A6438B0611E712CF57180080EF954349.22">#REF!</definedName>
    <definedName name="MSTR.A6438B0611E712CF57180080EF954349.23">#REF!</definedName>
    <definedName name="MSTR.A6438B0611E712CF57180080EF954349.24">#REF!</definedName>
    <definedName name="MSTR.A6438B0611E712CF57180080EF954349.25">#REF!</definedName>
    <definedName name="MSTR.A6438B0611E712CF57180080EF954349.26">#REF!</definedName>
    <definedName name="MSTR.A6438B0611E712CF57180080EF954349.27">#REF!</definedName>
    <definedName name="MSTR.A6438B0611E712CF57180080EF954349.28">#REF!</definedName>
    <definedName name="MSTR.A6438B0611E712CF57180080EF954349.29">#REF!</definedName>
    <definedName name="MSTR.A6438B0611E712CF57180080EF954349.3">#REF!</definedName>
    <definedName name="MSTR.A6438B0611E712CF57180080EF954349.30">#REF!</definedName>
    <definedName name="MSTR.A6438B0611E712CF57180080EF954349.31">#REF!</definedName>
    <definedName name="MSTR.A6438B0611E712CF57180080EF954349.32">#REF!</definedName>
    <definedName name="MSTR.A6438B0611E712CF57180080EF954349.33">#REF!</definedName>
    <definedName name="MSTR.A6438B0611E712CF57180080EF954349.34">#REF!</definedName>
    <definedName name="MSTR.A6438B0611E712CF57180080EF954349.35">#REF!</definedName>
    <definedName name="MSTR.A6438B0611E712CF57180080EF954349.4">#REF!</definedName>
    <definedName name="MSTR.A6438B0611E712CF57180080EF954349.5">#REF!</definedName>
    <definedName name="MSTR.A6438B0611E712CF57180080EF954349.6">#REF!</definedName>
    <definedName name="MSTR.A6438B0611E712CF57180080EF954349.7">#REF!</definedName>
    <definedName name="MSTR.A6438B0611E712CF57180080EF954349.8">#REF!</definedName>
    <definedName name="MSTR.A6438B0611E712CF57180080EF954349.9">#REF!</definedName>
    <definedName name="MSTR.Ahorro_Enlace_Baleares__Diario_Simple_" localSheetId="17">#REF!</definedName>
    <definedName name="MSTR.Ahorro_Enlace_Baleares__Diario_Simple_">#REF!</definedName>
    <definedName name="MSTR.Asignaciones__Mensual_simple_" localSheetId="17">#REF!</definedName>
    <definedName name="MSTR.Asignaciones__Mensual_simple_">#REF!</definedName>
    <definedName name="MSTR.Asignaciones__Periodo_simple___Combustible" localSheetId="17">#REF!</definedName>
    <definedName name="MSTR.Asignaciones__Periodo_simple___Combustible">#REF!</definedName>
    <definedName name="MSTR.Asignaciones_Gestión_de_desvíos">#REF!</definedName>
    <definedName name="MSTR.Asignaciones_Restricciones_TReal">#REF!</definedName>
    <definedName name="MSTR.B49E0E4A11E53FEC00000080EFF563AF">#REF!</definedName>
    <definedName name="MSTR.B49E0E4A11E53FEC00000080EFF563AF.1">#REF!</definedName>
    <definedName name="MSTR.B49E0E4A11E53FEC00000080EFF563AF.10">#REF!</definedName>
    <definedName name="MSTR.B49E0E4A11E53FEC00000080EFF563AF.11">#REF!</definedName>
    <definedName name="MSTR.B49E0E4A11E53FEC00000080EFF563AF.12">#REF!</definedName>
    <definedName name="MSTR.B49E0E4A11E53FEC00000080EFF563AF.13">#REF!</definedName>
    <definedName name="MSTR.B49E0E4A11E53FEC00000080EFF563AF.14">#REF!</definedName>
    <definedName name="MSTR.B49E0E4A11E53FEC00000080EFF563AF.15">#REF!</definedName>
    <definedName name="MSTR.B49E0E4A11E53FEC00000080EFF563AF.16">#REF!</definedName>
    <definedName name="MSTR.B49E0E4A11E53FEC00000080EFF563AF.17">#REF!</definedName>
    <definedName name="MSTR.B49E0E4A11E53FEC00000080EFF563AF.18">#REF!</definedName>
    <definedName name="MSTR.B49E0E4A11E53FEC00000080EFF563AF.19">#REF!</definedName>
    <definedName name="MSTR.B49E0E4A11E53FEC00000080EFF563AF.2">#REF!</definedName>
    <definedName name="MSTR.B49E0E4A11E53FEC00000080EFF563AF.20">#REF!</definedName>
    <definedName name="MSTR.B49E0E4A11E53FEC00000080EFF563AF.21" localSheetId="17">#REF!</definedName>
    <definedName name="MSTR.B49E0E4A11E53FEC00000080EFF563AF.21">#REF!</definedName>
    <definedName name="MSTR.B49E0E4A11E53FEC00000080EFF563AF.22" localSheetId="17">#REF!</definedName>
    <definedName name="MSTR.B49E0E4A11E53FEC00000080EFF563AF.22">#REF!</definedName>
    <definedName name="MSTR.B49E0E4A11E53FEC00000080EFF563AF.23" localSheetId="17">#REF!</definedName>
    <definedName name="MSTR.B49E0E4A11E53FEC00000080EFF563AF.23">#REF!</definedName>
    <definedName name="MSTR.B49E0E4A11E53FEC00000080EFF563AF.24" localSheetId="17">#REF!</definedName>
    <definedName name="MSTR.B49E0E4A11E53FEC00000080EFF563AF.24">#REF!</definedName>
    <definedName name="MSTR.B49E0E4A11E53FEC00000080EFF563AF.25">#REF!</definedName>
    <definedName name="MSTR.B49E0E4A11E53FEC00000080EFF563AF.26">#REF!</definedName>
    <definedName name="MSTR.B49E0E4A11E53FEC00000080EFF563AF.27">#REF!</definedName>
    <definedName name="MSTR.B49E0E4A11E53FEC00000080EFF563AF.28">#REF!</definedName>
    <definedName name="MSTR.B49E0E4A11E53FEC00000080EFF563AF.29">#REF!</definedName>
    <definedName name="MSTR.B49E0E4A11E53FEC00000080EFF563AF.3" localSheetId="17">#REF!</definedName>
    <definedName name="MSTR.B49E0E4A11E53FEC00000080EFF563AF.3">#REF!</definedName>
    <definedName name="MSTR.B49E0E4A11E53FEC00000080EFF563AF.30">#REF!</definedName>
    <definedName name="MSTR.B49E0E4A11E53FEC00000080EFF563AF.31">#REF!</definedName>
    <definedName name="MSTR.B49E0E4A11E53FEC00000080EFF563AF.32">#REF!</definedName>
    <definedName name="MSTR.B49E0E4A11E53FEC00000080EFF563AF.33">#REF!</definedName>
    <definedName name="MSTR.B49E0E4A11E53FEC00000080EFF563AF.34">#REF!</definedName>
    <definedName name="MSTR.B49E0E4A11E53FEC00000080EFF563AF.35">#REF!</definedName>
    <definedName name="MSTR.B49E0E4A11E53FEC00000080EFF563AF.36">#REF!</definedName>
    <definedName name="MSTR.B49E0E4A11E53FEC00000080EFF563AF.37">#REF!</definedName>
    <definedName name="MSTR.B49E0E4A11E53FEC00000080EFF563AF.38">#REF!</definedName>
    <definedName name="MSTR.B49E0E4A11E53FEC00000080EFF563AF.39">#REF!</definedName>
    <definedName name="MSTR.B49E0E4A11E53FEC00000080EFF563AF.4" localSheetId="17">#REF!</definedName>
    <definedName name="MSTR.B49E0E4A11E53FEC00000080EFF563AF.4">#REF!</definedName>
    <definedName name="MSTR.B49E0E4A11E53FEC00000080EFF563AF.40">#REF!</definedName>
    <definedName name="MSTR.B49E0E4A11E53FEC00000080EFF563AF.41">#REF!</definedName>
    <definedName name="MSTR.B49E0E4A11E53FEC00000080EFF563AF.42">#REF!</definedName>
    <definedName name="MSTR.B49E0E4A11E53FEC00000080EFF563AF.43">#REF!</definedName>
    <definedName name="MSTR.B49E0E4A11E53FEC00000080EFF563AF.44">#REF!</definedName>
    <definedName name="MSTR.B49E0E4A11E53FEC00000080EFF563AF.45">#REF!</definedName>
    <definedName name="MSTR.B49E0E4A11E53FEC00000080EFF563AF.46">#REF!</definedName>
    <definedName name="MSTR.B49E0E4A11E53FEC00000080EFF563AF.47">#REF!</definedName>
    <definedName name="MSTR.B49E0E4A11E53FEC00000080EFF563AF.48">#REF!</definedName>
    <definedName name="MSTR.B49E0E4A11E53FEC00000080EFF563AF.49">#REF!</definedName>
    <definedName name="MSTR.B49E0E4A11E53FEC00000080EFF563AF.5" localSheetId="17">#REF!</definedName>
    <definedName name="MSTR.B49E0E4A11E53FEC00000080EFF563AF.5">#REF!</definedName>
    <definedName name="MSTR.B49E0E4A11E53FEC00000080EFF563AF.50">#REF!</definedName>
    <definedName name="MSTR.B49E0E4A11E53FEC00000080EFF563AF.51">#REF!</definedName>
    <definedName name="MSTR.B49E0E4A11E53FEC00000080EFF563AF.52">#REF!</definedName>
    <definedName name="MSTR.B49E0E4A11E53FEC00000080EFF563AF.53">#REF!</definedName>
    <definedName name="MSTR.B49E0E4A11E53FEC00000080EFF563AF.54">#REF!</definedName>
    <definedName name="MSTR.B49E0E4A11E53FEC00000080EFF563AF.55">#REF!</definedName>
    <definedName name="MSTR.B49E0E4A11E53FEC00000080EFF563AF.56">#REF!</definedName>
    <definedName name="MSTR.B49E0E4A11E53FEC00000080EFF563AF.57">#REF!</definedName>
    <definedName name="MSTR.B49E0E4A11E53FEC00000080EFF563AF.58">#REF!</definedName>
    <definedName name="MSTR.B49E0E4A11E53FEC00000080EFF563AF.59">#REF!</definedName>
    <definedName name="MSTR.B49E0E4A11E53FEC00000080EFF563AF.6" localSheetId="17">#REF!</definedName>
    <definedName name="MSTR.B49E0E4A11E53FEC00000080EFF563AF.6">#REF!</definedName>
    <definedName name="MSTR.B49E0E4A11E53FEC00000080EFF563AF.60">#REF!</definedName>
    <definedName name="MSTR.B49E0E4A11E53FEC00000080EFF563AF.61">#REF!</definedName>
    <definedName name="MSTR.B49E0E4A11E53FEC00000080EFF563AF.62">#REF!</definedName>
    <definedName name="MSTR.B49E0E4A11E53FEC00000080EFF563AF.63">#REF!</definedName>
    <definedName name="MSTR.B49E0E4A11E53FEC00000080EFF563AF.64">#REF!</definedName>
    <definedName name="MSTR.B49E0E4A11E53FEC00000080EFF563AF.65">#REF!</definedName>
    <definedName name="MSTR.B49E0E4A11E53FEC00000080EFF563AF.66">#REF!</definedName>
    <definedName name="MSTR.B49E0E4A11E53FEC00000080EFF563AF.67">#REF!</definedName>
    <definedName name="MSTR.B49E0E4A11E53FEC00000080EFF563AF.68">#REF!</definedName>
    <definedName name="MSTR.B49E0E4A11E53FEC00000080EFF563AF.69">#REF!</definedName>
    <definedName name="MSTR.B49E0E4A11E53FEC00000080EFF563AF.7" localSheetId="17">#REF!</definedName>
    <definedName name="MSTR.B49E0E4A11E53FEC00000080EFF563AF.7">#REF!</definedName>
    <definedName name="MSTR.B49E0E4A11E53FEC00000080EFF563AF.70">#REF!</definedName>
    <definedName name="MSTR.B49E0E4A11E53FEC00000080EFF563AF.71">#REF!</definedName>
    <definedName name="MSTR.B49E0E4A11E53FEC00000080EFF563AF.72">#REF!</definedName>
    <definedName name="MSTR.B49E0E4A11E53FEC00000080EFF563AF.8" localSheetId="17">#REF!</definedName>
    <definedName name="MSTR.B49E0E4A11E53FEC00000080EFF563AF.8">#REF!</definedName>
    <definedName name="MSTR.B49E0E4A11E53FEC00000080EFF563AF.9" localSheetId="17">#REF!</definedName>
    <definedName name="MSTR.B49E0E4A11E53FEC00000080EFF563AF.9">#REF!</definedName>
    <definedName name="MSTR.BALANCE" localSheetId="17">#REF!</definedName>
    <definedName name="MSTR.BALANCE">#REF!</definedName>
    <definedName name="MSTR.BALANCE1">#REF!</definedName>
    <definedName name="MSTR.BALANCE2">#REF!</definedName>
    <definedName name="MSTR.BALANCE3">#REF!</definedName>
    <definedName name="MSTR.C083CD4611E5943644E30080EF95049C">#REF!</definedName>
    <definedName name="MSTR.C083CD4611E5943644E30080EF95049C.1">#REF!</definedName>
    <definedName name="MSTR.C083CD4611E5943644E30080EF95049C.10">#REF!</definedName>
    <definedName name="MSTR.C083CD4611E5943644E30080EF95049C.100">#REF!</definedName>
    <definedName name="MSTR.C083CD4611E5943644E30080EF95049C.101">#REF!</definedName>
    <definedName name="MSTR.C083CD4611E5943644E30080EF95049C.102">#REF!</definedName>
    <definedName name="MSTR.C083CD4611E5943644E30080EF95049C.103">#REF!</definedName>
    <definedName name="MSTR.C083CD4611E5943644E30080EF95049C.104">#REF!</definedName>
    <definedName name="MSTR.C083CD4611E5943644E30080EF95049C.105">#REF!</definedName>
    <definedName name="MSTR.C083CD4611E5943644E30080EF95049C.106">#REF!</definedName>
    <definedName name="MSTR.C083CD4611E5943644E30080EF95049C.107">#REF!</definedName>
    <definedName name="MSTR.C083CD4611E5943644E30080EF95049C.108">#REF!</definedName>
    <definedName name="MSTR.C083CD4611E5943644E30080EF95049C.109">#REF!</definedName>
    <definedName name="MSTR.C083CD4611E5943644E30080EF95049C.11">#REF!</definedName>
    <definedName name="MSTR.C083CD4611E5943644E30080EF95049C.110">#REF!</definedName>
    <definedName name="MSTR.C083CD4611E5943644E30080EF95049C.111">#REF!</definedName>
    <definedName name="MSTR.C083CD4611E5943644E30080EF95049C.112">#REF!</definedName>
    <definedName name="MSTR.C083CD4611E5943644E30080EF95049C.113">#REF!</definedName>
    <definedName name="MSTR.C083CD4611E5943644E30080EF95049C.114">#REF!</definedName>
    <definedName name="MSTR.C083CD4611E5943644E30080EF95049C.115">#REF!</definedName>
    <definedName name="MSTR.C083CD4611E5943644E30080EF95049C.116">#REF!</definedName>
    <definedName name="MSTR.C083CD4611E5943644E30080EF95049C.117">#REF!</definedName>
    <definedName name="MSTR.C083CD4611E5943644E30080EF95049C.118">#REF!</definedName>
    <definedName name="MSTR.C083CD4611E5943644E30080EF95049C.119">#REF!</definedName>
    <definedName name="MSTR.C083CD4611E5943644E30080EF95049C.12">#REF!</definedName>
    <definedName name="MSTR.C083CD4611E5943644E30080EF95049C.120">#REF!</definedName>
    <definedName name="MSTR.C083CD4611E5943644E30080EF95049C.121">#REF!</definedName>
    <definedName name="MSTR.C083CD4611E5943644E30080EF95049C.122">#REF!</definedName>
    <definedName name="MSTR.C083CD4611E5943644E30080EF95049C.123">#REF!</definedName>
    <definedName name="MSTR.C083CD4611E5943644E30080EF95049C.124">#REF!</definedName>
    <definedName name="MSTR.C083CD4611E5943644E30080EF95049C.125">#REF!</definedName>
    <definedName name="MSTR.C083CD4611E5943644E30080EF95049C.126">#REF!</definedName>
    <definedName name="MSTR.C083CD4611E5943644E30080EF95049C.127">#REF!</definedName>
    <definedName name="MSTR.C083CD4611E5943644E30080EF95049C.128">#REF!</definedName>
    <definedName name="MSTR.C083CD4611E5943644E30080EF95049C.129">#REF!</definedName>
    <definedName name="MSTR.C083CD4611E5943644E30080EF95049C.13">#REF!</definedName>
    <definedName name="MSTR.C083CD4611E5943644E30080EF95049C.130">#REF!</definedName>
    <definedName name="MSTR.C083CD4611E5943644E30080EF95049C.131">#REF!</definedName>
    <definedName name="MSTR.C083CD4611E5943644E30080EF95049C.132">#REF!</definedName>
    <definedName name="MSTR.C083CD4611E5943644E30080EF95049C.133">#REF!</definedName>
    <definedName name="MSTR.C083CD4611E5943644E30080EF95049C.134">#REF!</definedName>
    <definedName name="MSTR.C083CD4611E5943644E30080EF95049C.135">#REF!</definedName>
    <definedName name="MSTR.C083CD4611E5943644E30080EF95049C.136">#REF!</definedName>
    <definedName name="MSTR.C083CD4611E5943644E30080EF95049C.137">#REF!</definedName>
    <definedName name="MSTR.C083CD4611E5943644E30080EF95049C.138">#REF!</definedName>
    <definedName name="MSTR.C083CD4611E5943644E30080EF95049C.139">#REF!</definedName>
    <definedName name="MSTR.C083CD4611E5943644E30080EF95049C.14">#REF!</definedName>
    <definedName name="MSTR.C083CD4611E5943644E30080EF95049C.140">#REF!</definedName>
    <definedName name="MSTR.C083CD4611E5943644E30080EF95049C.141" localSheetId="17">#REF!</definedName>
    <definedName name="MSTR.C083CD4611E5943644E30080EF95049C.141">#REF!</definedName>
    <definedName name="MSTR.C083CD4611E5943644E30080EF95049C.142" localSheetId="17">#REF!</definedName>
    <definedName name="MSTR.C083CD4611E5943644E30080EF95049C.142">#REF!</definedName>
    <definedName name="MSTR.C083CD4611E5943644E30080EF95049C.143" localSheetId="17">#REF!</definedName>
    <definedName name="MSTR.C083CD4611E5943644E30080EF95049C.143">#REF!</definedName>
    <definedName name="MSTR.C083CD4611E5943644E30080EF95049C.144" localSheetId="17">#REF!</definedName>
    <definedName name="MSTR.C083CD4611E5943644E30080EF95049C.144">#REF!</definedName>
    <definedName name="MSTR.C083CD4611E5943644E30080EF95049C.145">#REF!</definedName>
    <definedName name="MSTR.C083CD4611E5943644E30080EF95049C.146">#REF!</definedName>
    <definedName name="MSTR.C083CD4611E5943644E30080EF95049C.147">#REF!</definedName>
    <definedName name="MSTR.C083CD4611E5943644E30080EF95049C.148">#REF!</definedName>
    <definedName name="MSTR.C083CD4611E5943644E30080EF95049C.149">#REF!</definedName>
    <definedName name="MSTR.C083CD4611E5943644E30080EF95049C.15" localSheetId="17">#REF!</definedName>
    <definedName name="MSTR.C083CD4611E5943644E30080EF95049C.15">#REF!</definedName>
    <definedName name="MSTR.C083CD4611E5943644E30080EF95049C.150">#REF!</definedName>
    <definedName name="MSTR.C083CD4611E5943644E30080EF95049C.151">#REF!</definedName>
    <definedName name="MSTR.C083CD4611E5943644E30080EF95049C.152">#REF!</definedName>
    <definedName name="MSTR.C083CD4611E5943644E30080EF95049C.153">#REF!</definedName>
    <definedName name="MSTR.C083CD4611E5943644E30080EF95049C.154">#REF!</definedName>
    <definedName name="MSTR.C083CD4611E5943644E30080EF95049C.155">#REF!</definedName>
    <definedName name="MSTR.C083CD4611E5943644E30080EF95049C.156">#REF!</definedName>
    <definedName name="MSTR.C083CD4611E5943644E30080EF95049C.157">#REF!</definedName>
    <definedName name="MSTR.C083CD4611E5943644E30080EF95049C.158">#REF!</definedName>
    <definedName name="MSTR.C083CD4611E5943644E30080EF95049C.159">#REF!</definedName>
    <definedName name="MSTR.C083CD4611E5943644E30080EF95049C.16" localSheetId="17">#REF!</definedName>
    <definedName name="MSTR.C083CD4611E5943644E30080EF95049C.16">#REF!</definedName>
    <definedName name="MSTR.C083CD4611E5943644E30080EF95049C.160">#REF!</definedName>
    <definedName name="MSTR.C083CD4611E5943644E30080EF95049C.161">#REF!</definedName>
    <definedName name="MSTR.C083CD4611E5943644E30080EF95049C.162">#REF!</definedName>
    <definedName name="MSTR.C083CD4611E5943644E30080EF95049C.163">#REF!</definedName>
    <definedName name="MSTR.C083CD4611E5943644E30080EF95049C.164">#REF!</definedName>
    <definedName name="MSTR.C083CD4611E5943644E30080EF95049C.165">#REF!</definedName>
    <definedName name="MSTR.C083CD4611E5943644E30080EF95049C.166">#REF!</definedName>
    <definedName name="MSTR.C083CD4611E5943644E30080EF95049C.167">#REF!</definedName>
    <definedName name="MSTR.C083CD4611E5943644E30080EF95049C.168">#REF!</definedName>
    <definedName name="MSTR.C083CD4611E5943644E30080EF95049C.169">#REF!</definedName>
    <definedName name="MSTR.C083CD4611E5943644E30080EF95049C.17" localSheetId="17">#REF!</definedName>
    <definedName name="MSTR.C083CD4611E5943644E30080EF95049C.17">#REF!</definedName>
    <definedName name="MSTR.C083CD4611E5943644E30080EF95049C.170">#REF!</definedName>
    <definedName name="MSTR.C083CD4611E5943644E30080EF95049C.171">#REF!</definedName>
    <definedName name="MSTR.C083CD4611E5943644E30080EF95049C.172">#REF!</definedName>
    <definedName name="MSTR.C083CD4611E5943644E30080EF95049C.173">#REF!</definedName>
    <definedName name="MSTR.C083CD4611E5943644E30080EF95049C.174">#REF!</definedName>
    <definedName name="MSTR.C083CD4611E5943644E30080EF95049C.175">#REF!</definedName>
    <definedName name="MSTR.C083CD4611E5943644E30080EF95049C.176">#REF!</definedName>
    <definedName name="MSTR.C083CD4611E5943644E30080EF95049C.177">#REF!</definedName>
    <definedName name="MSTR.C083CD4611E5943644E30080EF95049C.178">#REF!</definedName>
    <definedName name="MSTR.C083CD4611E5943644E30080EF95049C.179">#REF!</definedName>
    <definedName name="MSTR.C083CD4611E5943644E30080EF95049C.18" localSheetId="17">#REF!</definedName>
    <definedName name="MSTR.C083CD4611E5943644E30080EF95049C.18">#REF!</definedName>
    <definedName name="MSTR.C083CD4611E5943644E30080EF95049C.180">#REF!</definedName>
    <definedName name="MSTR.C083CD4611E5943644E30080EF95049C.181">#REF!</definedName>
    <definedName name="MSTR.C083CD4611E5943644E30080EF95049C.182">#REF!</definedName>
    <definedName name="MSTR.C083CD4611E5943644E30080EF95049C.183">#REF!</definedName>
    <definedName name="MSTR.C083CD4611E5943644E30080EF95049C.184">#REF!</definedName>
    <definedName name="MSTR.C083CD4611E5943644E30080EF95049C.185">#REF!</definedName>
    <definedName name="MSTR.C083CD4611E5943644E30080EF95049C.186">#REF!</definedName>
    <definedName name="MSTR.C083CD4611E5943644E30080EF95049C.187">#REF!</definedName>
    <definedName name="MSTR.C083CD4611E5943644E30080EF95049C.188">#REF!</definedName>
    <definedName name="MSTR.C083CD4611E5943644E30080EF95049C.189">#REF!</definedName>
    <definedName name="MSTR.C083CD4611E5943644E30080EF95049C.19" localSheetId="17">#REF!</definedName>
    <definedName name="MSTR.C083CD4611E5943644E30080EF95049C.19">#REF!</definedName>
    <definedName name="MSTR.C083CD4611E5943644E30080EF95049C.190">#REF!</definedName>
    <definedName name="MSTR.C083CD4611E5943644E30080EF95049C.191">#REF!</definedName>
    <definedName name="MSTR.C083CD4611E5943644E30080EF95049C.192">#REF!</definedName>
    <definedName name="MSTR.C083CD4611E5943644E30080EF95049C.193">#REF!</definedName>
    <definedName name="MSTR.C083CD4611E5943644E30080EF95049C.194">#REF!</definedName>
    <definedName name="MSTR.C083CD4611E5943644E30080EF95049C.195">#REF!</definedName>
    <definedName name="MSTR.C083CD4611E5943644E30080EF95049C.196">#REF!</definedName>
    <definedName name="MSTR.C083CD4611E5943644E30080EF95049C.197">#REF!</definedName>
    <definedName name="MSTR.C083CD4611E5943644E30080EF95049C.198">#REF!</definedName>
    <definedName name="MSTR.C083CD4611E5943644E30080EF95049C.199">#REF!</definedName>
    <definedName name="MSTR.C083CD4611E5943644E30080EF95049C.2" localSheetId="17">#REF!</definedName>
    <definedName name="MSTR.C083CD4611E5943644E30080EF95049C.2">#REF!</definedName>
    <definedName name="MSTR.C083CD4611E5943644E30080EF95049C.20" localSheetId="17">#REF!</definedName>
    <definedName name="MSTR.C083CD4611E5943644E30080EF95049C.20">#REF!</definedName>
    <definedName name="MSTR.C083CD4611E5943644E30080EF95049C.200" localSheetId="17">#REF!</definedName>
    <definedName name="MSTR.C083CD4611E5943644E30080EF95049C.200">#REF!</definedName>
    <definedName name="MSTR.C083CD4611E5943644E30080EF95049C.201" localSheetId="17">#REF!</definedName>
    <definedName name="MSTR.C083CD4611E5943644E30080EF95049C.201">#REF!</definedName>
    <definedName name="MSTR.C083CD4611E5943644E30080EF95049C.202">#REF!</definedName>
    <definedName name="MSTR.C083CD4611E5943644E30080EF95049C.203">#REF!</definedName>
    <definedName name="MSTR.C083CD4611E5943644E30080EF95049C.204">#REF!</definedName>
    <definedName name="MSTR.C083CD4611E5943644E30080EF95049C.205">#REF!</definedName>
    <definedName name="MSTR.C083CD4611E5943644E30080EF95049C.206">#REF!</definedName>
    <definedName name="MSTR.C083CD4611E5943644E30080EF95049C.207">#REF!</definedName>
    <definedName name="MSTR.C083CD4611E5943644E30080EF95049C.208">#REF!</definedName>
    <definedName name="MSTR.C083CD4611E5943644E30080EF95049C.209">#REF!</definedName>
    <definedName name="MSTR.C083CD4611E5943644E30080EF95049C.21" localSheetId="17">#REF!</definedName>
    <definedName name="MSTR.C083CD4611E5943644E30080EF95049C.21">#REF!</definedName>
    <definedName name="MSTR.C083CD4611E5943644E30080EF95049C.210">#REF!</definedName>
    <definedName name="MSTR.C083CD4611E5943644E30080EF95049C.211">#REF!</definedName>
    <definedName name="MSTR.C083CD4611E5943644E30080EF95049C.212">#REF!</definedName>
    <definedName name="MSTR.C083CD4611E5943644E30080EF95049C.213">#REF!</definedName>
    <definedName name="MSTR.C083CD4611E5943644E30080EF95049C.214">#REF!</definedName>
    <definedName name="MSTR.C083CD4611E5943644E30080EF95049C.215">#REF!</definedName>
    <definedName name="MSTR.C083CD4611E5943644E30080EF95049C.216">#REF!</definedName>
    <definedName name="MSTR.C083CD4611E5943644E30080EF95049C.217">#REF!</definedName>
    <definedName name="MSTR.C083CD4611E5943644E30080EF95049C.218">#REF!</definedName>
    <definedName name="MSTR.C083CD4611E5943644E30080EF95049C.219">#REF!</definedName>
    <definedName name="MSTR.C083CD4611E5943644E30080EF95049C.22" localSheetId="17">#REF!</definedName>
    <definedName name="MSTR.C083CD4611E5943644E30080EF95049C.22">#REF!</definedName>
    <definedName name="MSTR.C083CD4611E5943644E30080EF95049C.220">#REF!</definedName>
    <definedName name="MSTR.C083CD4611E5943644E30080EF95049C.221">#REF!</definedName>
    <definedName name="MSTR.C083CD4611E5943644E30080EF95049C.222">#REF!</definedName>
    <definedName name="MSTR.C083CD4611E5943644E30080EF95049C.223">#REF!</definedName>
    <definedName name="MSTR.C083CD4611E5943644E30080EF95049C.224">#REF!</definedName>
    <definedName name="MSTR.C083CD4611E5943644E30080EF95049C.225">#REF!</definedName>
    <definedName name="MSTR.C083CD4611E5943644E30080EF95049C.226">#REF!</definedName>
    <definedName name="MSTR.C083CD4611E5943644E30080EF95049C.227">#REF!</definedName>
    <definedName name="MSTR.C083CD4611E5943644E30080EF95049C.228">#REF!</definedName>
    <definedName name="MSTR.C083CD4611E5943644E30080EF95049C.229">#REF!</definedName>
    <definedName name="MSTR.C083CD4611E5943644E30080EF95049C.23" localSheetId="17">#REF!</definedName>
    <definedName name="MSTR.C083CD4611E5943644E30080EF95049C.23">#REF!</definedName>
    <definedName name="MSTR.C083CD4611E5943644E30080EF95049C.230">#REF!</definedName>
    <definedName name="MSTR.C083CD4611E5943644E30080EF95049C.231">#REF!</definedName>
    <definedName name="MSTR.C083CD4611E5943644E30080EF95049C.232">#REF!</definedName>
    <definedName name="MSTR.C083CD4611E5943644E30080EF95049C.233">#REF!</definedName>
    <definedName name="MSTR.C083CD4611E5943644E30080EF95049C.234">#REF!</definedName>
    <definedName name="MSTR.C083CD4611E5943644E30080EF95049C.235">#REF!</definedName>
    <definedName name="MSTR.C083CD4611E5943644E30080EF95049C.236">#REF!</definedName>
    <definedName name="MSTR.C083CD4611E5943644E30080EF95049C.237">#REF!</definedName>
    <definedName name="MSTR.C083CD4611E5943644E30080EF95049C.238">#REF!</definedName>
    <definedName name="MSTR.C083CD4611E5943644E30080EF95049C.239">#REF!</definedName>
    <definedName name="MSTR.C083CD4611E5943644E30080EF95049C.24" localSheetId="17">#REF!</definedName>
    <definedName name="MSTR.C083CD4611E5943644E30080EF95049C.24">#REF!</definedName>
    <definedName name="MSTR.C083CD4611E5943644E30080EF95049C.240">#REF!</definedName>
    <definedName name="MSTR.C083CD4611E5943644E30080EF95049C.241">#REF!</definedName>
    <definedName name="MSTR.C083CD4611E5943644E30080EF95049C.242">#REF!</definedName>
    <definedName name="MSTR.C083CD4611E5943644E30080EF95049C.243">#REF!</definedName>
    <definedName name="MSTR.C083CD4611E5943644E30080EF95049C.244">#REF!</definedName>
    <definedName name="MSTR.C083CD4611E5943644E30080EF95049C.245">#REF!</definedName>
    <definedName name="MSTR.C083CD4611E5943644E30080EF95049C.246">#REF!</definedName>
    <definedName name="MSTR.C083CD4611E5943644E30080EF95049C.247">#REF!</definedName>
    <definedName name="MSTR.C083CD4611E5943644E30080EF95049C.248">#REF!</definedName>
    <definedName name="MSTR.C083CD4611E5943644E30080EF95049C.249">#REF!</definedName>
    <definedName name="MSTR.C083CD4611E5943644E30080EF95049C.25" localSheetId="17">#REF!</definedName>
    <definedName name="MSTR.C083CD4611E5943644E30080EF95049C.25">#REF!</definedName>
    <definedName name="MSTR.C083CD4611E5943644E30080EF95049C.250">#REF!</definedName>
    <definedName name="MSTR.C083CD4611E5943644E30080EF95049C.251">#REF!</definedName>
    <definedName name="MSTR.C083CD4611E5943644E30080EF95049C.252">#REF!</definedName>
    <definedName name="MSTR.C083CD4611E5943644E30080EF95049C.253">#REF!</definedName>
    <definedName name="MSTR.C083CD4611E5943644E30080EF95049C.254">#REF!</definedName>
    <definedName name="MSTR.C083CD4611E5943644E30080EF95049C.255">#REF!</definedName>
    <definedName name="MSTR.C083CD4611E5943644E30080EF95049C.256">#REF!</definedName>
    <definedName name="MSTR.C083CD4611E5943644E30080EF95049C.257">#REF!</definedName>
    <definedName name="MSTR.C083CD4611E5943644E30080EF95049C.258">#REF!</definedName>
    <definedName name="MSTR.C083CD4611E5943644E30080EF95049C.259">#REF!</definedName>
    <definedName name="MSTR.C083CD4611E5943644E30080EF95049C.26" localSheetId="17">#REF!</definedName>
    <definedName name="MSTR.C083CD4611E5943644E30080EF95049C.26">#REF!</definedName>
    <definedName name="MSTR.C083CD4611E5943644E30080EF95049C.260">#REF!</definedName>
    <definedName name="MSTR.C083CD4611E5943644E30080EF95049C.261">#REF!</definedName>
    <definedName name="MSTR.C083CD4611E5943644E30080EF95049C.262">#REF!</definedName>
    <definedName name="MSTR.C083CD4611E5943644E30080EF95049C.263">#REF!</definedName>
    <definedName name="MSTR.C083CD4611E5943644E30080EF95049C.264">#REF!</definedName>
    <definedName name="MSTR.C083CD4611E5943644E30080EF95049C.265">#REF!</definedName>
    <definedName name="MSTR.C083CD4611E5943644E30080EF95049C.266">#REF!</definedName>
    <definedName name="MSTR.C083CD4611E5943644E30080EF95049C.267">#REF!</definedName>
    <definedName name="MSTR.C083CD4611E5943644E30080EF95049C.268">#REF!</definedName>
    <definedName name="MSTR.C083CD4611E5943644E30080EF95049C.269">#REF!</definedName>
    <definedName name="MSTR.C083CD4611E5943644E30080EF95049C.27" localSheetId="17">#REF!</definedName>
    <definedName name="MSTR.C083CD4611E5943644E30080EF95049C.27">#REF!</definedName>
    <definedName name="MSTR.C083CD4611E5943644E30080EF95049C.270">#REF!</definedName>
    <definedName name="MSTR.C083CD4611E5943644E30080EF95049C.271">#REF!</definedName>
    <definedName name="MSTR.C083CD4611E5943644E30080EF95049C.272">#REF!</definedName>
    <definedName name="MSTR.C083CD4611E5943644E30080EF95049C.273">#REF!</definedName>
    <definedName name="MSTR.C083CD4611E5943644E30080EF95049C.274">#REF!</definedName>
    <definedName name="MSTR.C083CD4611E5943644E30080EF95049C.275">#REF!</definedName>
    <definedName name="MSTR.C083CD4611E5943644E30080EF95049C.276">#REF!</definedName>
    <definedName name="MSTR.C083CD4611E5943644E30080EF95049C.277">#REF!</definedName>
    <definedName name="MSTR.C083CD4611E5943644E30080EF95049C.278">#REF!</definedName>
    <definedName name="MSTR.C083CD4611E5943644E30080EF95049C.279">#REF!</definedName>
    <definedName name="MSTR.C083CD4611E5943644E30080EF95049C.28" localSheetId="17">#REF!</definedName>
    <definedName name="MSTR.C083CD4611E5943644E30080EF95049C.28">#REF!</definedName>
    <definedName name="MSTR.C083CD4611E5943644E30080EF95049C.280">#REF!</definedName>
    <definedName name="MSTR.C083CD4611E5943644E30080EF95049C.281">#REF!</definedName>
    <definedName name="MSTR.C083CD4611E5943644E30080EF95049C.282">#REF!</definedName>
    <definedName name="MSTR.C083CD4611E5943644E30080EF95049C.283">#REF!</definedName>
    <definedName name="MSTR.C083CD4611E5943644E30080EF95049C.284">#REF!</definedName>
    <definedName name="MSTR.C083CD4611E5943644E30080EF95049C.285">#REF!</definedName>
    <definedName name="MSTR.C083CD4611E5943644E30080EF95049C.286">#REF!</definedName>
    <definedName name="MSTR.C083CD4611E5943644E30080EF95049C.287">#REF!</definedName>
    <definedName name="MSTR.C083CD4611E5943644E30080EF95049C.288">#REF!</definedName>
    <definedName name="MSTR.C083CD4611E5943644E30080EF95049C.289">#REF!</definedName>
    <definedName name="MSTR.C083CD4611E5943644E30080EF95049C.29" localSheetId="17">#REF!</definedName>
    <definedName name="MSTR.C083CD4611E5943644E30080EF95049C.29">#REF!</definedName>
    <definedName name="MSTR.C083CD4611E5943644E30080EF95049C.290">#REF!</definedName>
    <definedName name="MSTR.C083CD4611E5943644E30080EF95049C.291">#REF!</definedName>
    <definedName name="MSTR.C083CD4611E5943644E30080EF95049C.292">#REF!</definedName>
    <definedName name="MSTR.C083CD4611E5943644E30080EF95049C.293">#REF!</definedName>
    <definedName name="MSTR.C083CD4611E5943644E30080EF95049C.294">#REF!</definedName>
    <definedName name="MSTR.C083CD4611E5943644E30080EF95049C.295">#REF!</definedName>
    <definedName name="MSTR.C083CD4611E5943644E30080EF95049C.296">#REF!</definedName>
    <definedName name="MSTR.C083CD4611E5943644E30080EF95049C.297">#REF!</definedName>
    <definedName name="MSTR.C083CD4611E5943644E30080EF95049C.298">#REF!</definedName>
    <definedName name="MSTR.C083CD4611E5943644E30080EF95049C.299">#REF!</definedName>
    <definedName name="MSTR.C083CD4611E5943644E30080EF95049C.3" localSheetId="17">#REF!</definedName>
    <definedName name="MSTR.C083CD4611E5943644E30080EF95049C.3">#REF!</definedName>
    <definedName name="MSTR.C083CD4611E5943644E30080EF95049C.30" localSheetId="17">#REF!</definedName>
    <definedName name="MSTR.C083CD4611E5943644E30080EF95049C.30">#REF!</definedName>
    <definedName name="MSTR.C083CD4611E5943644E30080EF95049C.300" localSheetId="17">#REF!</definedName>
    <definedName name="MSTR.C083CD4611E5943644E30080EF95049C.300">#REF!</definedName>
    <definedName name="MSTR.C083CD4611E5943644E30080EF95049C.301" localSheetId="17">#REF!</definedName>
    <definedName name="MSTR.C083CD4611E5943644E30080EF95049C.301">#REF!</definedName>
    <definedName name="MSTR.C083CD4611E5943644E30080EF95049C.302">#REF!</definedName>
    <definedName name="MSTR.C083CD4611E5943644E30080EF95049C.303">#REF!</definedName>
    <definedName name="MSTR.C083CD4611E5943644E30080EF95049C.304">#REF!</definedName>
    <definedName name="MSTR.C083CD4611E5943644E30080EF95049C.305">#REF!</definedName>
    <definedName name="MSTR.C083CD4611E5943644E30080EF95049C.306">#REF!</definedName>
    <definedName name="MSTR.C083CD4611E5943644E30080EF95049C.307">#REF!</definedName>
    <definedName name="MSTR.C083CD4611E5943644E30080EF95049C.308">#REF!</definedName>
    <definedName name="MSTR.C083CD4611E5943644E30080EF95049C.309">#REF!</definedName>
    <definedName name="MSTR.C083CD4611E5943644E30080EF95049C.31" localSheetId="17">#REF!</definedName>
    <definedName name="MSTR.C083CD4611E5943644E30080EF95049C.31">#REF!</definedName>
    <definedName name="MSTR.C083CD4611E5943644E30080EF95049C.310">#REF!</definedName>
    <definedName name="MSTR.C083CD4611E5943644E30080EF95049C.311">#REF!</definedName>
    <definedName name="MSTR.C083CD4611E5943644E30080EF95049C.312">#REF!</definedName>
    <definedName name="MSTR.C083CD4611E5943644E30080EF95049C.313">#REF!</definedName>
    <definedName name="MSTR.C083CD4611E5943644E30080EF95049C.314">#REF!</definedName>
    <definedName name="MSTR.C083CD4611E5943644E30080EF95049C.315">#REF!</definedName>
    <definedName name="MSTR.C083CD4611E5943644E30080EF95049C.316">#REF!</definedName>
    <definedName name="MSTR.C083CD4611E5943644E30080EF95049C.317">#REF!</definedName>
    <definedName name="MSTR.C083CD4611E5943644E30080EF95049C.318">#REF!</definedName>
    <definedName name="MSTR.C083CD4611E5943644E30080EF95049C.319">#REF!</definedName>
    <definedName name="MSTR.C083CD4611E5943644E30080EF95049C.32" localSheetId="17">#REF!</definedName>
    <definedName name="MSTR.C083CD4611E5943644E30080EF95049C.32">#REF!</definedName>
    <definedName name="MSTR.C083CD4611E5943644E30080EF95049C.320">#REF!</definedName>
    <definedName name="MSTR.C083CD4611E5943644E30080EF95049C.321">#REF!</definedName>
    <definedName name="MSTR.C083CD4611E5943644E30080EF95049C.322">#REF!</definedName>
    <definedName name="MSTR.C083CD4611E5943644E30080EF95049C.323">#REF!</definedName>
    <definedName name="MSTR.C083CD4611E5943644E30080EF95049C.324">#REF!</definedName>
    <definedName name="MSTR.C083CD4611E5943644E30080EF95049C.325">#REF!</definedName>
    <definedName name="MSTR.C083CD4611E5943644E30080EF95049C.326">#REF!</definedName>
    <definedName name="MSTR.C083CD4611E5943644E30080EF95049C.327">#REF!</definedName>
    <definedName name="MSTR.C083CD4611E5943644E30080EF95049C.328">#REF!</definedName>
    <definedName name="MSTR.C083CD4611E5943644E30080EF95049C.329">#REF!</definedName>
    <definedName name="MSTR.C083CD4611E5943644E30080EF95049C.33" localSheetId="17">#REF!</definedName>
    <definedName name="MSTR.C083CD4611E5943644E30080EF95049C.33">#REF!</definedName>
    <definedName name="MSTR.C083CD4611E5943644E30080EF95049C.330">#REF!</definedName>
    <definedName name="MSTR.C083CD4611E5943644E30080EF95049C.331">#REF!</definedName>
    <definedName name="MSTR.C083CD4611E5943644E30080EF95049C.332">#REF!</definedName>
    <definedName name="MSTR.C083CD4611E5943644E30080EF95049C.333">#REF!</definedName>
    <definedName name="MSTR.C083CD4611E5943644E30080EF95049C.334">#REF!</definedName>
    <definedName name="MSTR.C083CD4611E5943644E30080EF95049C.335">#REF!</definedName>
    <definedName name="MSTR.C083CD4611E5943644E30080EF95049C.336">#REF!</definedName>
    <definedName name="MSTR.C083CD4611E5943644E30080EF95049C.337">#REF!</definedName>
    <definedName name="MSTR.C083CD4611E5943644E30080EF95049C.338">#REF!</definedName>
    <definedName name="MSTR.C083CD4611E5943644E30080EF95049C.339">#REF!</definedName>
    <definedName name="MSTR.C083CD4611E5943644E30080EF95049C.34" localSheetId="17">#REF!</definedName>
    <definedName name="MSTR.C083CD4611E5943644E30080EF95049C.34">#REF!</definedName>
    <definedName name="MSTR.C083CD4611E5943644E30080EF95049C.340">#REF!</definedName>
    <definedName name="MSTR.C083CD4611E5943644E30080EF95049C.341">#REF!</definedName>
    <definedName name="MSTR.C083CD4611E5943644E30080EF95049C.342">#REF!</definedName>
    <definedName name="MSTR.C083CD4611E5943644E30080EF95049C.343">#REF!</definedName>
    <definedName name="MSTR.C083CD4611E5943644E30080EF95049C.344">#REF!</definedName>
    <definedName name="MSTR.C083CD4611E5943644E30080EF95049C.345">#REF!</definedName>
    <definedName name="MSTR.C083CD4611E5943644E30080EF95049C.346">#REF!</definedName>
    <definedName name="MSTR.C083CD4611E5943644E30080EF95049C.347">#REF!</definedName>
    <definedName name="MSTR.C083CD4611E5943644E30080EF95049C.348">#REF!</definedName>
    <definedName name="MSTR.C083CD4611E5943644E30080EF95049C.349">#REF!</definedName>
    <definedName name="MSTR.C083CD4611E5943644E30080EF95049C.35" localSheetId="17">#REF!</definedName>
    <definedName name="MSTR.C083CD4611E5943644E30080EF95049C.35">#REF!</definedName>
    <definedName name="MSTR.C083CD4611E5943644E30080EF95049C.350">#REF!</definedName>
    <definedName name="MSTR.C083CD4611E5943644E30080EF95049C.351">#REF!</definedName>
    <definedName name="MSTR.C083CD4611E5943644E30080EF95049C.352">#REF!</definedName>
    <definedName name="MSTR.C083CD4611E5943644E30080EF95049C.353">#REF!</definedName>
    <definedName name="MSTR.C083CD4611E5943644E30080EF95049C.354">#REF!</definedName>
    <definedName name="MSTR.C083CD4611E5943644E30080EF95049C.355">#REF!</definedName>
    <definedName name="MSTR.C083CD4611E5943644E30080EF95049C.356">#REF!</definedName>
    <definedName name="MSTR.C083CD4611E5943644E30080EF95049C.357">#REF!</definedName>
    <definedName name="MSTR.C083CD4611E5943644E30080EF95049C.358">#REF!</definedName>
    <definedName name="MSTR.C083CD4611E5943644E30080EF95049C.359">#REF!</definedName>
    <definedName name="MSTR.C083CD4611E5943644E30080EF95049C.36" localSheetId="17">#REF!</definedName>
    <definedName name="MSTR.C083CD4611E5943644E30080EF95049C.36">#REF!</definedName>
    <definedName name="MSTR.C083CD4611E5943644E30080EF95049C.360">#REF!</definedName>
    <definedName name="MSTR.C083CD4611E5943644E30080EF95049C.361">#REF!</definedName>
    <definedName name="MSTR.C083CD4611E5943644E30080EF95049C.362">#REF!</definedName>
    <definedName name="MSTR.C083CD4611E5943644E30080EF95049C.363">#REF!</definedName>
    <definedName name="MSTR.C083CD4611E5943644E30080EF95049C.364">#REF!</definedName>
    <definedName name="MSTR.C083CD4611E5943644E30080EF95049C.365">#REF!</definedName>
    <definedName name="MSTR.C083CD4611E5943644E30080EF95049C.366">#REF!</definedName>
    <definedName name="MSTR.C083CD4611E5943644E30080EF95049C.367">#REF!</definedName>
    <definedName name="MSTR.C083CD4611E5943644E30080EF95049C.368">#REF!</definedName>
    <definedName name="MSTR.C083CD4611E5943644E30080EF95049C.369">#REF!</definedName>
    <definedName name="MSTR.C083CD4611E5943644E30080EF95049C.37" localSheetId="17">#REF!</definedName>
    <definedName name="MSTR.C083CD4611E5943644E30080EF95049C.37">#REF!</definedName>
    <definedName name="MSTR.C083CD4611E5943644E30080EF95049C.370">#REF!</definedName>
    <definedName name="MSTR.C083CD4611E5943644E30080EF95049C.371">#REF!</definedName>
    <definedName name="MSTR.C083CD4611E5943644E30080EF95049C.372">#REF!</definedName>
    <definedName name="MSTR.C083CD4611E5943644E30080EF95049C.373">#REF!</definedName>
    <definedName name="MSTR.C083CD4611E5943644E30080EF95049C.374">#REF!</definedName>
    <definedName name="MSTR.C083CD4611E5943644E30080EF95049C.375">#REF!</definedName>
    <definedName name="MSTR.C083CD4611E5943644E30080EF95049C.376">#REF!</definedName>
    <definedName name="MSTR.C083CD4611E5943644E30080EF95049C.377">#REF!</definedName>
    <definedName name="MSTR.C083CD4611E5943644E30080EF95049C.378">#REF!</definedName>
    <definedName name="MSTR.C083CD4611E5943644E30080EF95049C.379">#REF!</definedName>
    <definedName name="MSTR.C083CD4611E5943644E30080EF95049C.38" localSheetId="17">#REF!</definedName>
    <definedName name="MSTR.C083CD4611E5943644E30080EF95049C.38">#REF!</definedName>
    <definedName name="MSTR.C083CD4611E5943644E30080EF95049C.380">#REF!</definedName>
    <definedName name="MSTR.C083CD4611E5943644E30080EF95049C.381">#REF!</definedName>
    <definedName name="MSTR.C083CD4611E5943644E30080EF95049C.382">#REF!</definedName>
    <definedName name="MSTR.C083CD4611E5943644E30080EF95049C.383">#REF!</definedName>
    <definedName name="MSTR.C083CD4611E5943644E30080EF95049C.384">#REF!</definedName>
    <definedName name="MSTR.C083CD4611E5943644E30080EF95049C.385">#REF!</definedName>
    <definedName name="MSTR.C083CD4611E5943644E30080EF95049C.386">#REF!</definedName>
    <definedName name="MSTR.C083CD4611E5943644E30080EF95049C.387">#REF!</definedName>
    <definedName name="MSTR.C083CD4611E5943644E30080EF95049C.388">#REF!</definedName>
    <definedName name="MSTR.C083CD4611E5943644E30080EF95049C.389">#REF!</definedName>
    <definedName name="MSTR.C083CD4611E5943644E30080EF95049C.39" localSheetId="17">#REF!</definedName>
    <definedName name="MSTR.C083CD4611E5943644E30080EF95049C.39">#REF!</definedName>
    <definedName name="MSTR.C083CD4611E5943644E30080EF95049C.390">#REF!</definedName>
    <definedName name="MSTR.C083CD4611E5943644E30080EF95049C.391">#REF!</definedName>
    <definedName name="MSTR.C083CD4611E5943644E30080EF95049C.392">#REF!</definedName>
    <definedName name="MSTR.C083CD4611E5943644E30080EF95049C.393">#REF!</definedName>
    <definedName name="MSTR.C083CD4611E5943644E30080EF95049C.394">#REF!</definedName>
    <definedName name="MSTR.C083CD4611E5943644E30080EF95049C.395">#REF!</definedName>
    <definedName name="MSTR.C083CD4611E5943644E30080EF95049C.396">#REF!</definedName>
    <definedName name="MSTR.C083CD4611E5943644E30080EF95049C.397">#REF!</definedName>
    <definedName name="MSTR.C083CD4611E5943644E30080EF95049C.398">#REF!</definedName>
    <definedName name="MSTR.C083CD4611E5943644E30080EF95049C.399">#REF!</definedName>
    <definedName name="MSTR.C083CD4611E5943644E30080EF95049C.4" localSheetId="17">#REF!</definedName>
    <definedName name="MSTR.C083CD4611E5943644E30080EF95049C.4">#REF!</definedName>
    <definedName name="MSTR.C083CD4611E5943644E30080EF95049C.40" localSheetId="17">#REF!</definedName>
    <definedName name="MSTR.C083CD4611E5943644E30080EF95049C.40">#REF!</definedName>
    <definedName name="MSTR.C083CD4611E5943644E30080EF95049C.400" localSheetId="17">#REF!</definedName>
    <definedName name="MSTR.C083CD4611E5943644E30080EF95049C.400">#REF!</definedName>
    <definedName name="MSTR.C083CD4611E5943644E30080EF95049C.401" localSheetId="17">#REF!</definedName>
    <definedName name="MSTR.C083CD4611E5943644E30080EF95049C.401">#REF!</definedName>
    <definedName name="MSTR.C083CD4611E5943644E30080EF95049C.402">#REF!</definedName>
    <definedName name="MSTR.C083CD4611E5943644E30080EF95049C.403">#REF!</definedName>
    <definedName name="MSTR.C083CD4611E5943644E30080EF95049C.404">#REF!</definedName>
    <definedName name="MSTR.C083CD4611E5943644E30080EF95049C.405">#REF!</definedName>
    <definedName name="MSTR.C083CD4611E5943644E30080EF95049C.406">#REF!</definedName>
    <definedName name="MSTR.C083CD4611E5943644E30080EF95049C.407">#REF!</definedName>
    <definedName name="MSTR.C083CD4611E5943644E30080EF95049C.408">#REF!</definedName>
    <definedName name="MSTR.C083CD4611E5943644E30080EF95049C.409">#REF!</definedName>
    <definedName name="MSTR.C083CD4611E5943644E30080EF95049C.41" localSheetId="17">#REF!</definedName>
    <definedName name="MSTR.C083CD4611E5943644E30080EF95049C.41">#REF!</definedName>
    <definedName name="MSTR.C083CD4611E5943644E30080EF95049C.410">#REF!</definedName>
    <definedName name="MSTR.C083CD4611E5943644E30080EF95049C.411">#REF!</definedName>
    <definedName name="MSTR.C083CD4611E5943644E30080EF95049C.412">#REF!</definedName>
    <definedName name="MSTR.C083CD4611E5943644E30080EF95049C.413">#REF!</definedName>
    <definedName name="MSTR.C083CD4611E5943644E30080EF95049C.414">#REF!</definedName>
    <definedName name="MSTR.C083CD4611E5943644E30080EF95049C.415">#REF!</definedName>
    <definedName name="MSTR.C083CD4611E5943644E30080EF95049C.416">#REF!</definedName>
    <definedName name="MSTR.C083CD4611E5943644E30080EF95049C.417">#REF!</definedName>
    <definedName name="MSTR.C083CD4611E5943644E30080EF95049C.418">#REF!</definedName>
    <definedName name="MSTR.C083CD4611E5943644E30080EF95049C.419">#REF!</definedName>
    <definedName name="MSTR.C083CD4611E5943644E30080EF95049C.42" localSheetId="17">#REF!</definedName>
    <definedName name="MSTR.C083CD4611E5943644E30080EF95049C.42">#REF!</definedName>
    <definedName name="MSTR.C083CD4611E5943644E30080EF95049C.420">#REF!</definedName>
    <definedName name="MSTR.C083CD4611E5943644E30080EF95049C.421">#REF!</definedName>
    <definedName name="MSTR.C083CD4611E5943644E30080EF95049C.422">#REF!</definedName>
    <definedName name="MSTR.C083CD4611E5943644E30080EF95049C.423">#REF!</definedName>
    <definedName name="MSTR.C083CD4611E5943644E30080EF95049C.424">#REF!</definedName>
    <definedName name="MSTR.C083CD4611E5943644E30080EF95049C.425">#REF!</definedName>
    <definedName name="MSTR.C083CD4611E5943644E30080EF95049C.426">#REF!</definedName>
    <definedName name="MSTR.C083CD4611E5943644E30080EF95049C.427">#REF!</definedName>
    <definedName name="MSTR.C083CD4611E5943644E30080EF95049C.428">#REF!</definedName>
    <definedName name="MSTR.C083CD4611E5943644E30080EF95049C.429">#REF!</definedName>
    <definedName name="MSTR.C083CD4611E5943644E30080EF95049C.43" localSheetId="17">#REF!</definedName>
    <definedName name="MSTR.C083CD4611E5943644E30080EF95049C.43">#REF!</definedName>
    <definedName name="MSTR.C083CD4611E5943644E30080EF95049C.430">#REF!</definedName>
    <definedName name="MSTR.C083CD4611E5943644E30080EF95049C.431">#REF!</definedName>
    <definedName name="MSTR.C083CD4611E5943644E30080EF95049C.432">#REF!</definedName>
    <definedName name="MSTR.C083CD4611E5943644E30080EF95049C.433">#REF!</definedName>
    <definedName name="MSTR.C083CD4611E5943644E30080EF95049C.434">#REF!</definedName>
    <definedName name="MSTR.C083CD4611E5943644E30080EF95049C.435">#REF!</definedName>
    <definedName name="MSTR.C083CD4611E5943644E30080EF95049C.436">#REF!</definedName>
    <definedName name="MSTR.C083CD4611E5943644E30080EF95049C.437">#REF!</definedName>
    <definedName name="MSTR.C083CD4611E5943644E30080EF95049C.438">#REF!</definedName>
    <definedName name="MSTR.C083CD4611E5943644E30080EF95049C.439">#REF!</definedName>
    <definedName name="MSTR.C083CD4611E5943644E30080EF95049C.44" localSheetId="17">#REF!</definedName>
    <definedName name="MSTR.C083CD4611E5943644E30080EF95049C.44">#REF!</definedName>
    <definedName name="MSTR.C083CD4611E5943644E30080EF95049C.440">#REF!</definedName>
    <definedName name="MSTR.C083CD4611E5943644E30080EF95049C.441">#REF!</definedName>
    <definedName name="MSTR.C083CD4611E5943644E30080EF95049C.442">#REF!</definedName>
    <definedName name="MSTR.C083CD4611E5943644E30080EF95049C.443">#REF!</definedName>
    <definedName name="MSTR.C083CD4611E5943644E30080EF95049C.444">#REF!</definedName>
    <definedName name="MSTR.C083CD4611E5943644E30080EF95049C.445">#REF!</definedName>
    <definedName name="MSTR.C083CD4611E5943644E30080EF95049C.446">#REF!</definedName>
    <definedName name="MSTR.C083CD4611E5943644E30080EF95049C.447">#REF!</definedName>
    <definedName name="MSTR.C083CD4611E5943644E30080EF95049C.448">#REF!</definedName>
    <definedName name="MSTR.C083CD4611E5943644E30080EF95049C.449">#REF!</definedName>
    <definedName name="MSTR.C083CD4611E5943644E30080EF95049C.45" localSheetId="17">#REF!</definedName>
    <definedName name="MSTR.C083CD4611E5943644E30080EF95049C.45">#REF!</definedName>
    <definedName name="MSTR.C083CD4611E5943644E30080EF95049C.450">#REF!</definedName>
    <definedName name="MSTR.C083CD4611E5943644E30080EF95049C.451">#REF!</definedName>
    <definedName name="MSTR.C083CD4611E5943644E30080EF95049C.452">#REF!</definedName>
    <definedName name="MSTR.C083CD4611E5943644E30080EF95049C.453">#REF!</definedName>
    <definedName name="MSTR.C083CD4611E5943644E30080EF95049C.454">#REF!</definedName>
    <definedName name="MSTR.C083CD4611E5943644E30080EF95049C.455">#REF!</definedName>
    <definedName name="MSTR.C083CD4611E5943644E30080EF95049C.456">#REF!</definedName>
    <definedName name="MSTR.C083CD4611E5943644E30080EF95049C.457">#REF!</definedName>
    <definedName name="MSTR.C083CD4611E5943644E30080EF95049C.458">#REF!</definedName>
    <definedName name="MSTR.C083CD4611E5943644E30080EF95049C.459">#REF!</definedName>
    <definedName name="MSTR.C083CD4611E5943644E30080EF95049C.46" localSheetId="17">#REF!</definedName>
    <definedName name="MSTR.C083CD4611E5943644E30080EF95049C.46">#REF!</definedName>
    <definedName name="MSTR.C083CD4611E5943644E30080EF95049C.460">#REF!</definedName>
    <definedName name="MSTR.C083CD4611E5943644E30080EF95049C.461">#REF!</definedName>
    <definedName name="MSTR.C083CD4611E5943644E30080EF95049C.462">#REF!</definedName>
    <definedName name="MSTR.C083CD4611E5943644E30080EF95049C.463">#REF!</definedName>
    <definedName name="MSTR.C083CD4611E5943644E30080EF95049C.464">#REF!</definedName>
    <definedName name="MSTR.C083CD4611E5943644E30080EF95049C.465">#REF!</definedName>
    <definedName name="MSTR.C083CD4611E5943644E30080EF95049C.466">#REF!</definedName>
    <definedName name="MSTR.C083CD4611E5943644E30080EF95049C.467">#REF!</definedName>
    <definedName name="MSTR.C083CD4611E5943644E30080EF95049C.468">#REF!</definedName>
    <definedName name="MSTR.C083CD4611E5943644E30080EF95049C.469">#REF!</definedName>
    <definedName name="MSTR.C083CD4611E5943644E30080EF95049C.47" localSheetId="17">#REF!</definedName>
    <definedName name="MSTR.C083CD4611E5943644E30080EF95049C.47">#REF!</definedName>
    <definedName name="MSTR.C083CD4611E5943644E30080EF95049C.470">#REF!</definedName>
    <definedName name="MSTR.C083CD4611E5943644E30080EF95049C.471">#REF!</definedName>
    <definedName name="MSTR.C083CD4611E5943644E30080EF95049C.472">#REF!</definedName>
    <definedName name="MSTR.C083CD4611E5943644E30080EF95049C.473">#REF!</definedName>
    <definedName name="MSTR.C083CD4611E5943644E30080EF95049C.474">#REF!</definedName>
    <definedName name="MSTR.C083CD4611E5943644E30080EF95049C.475">#REF!</definedName>
    <definedName name="MSTR.C083CD4611E5943644E30080EF95049C.476">#REF!</definedName>
    <definedName name="MSTR.C083CD4611E5943644E30080EF95049C.477">#REF!</definedName>
    <definedName name="MSTR.C083CD4611E5943644E30080EF95049C.478">#REF!</definedName>
    <definedName name="MSTR.C083CD4611E5943644E30080EF95049C.479">#REF!</definedName>
    <definedName name="MSTR.C083CD4611E5943644E30080EF95049C.48" localSheetId="17">#REF!</definedName>
    <definedName name="MSTR.C083CD4611E5943644E30080EF95049C.48">#REF!</definedName>
    <definedName name="MSTR.C083CD4611E5943644E30080EF95049C.480">#REF!</definedName>
    <definedName name="MSTR.C083CD4611E5943644E30080EF95049C.481">#REF!</definedName>
    <definedName name="MSTR.C083CD4611E5943644E30080EF95049C.482">#REF!</definedName>
    <definedName name="MSTR.C083CD4611E5943644E30080EF95049C.483">#REF!</definedName>
    <definedName name="MSTR.C083CD4611E5943644E30080EF95049C.484">#REF!</definedName>
    <definedName name="MSTR.C083CD4611E5943644E30080EF95049C.485">#REF!</definedName>
    <definedName name="MSTR.C083CD4611E5943644E30080EF95049C.486">#REF!</definedName>
    <definedName name="MSTR.C083CD4611E5943644E30080EF95049C.487">#REF!</definedName>
    <definedName name="MSTR.C083CD4611E5943644E30080EF95049C.488">#REF!</definedName>
    <definedName name="MSTR.C083CD4611E5943644E30080EF95049C.489">#REF!</definedName>
    <definedName name="MSTR.C083CD4611E5943644E30080EF95049C.49" localSheetId="17">#REF!</definedName>
    <definedName name="MSTR.C083CD4611E5943644E30080EF95049C.49">#REF!</definedName>
    <definedName name="MSTR.C083CD4611E5943644E30080EF95049C.490">#REF!</definedName>
    <definedName name="MSTR.C083CD4611E5943644E30080EF95049C.491">#REF!</definedName>
    <definedName name="MSTR.C083CD4611E5943644E30080EF95049C.492">#REF!</definedName>
    <definedName name="MSTR.C083CD4611E5943644E30080EF95049C.493">#REF!</definedName>
    <definedName name="MSTR.C083CD4611E5943644E30080EF95049C.494">#REF!</definedName>
    <definedName name="MSTR.C083CD4611E5943644E30080EF95049C.495">#REF!</definedName>
    <definedName name="MSTR.C083CD4611E5943644E30080EF95049C.496">#REF!</definedName>
    <definedName name="MSTR.C083CD4611E5943644E30080EF95049C.497">#REF!</definedName>
    <definedName name="MSTR.C083CD4611E5943644E30080EF95049C.498">#REF!</definedName>
    <definedName name="MSTR.C083CD4611E5943644E30080EF95049C.499">#REF!</definedName>
    <definedName name="MSTR.C083CD4611E5943644E30080EF95049C.5" localSheetId="17">#REF!</definedName>
    <definedName name="MSTR.C083CD4611E5943644E30080EF95049C.5">#REF!</definedName>
    <definedName name="MSTR.C083CD4611E5943644E30080EF95049C.50" localSheetId="17">#REF!</definedName>
    <definedName name="MSTR.C083CD4611E5943644E30080EF95049C.50">#REF!</definedName>
    <definedName name="MSTR.C083CD4611E5943644E30080EF95049C.500" localSheetId="17">#REF!</definedName>
    <definedName name="MSTR.C083CD4611E5943644E30080EF95049C.500">#REF!</definedName>
    <definedName name="MSTR.C083CD4611E5943644E30080EF95049C.501" localSheetId="17">#REF!</definedName>
    <definedName name="MSTR.C083CD4611E5943644E30080EF95049C.501">#REF!</definedName>
    <definedName name="MSTR.C083CD4611E5943644E30080EF95049C.502">#REF!</definedName>
    <definedName name="MSTR.C083CD4611E5943644E30080EF95049C.503">#REF!</definedName>
    <definedName name="MSTR.C083CD4611E5943644E30080EF95049C.504">#REF!</definedName>
    <definedName name="MSTR.C083CD4611E5943644E30080EF95049C.505">#REF!</definedName>
    <definedName name="MSTR.C083CD4611E5943644E30080EF95049C.506">#REF!</definedName>
    <definedName name="MSTR.C083CD4611E5943644E30080EF95049C.507">#REF!</definedName>
    <definedName name="MSTR.C083CD4611E5943644E30080EF95049C.508">#REF!</definedName>
    <definedName name="MSTR.C083CD4611E5943644E30080EF95049C.509">#REF!</definedName>
    <definedName name="MSTR.C083CD4611E5943644E30080EF95049C.51" localSheetId="17">#REF!</definedName>
    <definedName name="MSTR.C083CD4611E5943644E30080EF95049C.51">#REF!</definedName>
    <definedName name="MSTR.C083CD4611E5943644E30080EF95049C.510">#REF!</definedName>
    <definedName name="MSTR.C083CD4611E5943644E30080EF95049C.511">#REF!</definedName>
    <definedName name="MSTR.C083CD4611E5943644E30080EF95049C.512">#REF!</definedName>
    <definedName name="MSTR.C083CD4611E5943644E30080EF95049C.513">#REF!</definedName>
    <definedName name="MSTR.C083CD4611E5943644E30080EF95049C.514">#REF!</definedName>
    <definedName name="MSTR.C083CD4611E5943644E30080EF95049C.515">#REF!</definedName>
    <definedName name="MSTR.C083CD4611E5943644E30080EF95049C.516">#REF!</definedName>
    <definedName name="MSTR.C083CD4611E5943644E30080EF95049C.517">#REF!</definedName>
    <definedName name="MSTR.C083CD4611E5943644E30080EF95049C.518">#REF!</definedName>
    <definedName name="MSTR.C083CD4611E5943644E30080EF95049C.519">#REF!</definedName>
    <definedName name="MSTR.C083CD4611E5943644E30080EF95049C.52" localSheetId="17">#REF!</definedName>
    <definedName name="MSTR.C083CD4611E5943644E30080EF95049C.52">#REF!</definedName>
    <definedName name="MSTR.C083CD4611E5943644E30080EF95049C.520">#REF!</definedName>
    <definedName name="MSTR.C083CD4611E5943644E30080EF95049C.521">#REF!</definedName>
    <definedName name="MSTR.C083CD4611E5943644E30080EF95049C.522">#REF!</definedName>
    <definedName name="MSTR.C083CD4611E5943644E30080EF95049C.523">#REF!</definedName>
    <definedName name="MSTR.C083CD4611E5943644E30080EF95049C.524">#REF!</definedName>
    <definedName name="MSTR.C083CD4611E5943644E30080EF95049C.525">#REF!</definedName>
    <definedName name="MSTR.C083CD4611E5943644E30080EF95049C.526">#REF!</definedName>
    <definedName name="MSTR.C083CD4611E5943644E30080EF95049C.527">#REF!</definedName>
    <definedName name="MSTR.C083CD4611E5943644E30080EF95049C.528">#REF!</definedName>
    <definedName name="MSTR.C083CD4611E5943644E30080EF95049C.529">#REF!</definedName>
    <definedName name="MSTR.C083CD4611E5943644E30080EF95049C.53" localSheetId="17">#REF!</definedName>
    <definedName name="MSTR.C083CD4611E5943644E30080EF95049C.53">#REF!</definedName>
    <definedName name="MSTR.C083CD4611E5943644E30080EF95049C.530">#REF!</definedName>
    <definedName name="MSTR.C083CD4611E5943644E30080EF95049C.531">#REF!</definedName>
    <definedName name="MSTR.C083CD4611E5943644E30080EF95049C.532">#REF!</definedName>
    <definedName name="MSTR.C083CD4611E5943644E30080EF95049C.533">#REF!</definedName>
    <definedName name="MSTR.C083CD4611E5943644E30080EF95049C.534">#REF!</definedName>
    <definedName name="MSTR.C083CD4611E5943644E30080EF95049C.535">#REF!</definedName>
    <definedName name="MSTR.C083CD4611E5943644E30080EF95049C.536">#REF!</definedName>
    <definedName name="MSTR.C083CD4611E5943644E30080EF95049C.537">#REF!</definedName>
    <definedName name="MSTR.C083CD4611E5943644E30080EF95049C.538">#REF!</definedName>
    <definedName name="MSTR.C083CD4611E5943644E30080EF95049C.539">#REF!</definedName>
    <definedName name="MSTR.C083CD4611E5943644E30080EF95049C.54" localSheetId="17">#REF!</definedName>
    <definedName name="MSTR.C083CD4611E5943644E30080EF95049C.54">#REF!</definedName>
    <definedName name="MSTR.C083CD4611E5943644E30080EF95049C.540">#REF!</definedName>
    <definedName name="MSTR.C083CD4611E5943644E30080EF95049C.541">#REF!</definedName>
    <definedName name="MSTR.C083CD4611E5943644E30080EF95049C.542">#REF!</definedName>
    <definedName name="MSTR.C083CD4611E5943644E30080EF95049C.543">#REF!</definedName>
    <definedName name="MSTR.C083CD4611E5943644E30080EF95049C.544">#REF!</definedName>
    <definedName name="MSTR.C083CD4611E5943644E30080EF95049C.545">#REF!</definedName>
    <definedName name="MSTR.C083CD4611E5943644E30080EF95049C.546">#REF!</definedName>
    <definedName name="MSTR.C083CD4611E5943644E30080EF95049C.547">#REF!</definedName>
    <definedName name="MSTR.C083CD4611E5943644E30080EF95049C.548">#REF!</definedName>
    <definedName name="MSTR.C083CD4611E5943644E30080EF95049C.549">#REF!</definedName>
    <definedName name="MSTR.C083CD4611E5943644E30080EF95049C.55" localSheetId="17">#REF!</definedName>
    <definedName name="MSTR.C083CD4611E5943644E30080EF95049C.55">#REF!</definedName>
    <definedName name="MSTR.C083CD4611E5943644E30080EF95049C.550">#REF!</definedName>
    <definedName name="MSTR.C083CD4611E5943644E30080EF95049C.551">#REF!</definedName>
    <definedName name="MSTR.C083CD4611E5943644E30080EF95049C.552">#REF!</definedName>
    <definedName name="MSTR.C083CD4611E5943644E30080EF95049C.553">#REF!</definedName>
    <definedName name="MSTR.C083CD4611E5943644E30080EF95049C.554">#REF!</definedName>
    <definedName name="MSTR.C083CD4611E5943644E30080EF95049C.555">#REF!</definedName>
    <definedName name="MSTR.C083CD4611E5943644E30080EF95049C.556">#REF!</definedName>
    <definedName name="MSTR.C083CD4611E5943644E30080EF95049C.557">#REF!</definedName>
    <definedName name="MSTR.C083CD4611E5943644E30080EF95049C.558">#REF!</definedName>
    <definedName name="MSTR.C083CD4611E5943644E30080EF95049C.559">#REF!</definedName>
    <definedName name="MSTR.C083CD4611E5943644E30080EF95049C.56" localSheetId="17">#REF!</definedName>
    <definedName name="MSTR.C083CD4611E5943644E30080EF95049C.56">#REF!</definedName>
    <definedName name="MSTR.C083CD4611E5943644E30080EF95049C.560">#REF!</definedName>
    <definedName name="MSTR.C083CD4611E5943644E30080EF95049C.561">#REF!</definedName>
    <definedName name="MSTR.C083CD4611E5943644E30080EF95049C.562">#REF!</definedName>
    <definedName name="MSTR.C083CD4611E5943644E30080EF95049C.563">#REF!</definedName>
    <definedName name="MSTR.C083CD4611E5943644E30080EF95049C.564">#REF!</definedName>
    <definedName name="MSTR.C083CD4611E5943644E30080EF95049C.565">#REF!</definedName>
    <definedName name="MSTR.C083CD4611E5943644E30080EF95049C.566">#REF!</definedName>
    <definedName name="MSTR.C083CD4611E5943644E30080EF95049C.567">#REF!</definedName>
    <definedName name="MSTR.C083CD4611E5943644E30080EF95049C.568">#REF!</definedName>
    <definedName name="MSTR.C083CD4611E5943644E30080EF95049C.569">#REF!</definedName>
    <definedName name="MSTR.C083CD4611E5943644E30080EF95049C.57" localSheetId="17">#REF!</definedName>
    <definedName name="MSTR.C083CD4611E5943644E30080EF95049C.57">#REF!</definedName>
    <definedName name="MSTR.C083CD4611E5943644E30080EF95049C.570">#REF!</definedName>
    <definedName name="MSTR.C083CD4611E5943644E30080EF95049C.571">#REF!</definedName>
    <definedName name="MSTR.C083CD4611E5943644E30080EF95049C.572">#REF!</definedName>
    <definedName name="MSTR.C083CD4611E5943644E30080EF95049C.573">#REF!</definedName>
    <definedName name="MSTR.C083CD4611E5943644E30080EF95049C.574">#REF!</definedName>
    <definedName name="MSTR.C083CD4611E5943644E30080EF95049C.575">#REF!</definedName>
    <definedName name="MSTR.C083CD4611E5943644E30080EF95049C.576">#REF!</definedName>
    <definedName name="MSTR.C083CD4611E5943644E30080EF95049C.577">#REF!</definedName>
    <definedName name="MSTR.C083CD4611E5943644E30080EF95049C.578">#REF!</definedName>
    <definedName name="MSTR.C083CD4611E5943644E30080EF95049C.579">#REF!</definedName>
    <definedName name="MSTR.C083CD4611E5943644E30080EF95049C.58" localSheetId="17">#REF!</definedName>
    <definedName name="MSTR.C083CD4611E5943644E30080EF95049C.58">#REF!</definedName>
    <definedName name="MSTR.C083CD4611E5943644E30080EF95049C.580">#REF!</definedName>
    <definedName name="MSTR.C083CD4611E5943644E30080EF95049C.581">#REF!</definedName>
    <definedName name="MSTR.C083CD4611E5943644E30080EF95049C.582">#REF!</definedName>
    <definedName name="MSTR.C083CD4611E5943644E30080EF95049C.583">#REF!</definedName>
    <definedName name="MSTR.C083CD4611E5943644E30080EF95049C.584">#REF!</definedName>
    <definedName name="MSTR.C083CD4611E5943644E30080EF95049C.585">#REF!</definedName>
    <definedName name="MSTR.C083CD4611E5943644E30080EF95049C.586">#REF!</definedName>
    <definedName name="MSTR.C083CD4611E5943644E30080EF95049C.587">#REF!</definedName>
    <definedName name="MSTR.C083CD4611E5943644E30080EF95049C.588">#REF!</definedName>
    <definedName name="MSTR.C083CD4611E5943644E30080EF95049C.589">#REF!</definedName>
    <definedName name="MSTR.C083CD4611E5943644E30080EF95049C.59" localSheetId="17">#REF!</definedName>
    <definedName name="MSTR.C083CD4611E5943644E30080EF95049C.59">#REF!</definedName>
    <definedName name="MSTR.C083CD4611E5943644E30080EF95049C.590">#REF!</definedName>
    <definedName name="MSTR.C083CD4611E5943644E30080EF95049C.591">#REF!</definedName>
    <definedName name="MSTR.C083CD4611E5943644E30080EF95049C.592">#REF!</definedName>
    <definedName name="MSTR.C083CD4611E5943644E30080EF95049C.593">#REF!</definedName>
    <definedName name="MSTR.C083CD4611E5943644E30080EF95049C.594">#REF!</definedName>
    <definedName name="MSTR.C083CD4611E5943644E30080EF95049C.595">#REF!</definedName>
    <definedName name="MSTR.C083CD4611E5943644E30080EF95049C.596">#REF!</definedName>
    <definedName name="MSTR.C083CD4611E5943644E30080EF95049C.597">#REF!</definedName>
    <definedName name="MSTR.C083CD4611E5943644E30080EF95049C.598">#REF!</definedName>
    <definedName name="MSTR.C083CD4611E5943644E30080EF95049C.599">#REF!</definedName>
    <definedName name="MSTR.C083CD4611E5943644E30080EF95049C.6" localSheetId="17">#REF!</definedName>
    <definedName name="MSTR.C083CD4611E5943644E30080EF95049C.6">#REF!</definedName>
    <definedName name="MSTR.C083CD4611E5943644E30080EF95049C.60" localSheetId="17">#REF!</definedName>
    <definedName name="MSTR.C083CD4611E5943644E30080EF95049C.60">#REF!</definedName>
    <definedName name="MSTR.C083CD4611E5943644E30080EF95049C.600" localSheetId="17">#REF!</definedName>
    <definedName name="MSTR.C083CD4611E5943644E30080EF95049C.600">#REF!</definedName>
    <definedName name="MSTR.C083CD4611E5943644E30080EF95049C.601" localSheetId="17">#REF!</definedName>
    <definedName name="MSTR.C083CD4611E5943644E30080EF95049C.601">#REF!</definedName>
    <definedName name="MSTR.C083CD4611E5943644E30080EF95049C.602">#REF!</definedName>
    <definedName name="MSTR.C083CD4611E5943644E30080EF95049C.603">#REF!</definedName>
    <definedName name="MSTR.C083CD4611E5943644E30080EF95049C.604">#REF!</definedName>
    <definedName name="MSTR.C083CD4611E5943644E30080EF95049C.605">#REF!</definedName>
    <definedName name="MSTR.C083CD4611E5943644E30080EF95049C.606">#REF!</definedName>
    <definedName name="MSTR.C083CD4611E5943644E30080EF95049C.607">#REF!</definedName>
    <definedName name="MSTR.C083CD4611E5943644E30080EF95049C.608">#REF!</definedName>
    <definedName name="MSTR.C083CD4611E5943644E30080EF95049C.609">#REF!</definedName>
    <definedName name="MSTR.C083CD4611E5943644E30080EF95049C.61" localSheetId="17">#REF!</definedName>
    <definedName name="MSTR.C083CD4611E5943644E30080EF95049C.61">#REF!</definedName>
    <definedName name="MSTR.C083CD4611E5943644E30080EF95049C.610">#REF!</definedName>
    <definedName name="MSTR.C083CD4611E5943644E30080EF95049C.611">#REF!</definedName>
    <definedName name="MSTR.C083CD4611E5943644E30080EF95049C.612">#REF!</definedName>
    <definedName name="MSTR.C083CD4611E5943644E30080EF95049C.613">#REF!</definedName>
    <definedName name="MSTR.C083CD4611E5943644E30080EF95049C.614">#REF!</definedName>
    <definedName name="MSTR.C083CD4611E5943644E30080EF95049C.615">#REF!</definedName>
    <definedName name="MSTR.C083CD4611E5943644E30080EF95049C.616">#REF!</definedName>
    <definedName name="MSTR.C083CD4611E5943644E30080EF95049C.617">#REF!</definedName>
    <definedName name="MSTR.C083CD4611E5943644E30080EF95049C.618">#REF!</definedName>
    <definedName name="MSTR.C083CD4611E5943644E30080EF95049C.619">#REF!</definedName>
    <definedName name="MSTR.C083CD4611E5943644E30080EF95049C.62" localSheetId="17">#REF!</definedName>
    <definedName name="MSTR.C083CD4611E5943644E30080EF95049C.62">#REF!</definedName>
    <definedName name="MSTR.C083CD4611E5943644E30080EF95049C.620">#REF!</definedName>
    <definedName name="MSTR.C083CD4611E5943644E30080EF95049C.621">#REF!</definedName>
    <definedName name="MSTR.C083CD4611E5943644E30080EF95049C.622">#REF!</definedName>
    <definedName name="MSTR.C083CD4611E5943644E30080EF95049C.623">#REF!</definedName>
    <definedName name="MSTR.C083CD4611E5943644E30080EF95049C.624">#REF!</definedName>
    <definedName name="MSTR.C083CD4611E5943644E30080EF95049C.625">#REF!</definedName>
    <definedName name="MSTR.C083CD4611E5943644E30080EF95049C.626">#REF!</definedName>
    <definedName name="MSTR.C083CD4611E5943644E30080EF95049C.627">#REF!</definedName>
    <definedName name="MSTR.C083CD4611E5943644E30080EF95049C.628">#REF!</definedName>
    <definedName name="MSTR.C083CD4611E5943644E30080EF95049C.629">#REF!</definedName>
    <definedName name="MSTR.C083CD4611E5943644E30080EF95049C.63" localSheetId="17">#REF!</definedName>
    <definedName name="MSTR.C083CD4611E5943644E30080EF95049C.63">#REF!</definedName>
    <definedName name="MSTR.C083CD4611E5943644E30080EF95049C.630">#REF!</definedName>
    <definedName name="MSTR.C083CD4611E5943644E30080EF95049C.631">#REF!</definedName>
    <definedName name="MSTR.C083CD4611E5943644E30080EF95049C.632">#REF!</definedName>
    <definedName name="MSTR.C083CD4611E5943644E30080EF95049C.633">#REF!</definedName>
    <definedName name="MSTR.C083CD4611E5943644E30080EF95049C.634">#REF!</definedName>
    <definedName name="MSTR.C083CD4611E5943644E30080EF95049C.635">#REF!</definedName>
    <definedName name="MSTR.C083CD4611E5943644E30080EF95049C.636">#REF!</definedName>
    <definedName name="MSTR.C083CD4611E5943644E30080EF95049C.637">#REF!</definedName>
    <definedName name="MSTR.C083CD4611E5943644E30080EF95049C.638">#REF!</definedName>
    <definedName name="MSTR.C083CD4611E5943644E30080EF95049C.639">#REF!</definedName>
    <definedName name="MSTR.C083CD4611E5943644E30080EF95049C.64" localSheetId="17">#REF!</definedName>
    <definedName name="MSTR.C083CD4611E5943644E30080EF95049C.64">#REF!</definedName>
    <definedName name="MSTR.C083CD4611E5943644E30080EF95049C.640">#REF!</definedName>
    <definedName name="MSTR.C083CD4611E5943644E30080EF95049C.641">#REF!</definedName>
    <definedName name="MSTR.C083CD4611E5943644E30080EF95049C.642">#REF!</definedName>
    <definedName name="MSTR.C083CD4611E5943644E30080EF95049C.643">#REF!</definedName>
    <definedName name="MSTR.C083CD4611E5943644E30080EF95049C.644">#REF!</definedName>
    <definedName name="MSTR.C083CD4611E5943644E30080EF95049C.645">#REF!</definedName>
    <definedName name="MSTR.C083CD4611E5943644E30080EF95049C.646">#REF!</definedName>
    <definedName name="MSTR.C083CD4611E5943644E30080EF95049C.647">#REF!</definedName>
    <definedName name="MSTR.C083CD4611E5943644E30080EF95049C.648">#REF!</definedName>
    <definedName name="MSTR.C083CD4611E5943644E30080EF95049C.649">#REF!</definedName>
    <definedName name="MSTR.C083CD4611E5943644E30080EF95049C.65" localSheetId="17">#REF!</definedName>
    <definedName name="MSTR.C083CD4611E5943644E30080EF95049C.65">#REF!</definedName>
    <definedName name="MSTR.C083CD4611E5943644E30080EF95049C.650">#REF!</definedName>
    <definedName name="MSTR.C083CD4611E5943644E30080EF95049C.651">#REF!</definedName>
    <definedName name="MSTR.C083CD4611E5943644E30080EF95049C.652">#REF!</definedName>
    <definedName name="MSTR.C083CD4611E5943644E30080EF95049C.653">#REF!</definedName>
    <definedName name="MSTR.C083CD4611E5943644E30080EF95049C.654">#REF!</definedName>
    <definedName name="MSTR.C083CD4611E5943644E30080EF95049C.655">#REF!</definedName>
    <definedName name="MSTR.C083CD4611E5943644E30080EF95049C.656">#REF!</definedName>
    <definedName name="MSTR.C083CD4611E5943644E30080EF95049C.657">#REF!</definedName>
    <definedName name="MSTR.C083CD4611E5943644E30080EF95049C.658">#REF!</definedName>
    <definedName name="MSTR.C083CD4611E5943644E30080EF95049C.659">#REF!</definedName>
    <definedName name="MSTR.C083CD4611E5943644E30080EF95049C.66" localSheetId="17">#REF!</definedName>
    <definedName name="MSTR.C083CD4611E5943644E30080EF95049C.66">#REF!</definedName>
    <definedName name="MSTR.C083CD4611E5943644E30080EF95049C.660">#REF!</definedName>
    <definedName name="MSTR.C083CD4611E5943644E30080EF95049C.661">#REF!</definedName>
    <definedName name="MSTR.C083CD4611E5943644E30080EF95049C.662">#REF!</definedName>
    <definedName name="MSTR.C083CD4611E5943644E30080EF95049C.663">#REF!</definedName>
    <definedName name="MSTR.C083CD4611E5943644E30080EF95049C.664">#REF!</definedName>
    <definedName name="MSTR.C083CD4611E5943644E30080EF95049C.665">#REF!</definedName>
    <definedName name="MSTR.C083CD4611E5943644E30080EF95049C.666">#REF!</definedName>
    <definedName name="MSTR.C083CD4611E5943644E30080EF95049C.667">#REF!</definedName>
    <definedName name="MSTR.C083CD4611E5943644E30080EF95049C.668">#REF!</definedName>
    <definedName name="MSTR.C083CD4611E5943644E30080EF95049C.669">#REF!</definedName>
    <definedName name="MSTR.C083CD4611E5943644E30080EF95049C.67" localSheetId="17">#REF!</definedName>
    <definedName name="MSTR.C083CD4611E5943644E30080EF95049C.67">#REF!</definedName>
    <definedName name="MSTR.C083CD4611E5943644E30080EF95049C.670">#REF!</definedName>
    <definedName name="MSTR.C083CD4611E5943644E30080EF95049C.671">#REF!</definedName>
    <definedName name="MSTR.C083CD4611E5943644E30080EF95049C.672">#REF!</definedName>
    <definedName name="MSTR.C083CD4611E5943644E30080EF95049C.673">#REF!</definedName>
    <definedName name="MSTR.C083CD4611E5943644E30080EF95049C.674">#REF!</definedName>
    <definedName name="MSTR.C083CD4611E5943644E30080EF95049C.675">#REF!</definedName>
    <definedName name="MSTR.C083CD4611E5943644E30080EF95049C.676">#REF!</definedName>
    <definedName name="MSTR.C083CD4611E5943644E30080EF95049C.677">#REF!</definedName>
    <definedName name="MSTR.C083CD4611E5943644E30080EF95049C.678">#REF!</definedName>
    <definedName name="MSTR.C083CD4611E5943644E30080EF95049C.679">#REF!</definedName>
    <definedName name="MSTR.C083CD4611E5943644E30080EF95049C.68" localSheetId="17">#REF!</definedName>
    <definedName name="MSTR.C083CD4611E5943644E30080EF95049C.68">#REF!</definedName>
    <definedName name="MSTR.C083CD4611E5943644E30080EF95049C.680">#REF!</definedName>
    <definedName name="MSTR.C083CD4611E5943644E30080EF95049C.681">#REF!</definedName>
    <definedName name="MSTR.C083CD4611E5943644E30080EF95049C.682">#REF!</definedName>
    <definedName name="MSTR.C083CD4611E5943644E30080EF95049C.683">#REF!</definedName>
    <definedName name="MSTR.C083CD4611E5943644E30080EF95049C.684">#REF!</definedName>
    <definedName name="MSTR.C083CD4611E5943644E30080EF95049C.685">#REF!</definedName>
    <definedName name="MSTR.C083CD4611E5943644E30080EF95049C.686">#REF!</definedName>
    <definedName name="MSTR.C083CD4611E5943644E30080EF95049C.687">#REF!</definedName>
    <definedName name="MSTR.C083CD4611E5943644E30080EF95049C.688">#REF!</definedName>
    <definedName name="MSTR.C083CD4611E5943644E30080EF95049C.689">#REF!</definedName>
    <definedName name="MSTR.C083CD4611E5943644E30080EF95049C.69" localSheetId="17">#REF!</definedName>
    <definedName name="MSTR.C083CD4611E5943644E30080EF95049C.69">#REF!</definedName>
    <definedName name="MSTR.C083CD4611E5943644E30080EF95049C.690">#REF!</definedName>
    <definedName name="MSTR.C083CD4611E5943644E30080EF95049C.691">#REF!</definedName>
    <definedName name="MSTR.C083CD4611E5943644E30080EF95049C.692">#REF!</definedName>
    <definedName name="MSTR.C083CD4611E5943644E30080EF95049C.693">#REF!</definedName>
    <definedName name="MSTR.C083CD4611E5943644E30080EF95049C.694">#REF!</definedName>
    <definedName name="MSTR.C083CD4611E5943644E30080EF95049C.695">#REF!</definedName>
    <definedName name="MSTR.C083CD4611E5943644E30080EF95049C.696">#REF!</definedName>
    <definedName name="MSTR.C083CD4611E5943644E30080EF95049C.697">#REF!</definedName>
    <definedName name="MSTR.C083CD4611E5943644E30080EF95049C.698">#REF!</definedName>
    <definedName name="MSTR.C083CD4611E5943644E30080EF95049C.699">#REF!</definedName>
    <definedName name="MSTR.C083CD4611E5943644E30080EF95049C.7" localSheetId="17">#REF!</definedName>
    <definedName name="MSTR.C083CD4611E5943644E30080EF95049C.7">#REF!</definedName>
    <definedName name="MSTR.C083CD4611E5943644E30080EF95049C.70" localSheetId="17">#REF!</definedName>
    <definedName name="MSTR.C083CD4611E5943644E30080EF95049C.70">#REF!</definedName>
    <definedName name="MSTR.C083CD4611E5943644E30080EF95049C.700" localSheetId="17">#REF!</definedName>
    <definedName name="MSTR.C083CD4611E5943644E30080EF95049C.700">#REF!</definedName>
    <definedName name="MSTR.C083CD4611E5943644E30080EF95049C.701" localSheetId="17">#REF!</definedName>
    <definedName name="MSTR.C083CD4611E5943644E30080EF95049C.701">#REF!</definedName>
    <definedName name="MSTR.C083CD4611E5943644E30080EF95049C.702">#REF!</definedName>
    <definedName name="MSTR.C083CD4611E5943644E30080EF95049C.703">#REF!</definedName>
    <definedName name="MSTR.C083CD4611E5943644E30080EF95049C.704">#REF!</definedName>
    <definedName name="MSTR.C083CD4611E5943644E30080EF95049C.705">#REF!</definedName>
    <definedName name="MSTR.C083CD4611E5943644E30080EF95049C.706">#REF!</definedName>
    <definedName name="MSTR.C083CD4611E5943644E30080EF95049C.707">#REF!</definedName>
    <definedName name="MSTR.C083CD4611E5943644E30080EF95049C.708">#REF!</definedName>
    <definedName name="MSTR.C083CD4611E5943644E30080EF95049C.709">#REF!</definedName>
    <definedName name="MSTR.C083CD4611E5943644E30080EF95049C.71" localSheetId="17">#REF!</definedName>
    <definedName name="MSTR.C083CD4611E5943644E30080EF95049C.71">#REF!</definedName>
    <definedName name="MSTR.C083CD4611E5943644E30080EF95049C.710">#REF!</definedName>
    <definedName name="MSTR.C083CD4611E5943644E30080EF95049C.711">#REF!</definedName>
    <definedName name="MSTR.C083CD4611E5943644E30080EF95049C.712">#REF!</definedName>
    <definedName name="MSTR.C083CD4611E5943644E30080EF95049C.713">#REF!</definedName>
    <definedName name="MSTR.C083CD4611E5943644E30080EF95049C.714">#REF!</definedName>
    <definedName name="MSTR.C083CD4611E5943644E30080EF95049C.715">#REF!</definedName>
    <definedName name="MSTR.C083CD4611E5943644E30080EF95049C.716">#REF!</definedName>
    <definedName name="MSTR.C083CD4611E5943644E30080EF95049C.717">#REF!</definedName>
    <definedName name="MSTR.C083CD4611E5943644E30080EF95049C.718">#REF!</definedName>
    <definedName name="MSTR.C083CD4611E5943644E30080EF95049C.719">#REF!</definedName>
    <definedName name="MSTR.C083CD4611E5943644E30080EF95049C.72" localSheetId="17">#REF!</definedName>
    <definedName name="MSTR.C083CD4611E5943644E30080EF95049C.72">#REF!</definedName>
    <definedName name="MSTR.C083CD4611E5943644E30080EF95049C.720">#REF!</definedName>
    <definedName name="MSTR.C083CD4611E5943644E30080EF95049C.721">#REF!</definedName>
    <definedName name="MSTR.C083CD4611E5943644E30080EF95049C.722">#REF!</definedName>
    <definedName name="MSTR.C083CD4611E5943644E30080EF95049C.723">#REF!</definedName>
    <definedName name="MSTR.C083CD4611E5943644E30080EF95049C.724">#REF!</definedName>
    <definedName name="MSTR.C083CD4611E5943644E30080EF95049C.725">#REF!</definedName>
    <definedName name="MSTR.C083CD4611E5943644E30080EF95049C.726">#REF!</definedName>
    <definedName name="MSTR.C083CD4611E5943644E30080EF95049C.727">#REF!</definedName>
    <definedName name="MSTR.C083CD4611E5943644E30080EF95049C.728">#REF!</definedName>
    <definedName name="MSTR.C083CD4611E5943644E30080EF95049C.729">#REF!</definedName>
    <definedName name="MSTR.C083CD4611E5943644E30080EF95049C.73" localSheetId="17">#REF!</definedName>
    <definedName name="MSTR.C083CD4611E5943644E30080EF95049C.73">#REF!</definedName>
    <definedName name="MSTR.C083CD4611E5943644E30080EF95049C.730">#REF!</definedName>
    <definedName name="MSTR.C083CD4611E5943644E30080EF95049C.731">#REF!</definedName>
    <definedName name="MSTR.C083CD4611E5943644E30080EF95049C.732">#REF!</definedName>
    <definedName name="MSTR.C083CD4611E5943644E30080EF95049C.733">#REF!</definedName>
    <definedName name="MSTR.C083CD4611E5943644E30080EF95049C.734">#REF!</definedName>
    <definedName name="MSTR.C083CD4611E5943644E30080EF95049C.735">#REF!</definedName>
    <definedName name="MSTR.C083CD4611E5943644E30080EF95049C.736">#REF!</definedName>
    <definedName name="MSTR.C083CD4611E5943644E30080EF95049C.737">#REF!</definedName>
    <definedName name="MSTR.C083CD4611E5943644E30080EF95049C.738">#REF!</definedName>
    <definedName name="MSTR.C083CD4611E5943644E30080EF95049C.739">#REF!</definedName>
    <definedName name="MSTR.C083CD4611E5943644E30080EF95049C.74" localSheetId="17">#REF!</definedName>
    <definedName name="MSTR.C083CD4611E5943644E30080EF95049C.74">#REF!</definedName>
    <definedName name="MSTR.C083CD4611E5943644E30080EF95049C.740">#REF!</definedName>
    <definedName name="MSTR.C083CD4611E5943644E30080EF95049C.741">#REF!</definedName>
    <definedName name="MSTR.C083CD4611E5943644E30080EF95049C.742">#REF!</definedName>
    <definedName name="MSTR.C083CD4611E5943644E30080EF95049C.743">#REF!</definedName>
    <definedName name="MSTR.C083CD4611E5943644E30080EF95049C.744">#REF!</definedName>
    <definedName name="MSTR.C083CD4611E5943644E30080EF95049C.745">#REF!</definedName>
    <definedName name="MSTR.C083CD4611E5943644E30080EF95049C.746">#REF!</definedName>
    <definedName name="MSTR.C083CD4611E5943644E30080EF95049C.747">#REF!</definedName>
    <definedName name="MSTR.C083CD4611E5943644E30080EF95049C.748">#REF!</definedName>
    <definedName name="MSTR.C083CD4611E5943644E30080EF95049C.749">#REF!</definedName>
    <definedName name="MSTR.C083CD4611E5943644E30080EF95049C.75" localSheetId="17">#REF!</definedName>
    <definedName name="MSTR.C083CD4611E5943644E30080EF95049C.75">#REF!</definedName>
    <definedName name="MSTR.C083CD4611E5943644E30080EF95049C.750">#REF!</definedName>
    <definedName name="MSTR.C083CD4611E5943644E30080EF95049C.751">#REF!</definedName>
    <definedName name="MSTR.C083CD4611E5943644E30080EF95049C.752">#REF!</definedName>
    <definedName name="MSTR.C083CD4611E5943644E30080EF95049C.753">#REF!</definedName>
    <definedName name="MSTR.C083CD4611E5943644E30080EF95049C.754">#REF!</definedName>
    <definedName name="MSTR.C083CD4611E5943644E30080EF95049C.755">#REF!</definedName>
    <definedName name="MSTR.C083CD4611E5943644E30080EF95049C.756">#REF!</definedName>
    <definedName name="MSTR.C083CD4611E5943644E30080EF95049C.757">#REF!</definedName>
    <definedName name="MSTR.C083CD4611E5943644E30080EF95049C.758">#REF!</definedName>
    <definedName name="MSTR.C083CD4611E5943644E30080EF95049C.759">#REF!</definedName>
    <definedName name="MSTR.C083CD4611E5943644E30080EF95049C.76" localSheetId="17">#REF!</definedName>
    <definedName name="MSTR.C083CD4611E5943644E30080EF95049C.76">#REF!</definedName>
    <definedName name="MSTR.C083CD4611E5943644E30080EF95049C.760">#REF!</definedName>
    <definedName name="MSTR.C083CD4611E5943644E30080EF95049C.761">#REF!</definedName>
    <definedName name="MSTR.C083CD4611E5943644E30080EF95049C.762">#REF!</definedName>
    <definedName name="MSTR.C083CD4611E5943644E30080EF95049C.763">#REF!</definedName>
    <definedName name="MSTR.C083CD4611E5943644E30080EF95049C.764">#REF!</definedName>
    <definedName name="MSTR.C083CD4611E5943644E30080EF95049C.765">#REF!</definedName>
    <definedName name="MSTR.C083CD4611E5943644E30080EF95049C.766">#REF!</definedName>
    <definedName name="MSTR.C083CD4611E5943644E30080EF95049C.767">#REF!</definedName>
    <definedName name="MSTR.C083CD4611E5943644E30080EF95049C.768">#REF!</definedName>
    <definedName name="MSTR.C083CD4611E5943644E30080EF95049C.769">#REF!</definedName>
    <definedName name="MSTR.C083CD4611E5943644E30080EF95049C.77" localSheetId="17">#REF!</definedName>
    <definedName name="MSTR.C083CD4611E5943644E30080EF95049C.77">#REF!</definedName>
    <definedName name="MSTR.C083CD4611E5943644E30080EF95049C.770">#REF!</definedName>
    <definedName name="MSTR.C083CD4611E5943644E30080EF95049C.771">#REF!</definedName>
    <definedName name="MSTR.C083CD4611E5943644E30080EF95049C.772">#REF!</definedName>
    <definedName name="MSTR.C083CD4611E5943644E30080EF95049C.773">#REF!</definedName>
    <definedName name="MSTR.C083CD4611E5943644E30080EF95049C.774">#REF!</definedName>
    <definedName name="MSTR.C083CD4611E5943644E30080EF95049C.775">#REF!</definedName>
    <definedName name="MSTR.C083CD4611E5943644E30080EF95049C.776">#REF!</definedName>
    <definedName name="MSTR.C083CD4611E5943644E30080EF95049C.777">#REF!</definedName>
    <definedName name="MSTR.C083CD4611E5943644E30080EF95049C.778">#REF!</definedName>
    <definedName name="MSTR.C083CD4611E5943644E30080EF95049C.779">#REF!</definedName>
    <definedName name="MSTR.C083CD4611E5943644E30080EF95049C.78" localSheetId="17">#REF!</definedName>
    <definedName name="MSTR.C083CD4611E5943644E30080EF95049C.78">#REF!</definedName>
    <definedName name="MSTR.C083CD4611E5943644E30080EF95049C.780">#REF!</definedName>
    <definedName name="MSTR.C083CD4611E5943644E30080EF95049C.781">#REF!</definedName>
    <definedName name="MSTR.C083CD4611E5943644E30080EF95049C.782">#REF!</definedName>
    <definedName name="MSTR.C083CD4611E5943644E30080EF95049C.783">#REF!</definedName>
    <definedName name="MSTR.C083CD4611E5943644E30080EF95049C.784">#REF!</definedName>
    <definedName name="MSTR.C083CD4611E5943644E30080EF95049C.785">#REF!</definedName>
    <definedName name="MSTR.C083CD4611E5943644E30080EF95049C.786">#REF!</definedName>
    <definedName name="MSTR.C083CD4611E5943644E30080EF95049C.787">#REF!</definedName>
    <definedName name="MSTR.C083CD4611E5943644E30080EF95049C.788">#REF!</definedName>
    <definedName name="MSTR.C083CD4611E5943644E30080EF95049C.789">#REF!</definedName>
    <definedName name="MSTR.C083CD4611E5943644E30080EF95049C.79" localSheetId="17">#REF!</definedName>
    <definedName name="MSTR.C083CD4611E5943644E30080EF95049C.79">#REF!</definedName>
    <definedName name="MSTR.C083CD4611E5943644E30080EF95049C.790">#REF!</definedName>
    <definedName name="MSTR.C083CD4611E5943644E30080EF95049C.791">#REF!</definedName>
    <definedName name="MSTR.C083CD4611E5943644E30080EF95049C.792">#REF!</definedName>
    <definedName name="MSTR.C083CD4611E5943644E30080EF95049C.793">#REF!</definedName>
    <definedName name="MSTR.C083CD4611E5943644E30080EF95049C.794">#REF!</definedName>
    <definedName name="MSTR.C083CD4611E5943644E30080EF95049C.795">#REF!</definedName>
    <definedName name="MSTR.C083CD4611E5943644E30080EF95049C.796">#REF!</definedName>
    <definedName name="MSTR.C083CD4611E5943644E30080EF95049C.797">#REF!</definedName>
    <definedName name="MSTR.C083CD4611E5943644E30080EF95049C.798">#REF!</definedName>
    <definedName name="MSTR.C083CD4611E5943644E30080EF95049C.799">#REF!</definedName>
    <definedName name="MSTR.C083CD4611E5943644E30080EF95049C.8" localSheetId="17">#REF!</definedName>
    <definedName name="MSTR.C083CD4611E5943644E30080EF95049C.8">#REF!</definedName>
    <definedName name="MSTR.C083CD4611E5943644E30080EF95049C.80" localSheetId="17">#REF!</definedName>
    <definedName name="MSTR.C083CD4611E5943644E30080EF95049C.80">#REF!</definedName>
    <definedName name="MSTR.C083CD4611E5943644E30080EF95049C.800" localSheetId="17">#REF!</definedName>
    <definedName name="MSTR.C083CD4611E5943644E30080EF95049C.800">#REF!</definedName>
    <definedName name="MSTR.C083CD4611E5943644E30080EF95049C.801" localSheetId="17">#REF!</definedName>
    <definedName name="MSTR.C083CD4611E5943644E30080EF95049C.801">#REF!</definedName>
    <definedName name="MSTR.C083CD4611E5943644E30080EF95049C.802">#REF!</definedName>
    <definedName name="MSTR.C083CD4611E5943644E30080EF95049C.803">#REF!</definedName>
    <definedName name="MSTR.C083CD4611E5943644E30080EF95049C.804">#REF!</definedName>
    <definedName name="MSTR.C083CD4611E5943644E30080EF95049C.805">#REF!</definedName>
    <definedName name="MSTR.C083CD4611E5943644E30080EF95049C.806">#REF!</definedName>
    <definedName name="MSTR.C083CD4611E5943644E30080EF95049C.807">#REF!</definedName>
    <definedName name="MSTR.C083CD4611E5943644E30080EF95049C.808">#REF!</definedName>
    <definedName name="MSTR.C083CD4611E5943644E30080EF95049C.809">#REF!</definedName>
    <definedName name="MSTR.C083CD4611E5943644E30080EF95049C.81" localSheetId="17">#REF!</definedName>
    <definedName name="MSTR.C083CD4611E5943644E30080EF95049C.81">#REF!</definedName>
    <definedName name="MSTR.C083CD4611E5943644E30080EF95049C.810">#REF!</definedName>
    <definedName name="MSTR.C083CD4611E5943644E30080EF95049C.811">#REF!</definedName>
    <definedName name="MSTR.C083CD4611E5943644E30080EF95049C.812">#REF!</definedName>
    <definedName name="MSTR.C083CD4611E5943644E30080EF95049C.813">#REF!</definedName>
    <definedName name="MSTR.C083CD4611E5943644E30080EF95049C.814">#REF!</definedName>
    <definedName name="MSTR.C083CD4611E5943644E30080EF95049C.815">#REF!</definedName>
    <definedName name="MSTR.C083CD4611E5943644E30080EF95049C.816">#REF!</definedName>
    <definedName name="MSTR.C083CD4611E5943644E30080EF95049C.817">#REF!</definedName>
    <definedName name="MSTR.C083CD4611E5943644E30080EF95049C.818">#REF!</definedName>
    <definedName name="MSTR.C083CD4611E5943644E30080EF95049C.819">#REF!</definedName>
    <definedName name="MSTR.C083CD4611E5943644E30080EF95049C.82" localSheetId="17">#REF!</definedName>
    <definedName name="MSTR.C083CD4611E5943644E30080EF95049C.82">#REF!</definedName>
    <definedName name="MSTR.C083CD4611E5943644E30080EF95049C.820">#REF!</definedName>
    <definedName name="MSTR.C083CD4611E5943644E30080EF95049C.821">#REF!</definedName>
    <definedName name="MSTR.C083CD4611E5943644E30080EF95049C.822">#REF!</definedName>
    <definedName name="MSTR.C083CD4611E5943644E30080EF95049C.823">#REF!</definedName>
    <definedName name="MSTR.C083CD4611E5943644E30080EF95049C.824">#REF!</definedName>
    <definedName name="MSTR.C083CD4611E5943644E30080EF95049C.825">#REF!</definedName>
    <definedName name="MSTR.C083CD4611E5943644E30080EF95049C.826">#REF!</definedName>
    <definedName name="MSTR.C083CD4611E5943644E30080EF95049C.827">#REF!</definedName>
    <definedName name="MSTR.C083CD4611E5943644E30080EF95049C.828">#REF!</definedName>
    <definedName name="MSTR.C083CD4611E5943644E30080EF95049C.829">#REF!</definedName>
    <definedName name="MSTR.C083CD4611E5943644E30080EF95049C.83" localSheetId="17">#REF!</definedName>
    <definedName name="MSTR.C083CD4611E5943644E30080EF95049C.83">#REF!</definedName>
    <definedName name="MSTR.C083CD4611E5943644E30080EF95049C.830">#REF!</definedName>
    <definedName name="MSTR.C083CD4611E5943644E30080EF95049C.831">#REF!</definedName>
    <definedName name="MSTR.C083CD4611E5943644E30080EF95049C.832">#REF!</definedName>
    <definedName name="MSTR.C083CD4611E5943644E30080EF95049C.833">#REF!</definedName>
    <definedName name="MSTR.C083CD4611E5943644E30080EF95049C.834">#REF!</definedName>
    <definedName name="MSTR.C083CD4611E5943644E30080EF95049C.835">#REF!</definedName>
    <definedName name="MSTR.C083CD4611E5943644E30080EF95049C.836">#REF!</definedName>
    <definedName name="MSTR.C083CD4611E5943644E30080EF95049C.837">#REF!</definedName>
    <definedName name="MSTR.C083CD4611E5943644E30080EF95049C.838">#REF!</definedName>
    <definedName name="MSTR.C083CD4611E5943644E30080EF95049C.839">#REF!</definedName>
    <definedName name="MSTR.C083CD4611E5943644E30080EF95049C.84" localSheetId="17">#REF!</definedName>
    <definedName name="MSTR.C083CD4611E5943644E30080EF95049C.84">#REF!</definedName>
    <definedName name="MSTR.C083CD4611E5943644E30080EF95049C.840">#REF!</definedName>
    <definedName name="MSTR.C083CD4611E5943644E30080EF95049C.841">#REF!</definedName>
    <definedName name="MSTR.C083CD4611E5943644E30080EF95049C.842">#REF!</definedName>
    <definedName name="MSTR.C083CD4611E5943644E30080EF95049C.843">#REF!</definedName>
    <definedName name="MSTR.C083CD4611E5943644E30080EF95049C.844">#REF!</definedName>
    <definedName name="MSTR.C083CD4611E5943644E30080EF95049C.845">#REF!</definedName>
    <definedName name="MSTR.C083CD4611E5943644E30080EF95049C.846">#REF!</definedName>
    <definedName name="MSTR.C083CD4611E5943644E30080EF95049C.847">#REF!</definedName>
    <definedName name="MSTR.C083CD4611E5943644E30080EF95049C.848">#REF!</definedName>
    <definedName name="MSTR.C083CD4611E5943644E30080EF95049C.849">#REF!</definedName>
    <definedName name="MSTR.C083CD4611E5943644E30080EF95049C.85" localSheetId="17">#REF!</definedName>
    <definedName name="MSTR.C083CD4611E5943644E30080EF95049C.85">#REF!</definedName>
    <definedName name="MSTR.C083CD4611E5943644E30080EF95049C.850">#REF!</definedName>
    <definedName name="MSTR.C083CD4611E5943644E30080EF95049C.851">#REF!</definedName>
    <definedName name="MSTR.C083CD4611E5943644E30080EF95049C.852">#REF!</definedName>
    <definedName name="MSTR.C083CD4611E5943644E30080EF95049C.853">#REF!</definedName>
    <definedName name="MSTR.C083CD4611E5943644E30080EF95049C.854">#REF!</definedName>
    <definedName name="MSTR.C083CD4611E5943644E30080EF95049C.855">#REF!</definedName>
    <definedName name="MSTR.C083CD4611E5943644E30080EF95049C.856">#REF!</definedName>
    <definedName name="MSTR.C083CD4611E5943644E30080EF95049C.857">#REF!</definedName>
    <definedName name="MSTR.C083CD4611E5943644E30080EF95049C.858">#REF!</definedName>
    <definedName name="MSTR.C083CD4611E5943644E30080EF95049C.859">#REF!</definedName>
    <definedName name="MSTR.C083CD4611E5943644E30080EF95049C.86" localSheetId="17">#REF!</definedName>
    <definedName name="MSTR.C083CD4611E5943644E30080EF95049C.86">#REF!</definedName>
    <definedName name="MSTR.C083CD4611E5943644E30080EF95049C.860">#REF!</definedName>
    <definedName name="MSTR.C083CD4611E5943644E30080EF95049C.861">#REF!</definedName>
    <definedName name="MSTR.C083CD4611E5943644E30080EF95049C.862">#REF!</definedName>
    <definedName name="MSTR.C083CD4611E5943644E30080EF95049C.863">#REF!</definedName>
    <definedName name="MSTR.C083CD4611E5943644E30080EF95049C.864">#REF!</definedName>
    <definedName name="MSTR.C083CD4611E5943644E30080EF95049C.865">#REF!</definedName>
    <definedName name="MSTR.C083CD4611E5943644E30080EF95049C.866">#REF!</definedName>
    <definedName name="MSTR.C083CD4611E5943644E30080EF95049C.867">#REF!</definedName>
    <definedName name="MSTR.C083CD4611E5943644E30080EF95049C.868">#REF!</definedName>
    <definedName name="MSTR.C083CD4611E5943644E30080EF95049C.869">#REF!</definedName>
    <definedName name="MSTR.C083CD4611E5943644E30080EF95049C.87" localSheetId="17">#REF!</definedName>
    <definedName name="MSTR.C083CD4611E5943644E30080EF95049C.87">#REF!</definedName>
    <definedName name="MSTR.C083CD4611E5943644E30080EF95049C.870">#REF!</definedName>
    <definedName name="MSTR.C083CD4611E5943644E30080EF95049C.871">#REF!</definedName>
    <definedName name="MSTR.C083CD4611E5943644E30080EF95049C.872">#REF!</definedName>
    <definedName name="MSTR.C083CD4611E5943644E30080EF95049C.873">#REF!</definedName>
    <definedName name="MSTR.C083CD4611E5943644E30080EF95049C.874">#REF!</definedName>
    <definedName name="MSTR.C083CD4611E5943644E30080EF95049C.875">#REF!</definedName>
    <definedName name="MSTR.C083CD4611E5943644E30080EF95049C.876">#REF!</definedName>
    <definedName name="MSTR.C083CD4611E5943644E30080EF95049C.877">#REF!</definedName>
    <definedName name="MSTR.C083CD4611E5943644E30080EF95049C.878">#REF!</definedName>
    <definedName name="MSTR.C083CD4611E5943644E30080EF95049C.879">#REF!</definedName>
    <definedName name="MSTR.C083CD4611E5943644E30080EF95049C.88" localSheetId="17">#REF!</definedName>
    <definedName name="MSTR.C083CD4611E5943644E30080EF95049C.88">#REF!</definedName>
    <definedName name="MSTR.C083CD4611E5943644E30080EF95049C.880">#REF!</definedName>
    <definedName name="MSTR.C083CD4611E5943644E30080EF95049C.881">#REF!</definedName>
    <definedName name="MSTR.C083CD4611E5943644E30080EF95049C.882">#REF!</definedName>
    <definedName name="MSTR.C083CD4611E5943644E30080EF95049C.89" localSheetId="17">#REF!</definedName>
    <definedName name="MSTR.C083CD4611E5943644E30080EF95049C.89">#REF!</definedName>
    <definedName name="MSTR.C083CD4611E5943644E30080EF95049C.9" localSheetId="17">#REF!</definedName>
    <definedName name="MSTR.C083CD4611E5943644E30080EF95049C.9">#REF!</definedName>
    <definedName name="MSTR.C083CD4611E5943644E30080EF95049C.90" localSheetId="17">#REF!</definedName>
    <definedName name="MSTR.C083CD4611E5943644E30080EF95049C.90">#REF!</definedName>
    <definedName name="MSTR.C083CD4611E5943644E30080EF95049C.91">#REF!</definedName>
    <definedName name="MSTR.C083CD4611E5943644E30080EF95049C.92">#REF!</definedName>
    <definedName name="MSTR.C083CD4611E5943644E30080EF95049C.93">#REF!</definedName>
    <definedName name="MSTR.C083CD4611E5943644E30080EF95049C.94">#REF!</definedName>
    <definedName name="MSTR.C083CD4611E5943644E30080EF95049C.95">#REF!</definedName>
    <definedName name="MSTR.C083CD4611E5943644E30080EF95049C.96">#REF!</definedName>
    <definedName name="MSTR.C083CD4611E5943644E30080EF95049C.97">#REF!</definedName>
    <definedName name="MSTR.C083CD4611E5943644E30080EF95049C.98">#REF!</definedName>
    <definedName name="MSTR.C083CD4611E5943644E30080EF95049C.99">#REF!</definedName>
    <definedName name="MSTR.C1CFC84546675BC59DC2B4A21CC6C078" localSheetId="17">#REF!</definedName>
    <definedName name="MSTR.C1CFC84546675BC59DC2B4A21CC6C078">#REF!</definedName>
    <definedName name="MSTR.C1CFC84546675BC59DC2B4A21CC6C078.1" localSheetId="17">#REF!</definedName>
    <definedName name="MSTR.C1CFC84546675BC59DC2B4A21CC6C078.1">#REF!</definedName>
    <definedName name="MSTR.C1CFC84546675BC59DC2B4A21CC6C078.10" localSheetId="17">#REF!</definedName>
    <definedName name="MSTR.C1CFC84546675BC59DC2B4A21CC6C078.10">#REF!</definedName>
    <definedName name="MSTR.C1CFC84546675BC59DC2B4A21CC6C078.11" localSheetId="17">#REF!</definedName>
    <definedName name="MSTR.C1CFC84546675BC59DC2B4A21CC6C078.11">#REF!</definedName>
    <definedName name="MSTR.C1CFC84546675BC59DC2B4A21CC6C078.12">#REF!</definedName>
    <definedName name="MSTR.C1CFC84546675BC59DC2B4A21CC6C078.13">#REF!</definedName>
    <definedName name="MSTR.C1CFC84546675BC59DC2B4A21CC6C078.14">#REF!</definedName>
    <definedName name="MSTR.C1CFC84546675BC59DC2B4A21CC6C078.15">#REF!</definedName>
    <definedName name="MSTR.C1CFC84546675BC59DC2B4A21CC6C078.16">#REF!</definedName>
    <definedName name="MSTR.C1CFC84546675BC59DC2B4A21CC6C078.17">#REF!</definedName>
    <definedName name="MSTR.C1CFC84546675BC59DC2B4A21CC6C078.18">#REF!</definedName>
    <definedName name="MSTR.C1CFC84546675BC59DC2B4A21CC6C078.19">#REF!</definedName>
    <definedName name="MSTR.C1CFC84546675BC59DC2B4A21CC6C078.2">#REF!</definedName>
    <definedName name="MSTR.C1CFC84546675BC59DC2B4A21CC6C078.3">#REF!</definedName>
    <definedName name="MSTR.C1CFC84546675BC59DC2B4A21CC6C078.4">#REF!</definedName>
    <definedName name="MSTR.C1CFC84546675BC59DC2B4A21CC6C078.5">#REF!</definedName>
    <definedName name="MSTR.C1CFC84546675BC59DC2B4A21CC6C078.6">#REF!</definedName>
    <definedName name="MSTR.C1CFC84546675BC59DC2B4A21CC6C078.7">#REF!</definedName>
    <definedName name="MSTR.C1CFC84546675BC59DC2B4A21CC6C078.8">#REF!</definedName>
    <definedName name="MSTR.C1CFC84546675BC59DC2B4A21CC6C078.9">#REF!</definedName>
    <definedName name="MSTR.C7706BAE425F6CD1D4E9CDBFA0AEA356">#REF!</definedName>
    <definedName name="MSTR.C7706BAE425F6CD1D4E9CDBFA0AEA356.1">#REF!</definedName>
    <definedName name="MSTR.C7706BAE425F6CD1D4E9CDBFA0AEA356.10">#REF!</definedName>
    <definedName name="MSTR.C7706BAE425F6CD1D4E9CDBFA0AEA356.11">#REF!</definedName>
    <definedName name="MSTR.C7706BAE425F6CD1D4E9CDBFA0AEA356.12">#REF!</definedName>
    <definedName name="MSTR.C7706BAE425F6CD1D4E9CDBFA0AEA356.13">#REF!</definedName>
    <definedName name="MSTR.C7706BAE425F6CD1D4E9CDBFA0AEA356.14">#REF!</definedName>
    <definedName name="MSTR.C7706BAE425F6CD1D4E9CDBFA0AEA356.15">#REF!</definedName>
    <definedName name="MSTR.C7706BAE425F6CD1D4E9CDBFA0AEA356.16">#REF!</definedName>
    <definedName name="MSTR.C7706BAE425F6CD1D4E9CDBFA0AEA356.17">#REF!</definedName>
    <definedName name="MSTR.C7706BAE425F6CD1D4E9CDBFA0AEA356.18">#REF!</definedName>
    <definedName name="MSTR.C7706BAE425F6CD1D4E9CDBFA0AEA356.19">#REF!</definedName>
    <definedName name="MSTR.C7706BAE425F6CD1D4E9CDBFA0AEA356.2">#REF!</definedName>
    <definedName name="MSTR.C7706BAE425F6CD1D4E9CDBFA0AEA356.20">#REF!</definedName>
    <definedName name="MSTR.C7706BAE425F6CD1D4E9CDBFA0AEA356.21">#REF!</definedName>
    <definedName name="MSTR.C7706BAE425F6CD1D4E9CDBFA0AEA356.22">#REF!</definedName>
    <definedName name="MSTR.C7706BAE425F6CD1D4E9CDBFA0AEA356.23">#REF!</definedName>
    <definedName name="MSTR.C7706BAE425F6CD1D4E9CDBFA0AEA356.24">#REF!</definedName>
    <definedName name="MSTR.C7706BAE425F6CD1D4E9CDBFA0AEA356.25">#REF!</definedName>
    <definedName name="MSTR.C7706BAE425F6CD1D4E9CDBFA0AEA356.26">#REF!</definedName>
    <definedName name="MSTR.C7706BAE425F6CD1D4E9CDBFA0AEA356.27">#REF!</definedName>
    <definedName name="MSTR.C7706BAE425F6CD1D4E9CDBFA0AEA356.28">#REF!</definedName>
    <definedName name="MSTR.C7706BAE425F6CD1D4E9CDBFA0AEA356.29">#REF!</definedName>
    <definedName name="MSTR.C7706BAE425F6CD1D4E9CDBFA0AEA356.3">#REF!</definedName>
    <definedName name="MSTR.C7706BAE425F6CD1D4E9CDBFA0AEA356.30">#REF!</definedName>
    <definedName name="MSTR.C7706BAE425F6CD1D4E9CDBFA0AEA356.31">#REF!</definedName>
    <definedName name="MSTR.C7706BAE425F6CD1D4E9CDBFA0AEA356.32">#REF!</definedName>
    <definedName name="MSTR.C7706BAE425F6CD1D4E9CDBFA0AEA356.33">#REF!</definedName>
    <definedName name="MSTR.C7706BAE425F6CD1D4E9CDBFA0AEA356.34">#REF!</definedName>
    <definedName name="MSTR.C7706BAE425F6CD1D4E9CDBFA0AEA356.35">#REF!</definedName>
    <definedName name="MSTR.C7706BAE425F6CD1D4E9CDBFA0AEA356.36">#REF!</definedName>
    <definedName name="MSTR.C7706BAE425F6CD1D4E9CDBFA0AEA356.37">#REF!</definedName>
    <definedName name="MSTR.C7706BAE425F6CD1D4E9CDBFA0AEA356.38">#REF!</definedName>
    <definedName name="MSTR.C7706BAE425F6CD1D4E9CDBFA0AEA356.39">#REF!</definedName>
    <definedName name="MSTR.C7706BAE425F6CD1D4E9CDBFA0AEA356.4">#REF!</definedName>
    <definedName name="MSTR.C7706BAE425F6CD1D4E9CDBFA0AEA356.40">#REF!</definedName>
    <definedName name="MSTR.C7706BAE425F6CD1D4E9CDBFA0AEA356.41">#REF!</definedName>
    <definedName name="MSTR.C7706BAE425F6CD1D4E9CDBFA0AEA356.42">#REF!</definedName>
    <definedName name="MSTR.C7706BAE425F6CD1D4E9CDBFA0AEA356.43">#REF!</definedName>
    <definedName name="MSTR.C7706BAE425F6CD1D4E9CDBFA0AEA356.44">#REF!</definedName>
    <definedName name="MSTR.C7706BAE425F6CD1D4E9CDBFA0AEA356.45">#REF!</definedName>
    <definedName name="MSTR.C7706BAE425F6CD1D4E9CDBFA0AEA356.46">#REF!</definedName>
    <definedName name="MSTR.C7706BAE425F6CD1D4E9CDBFA0AEA356.47">#REF!</definedName>
    <definedName name="MSTR.C7706BAE425F6CD1D4E9CDBFA0AEA356.48">#REF!</definedName>
    <definedName name="MSTR.C7706BAE425F6CD1D4E9CDBFA0AEA356.49">#REF!</definedName>
    <definedName name="MSTR.C7706BAE425F6CD1D4E9CDBFA0AEA356.5">#REF!</definedName>
    <definedName name="MSTR.C7706BAE425F6CD1D4E9CDBFA0AEA356.50">#REF!</definedName>
    <definedName name="MSTR.C7706BAE425F6CD1D4E9CDBFA0AEA356.51">#REF!</definedName>
    <definedName name="MSTR.C7706BAE425F6CD1D4E9CDBFA0AEA356.52">#REF!</definedName>
    <definedName name="MSTR.C7706BAE425F6CD1D4E9CDBFA0AEA356.53">#REF!</definedName>
    <definedName name="MSTR.C7706BAE425F6CD1D4E9CDBFA0AEA356.54">#REF!</definedName>
    <definedName name="MSTR.C7706BAE425F6CD1D4E9CDBFA0AEA356.55">#REF!</definedName>
    <definedName name="MSTR.C7706BAE425F6CD1D4E9CDBFA0AEA356.56">#REF!</definedName>
    <definedName name="MSTR.C7706BAE425F6CD1D4E9CDBFA0AEA356.57">#REF!</definedName>
    <definedName name="MSTR.C7706BAE425F6CD1D4E9CDBFA0AEA356.58">#REF!</definedName>
    <definedName name="MSTR.C7706BAE425F6CD1D4E9CDBFA0AEA356.59">#REF!</definedName>
    <definedName name="MSTR.C7706BAE425F6CD1D4E9CDBFA0AEA356.6">#REF!</definedName>
    <definedName name="MSTR.C7706BAE425F6CD1D4E9CDBFA0AEA356.60">#REF!</definedName>
    <definedName name="MSTR.C7706BAE425F6CD1D4E9CDBFA0AEA356.61">#REF!</definedName>
    <definedName name="MSTR.C7706BAE425F6CD1D4E9CDBFA0AEA356.62">#REF!</definedName>
    <definedName name="MSTR.C7706BAE425F6CD1D4E9CDBFA0AEA356.63">#REF!</definedName>
    <definedName name="MSTR.C7706BAE425F6CD1D4E9CDBFA0AEA356.64">#REF!</definedName>
    <definedName name="MSTR.C7706BAE425F6CD1D4E9CDBFA0AEA356.65">#REF!</definedName>
    <definedName name="MSTR.C7706BAE425F6CD1D4E9CDBFA0AEA356.66">#REF!</definedName>
    <definedName name="MSTR.C7706BAE425F6CD1D4E9CDBFA0AEA356.67">#REF!</definedName>
    <definedName name="MSTR.C7706BAE425F6CD1D4E9CDBFA0AEA356.68">#REF!</definedName>
    <definedName name="MSTR.C7706BAE425F6CD1D4E9CDBFA0AEA356.69">#REF!</definedName>
    <definedName name="MSTR.C7706BAE425F6CD1D4E9CDBFA0AEA356.7">#REF!</definedName>
    <definedName name="MSTR.C7706BAE425F6CD1D4E9CDBFA0AEA356.70">#REF!</definedName>
    <definedName name="MSTR.C7706BAE425F6CD1D4E9CDBFA0AEA356.71">#REF!</definedName>
    <definedName name="MSTR.C7706BAE425F6CD1D4E9CDBFA0AEA356.72">#REF!</definedName>
    <definedName name="MSTR.C7706BAE425F6CD1D4E9CDBFA0AEA356.73">#REF!</definedName>
    <definedName name="MSTR.C7706BAE425F6CD1D4E9CDBFA0AEA356.74">#REF!</definedName>
    <definedName name="MSTR.C7706BAE425F6CD1D4E9CDBFA0AEA356.75">#REF!</definedName>
    <definedName name="MSTR.C7706BAE425F6CD1D4E9CDBFA0AEA356.76">#REF!</definedName>
    <definedName name="MSTR.C7706BAE425F6CD1D4E9CDBFA0AEA356.77">#REF!</definedName>
    <definedName name="MSTR.C7706BAE425F6CD1D4E9CDBFA0AEA356.78">#REF!</definedName>
    <definedName name="MSTR.C7706BAE425F6CD1D4E9CDBFA0AEA356.79">#REF!</definedName>
    <definedName name="MSTR.C7706BAE425F6CD1D4E9CDBFA0AEA356.8">#REF!</definedName>
    <definedName name="MSTR.C7706BAE425F6CD1D4E9CDBFA0AEA356.80">#REF!</definedName>
    <definedName name="MSTR.C7706BAE425F6CD1D4E9CDBFA0AEA356.81">#REF!</definedName>
    <definedName name="MSTR.C7706BAE425F6CD1D4E9CDBFA0AEA356.82">#REF!</definedName>
    <definedName name="MSTR.C7706BAE425F6CD1D4E9CDBFA0AEA356.83">#REF!</definedName>
    <definedName name="MSTR.C7706BAE425F6CD1D4E9CDBFA0AEA356.84">#REF!</definedName>
    <definedName name="MSTR.C7706BAE425F6CD1D4E9CDBFA0AEA356.85">#REF!</definedName>
    <definedName name="MSTR.C7706BAE425F6CD1D4E9CDBFA0AEA356.86">#REF!</definedName>
    <definedName name="MSTR.C7706BAE425F6CD1D4E9CDBFA0AEA356.87">#REF!</definedName>
    <definedName name="MSTR.C7706BAE425F6CD1D4E9CDBFA0AEA356.88">#REF!</definedName>
    <definedName name="MSTR.C7706BAE425F6CD1D4E9CDBFA0AEA356.89">#REF!</definedName>
    <definedName name="MSTR.C7706BAE425F6CD1D4E9CDBFA0AEA356.9">#REF!</definedName>
    <definedName name="MSTR.C7706BAE425F6CD1D4E9CDBFA0AEA356.90">#REF!</definedName>
    <definedName name="MSTR.C7706BAE425F6CD1D4E9CDBFA0AEA356.91">#REF!</definedName>
    <definedName name="MSTR.C7706BAE425F6CD1D4E9CDBFA0AEA356.92">#REF!</definedName>
    <definedName name="MSTR.C7706BAE425F6CD1D4E9CDBFA0AEA356.93">#REF!</definedName>
    <definedName name="MSTR.Capacidad_del_enlace__Diario_Simple_" localSheetId="17">#REF!</definedName>
    <definedName name="MSTR.Capacidad_del_enlace__Diario_Simple_">#REF!</definedName>
    <definedName name="MSTR.Capacidad_del_enlace__Diario_Simple_1" localSheetId="17">#REF!</definedName>
    <definedName name="MSTR.Capacidad_del_enlace__Diario_Simple_1">#REF!</definedName>
    <definedName name="MSTR.CE5C3FC74516634D17B86D8979C778E8" localSheetId="17">#REF!</definedName>
    <definedName name="MSTR.CE5C3FC74516634D17B86D8979C778E8">#REF!</definedName>
    <definedName name="MSTR.CE5C3FC74516634D17B86D8979C778E8.1" localSheetId="17">#REF!</definedName>
    <definedName name="MSTR.CE5C3FC74516634D17B86D8979C778E8.1">#REF!</definedName>
    <definedName name="MSTR.CE5C3FC74516634D17B86D8979C778E8.10">#REF!</definedName>
    <definedName name="MSTR.CE5C3FC74516634D17B86D8979C778E8.11">#REF!</definedName>
    <definedName name="MSTR.CE5C3FC74516634D17B86D8979C778E8.12">#REF!</definedName>
    <definedName name="MSTR.CE5C3FC74516634D17B86D8979C778E8.13">#REF!</definedName>
    <definedName name="MSTR.CE5C3FC74516634D17B86D8979C778E8.14">#REF!</definedName>
    <definedName name="MSTR.CE5C3FC74516634D17B86D8979C778E8.15">#REF!</definedName>
    <definedName name="MSTR.CE5C3FC74516634D17B86D8979C778E8.16">#REF!</definedName>
    <definedName name="MSTR.CE5C3FC74516634D17B86D8979C778E8.17">#REF!</definedName>
    <definedName name="MSTR.CE5C3FC74516634D17B86D8979C778E8.18">#REF!</definedName>
    <definedName name="MSTR.CE5C3FC74516634D17B86D8979C778E8.19">#REF!</definedName>
    <definedName name="MSTR.CE5C3FC74516634D17B86D8979C778E8.2">#REF!</definedName>
    <definedName name="MSTR.CE5C3FC74516634D17B86D8979C778E8.20">#REF!</definedName>
    <definedName name="MSTR.CE5C3FC74516634D17B86D8979C778E8.21">#REF!</definedName>
    <definedName name="MSTR.CE5C3FC74516634D17B86D8979C778E8.22">#REF!</definedName>
    <definedName name="MSTR.CE5C3FC74516634D17B86D8979C778E8.23">#REF!</definedName>
    <definedName name="MSTR.CE5C3FC74516634D17B86D8979C778E8.24">#REF!</definedName>
    <definedName name="MSTR.CE5C3FC74516634D17B86D8979C778E8.25">#REF!</definedName>
    <definedName name="MSTR.CE5C3FC74516634D17B86D8979C778E8.26">#REF!</definedName>
    <definedName name="MSTR.CE5C3FC74516634D17B86D8979C778E8.27">#REF!</definedName>
    <definedName name="MSTR.CE5C3FC74516634D17B86D8979C778E8.28">#REF!</definedName>
    <definedName name="MSTR.CE5C3FC74516634D17B86D8979C778E8.29">#REF!</definedName>
    <definedName name="MSTR.CE5C3FC74516634D17B86D8979C778E8.3">#REF!</definedName>
    <definedName name="MSTR.CE5C3FC74516634D17B86D8979C778E8.30">#REF!</definedName>
    <definedName name="MSTR.CE5C3FC74516634D17B86D8979C778E8.31">#REF!</definedName>
    <definedName name="MSTR.CE5C3FC74516634D17B86D8979C778E8.32">#REF!</definedName>
    <definedName name="MSTR.CE5C3FC74516634D17B86D8979C778E8.33">#REF!</definedName>
    <definedName name="MSTR.CE5C3FC74516634D17B86D8979C778E8.34">#REF!</definedName>
    <definedName name="MSTR.CE5C3FC74516634D17B86D8979C778E8.35">#REF!</definedName>
    <definedName name="MSTR.CE5C3FC74516634D17B86D8979C778E8.36">#REF!</definedName>
    <definedName name="MSTR.CE5C3FC74516634D17B86D8979C778E8.37">#REF!</definedName>
    <definedName name="MSTR.CE5C3FC74516634D17B86D8979C778E8.38">#REF!</definedName>
    <definedName name="MSTR.CE5C3FC74516634D17B86D8979C778E8.39">#REF!</definedName>
    <definedName name="MSTR.CE5C3FC74516634D17B86D8979C778E8.4">#REF!</definedName>
    <definedName name="MSTR.CE5C3FC74516634D17B86D8979C778E8.40">#REF!</definedName>
    <definedName name="MSTR.CE5C3FC74516634D17B86D8979C778E8.41">#REF!</definedName>
    <definedName name="MSTR.CE5C3FC74516634D17B86D8979C778E8.42">#REF!</definedName>
    <definedName name="MSTR.CE5C3FC74516634D17B86D8979C778E8.43">#REF!</definedName>
    <definedName name="MSTR.CE5C3FC74516634D17B86D8979C778E8.44">#REF!</definedName>
    <definedName name="MSTR.CE5C3FC74516634D17B86D8979C778E8.45">#REF!</definedName>
    <definedName name="MSTR.CE5C3FC74516634D17B86D8979C778E8.46">#REF!</definedName>
    <definedName name="MSTR.CE5C3FC74516634D17B86D8979C778E8.47">#REF!</definedName>
    <definedName name="MSTR.CE5C3FC74516634D17B86D8979C778E8.48">#REF!</definedName>
    <definedName name="MSTR.CE5C3FC74516634D17B86D8979C778E8.49">#REF!</definedName>
    <definedName name="MSTR.CE5C3FC74516634D17B86D8979C778E8.5">#REF!</definedName>
    <definedName name="MSTR.CE5C3FC74516634D17B86D8979C778E8.50">#REF!</definedName>
    <definedName name="MSTR.CE5C3FC74516634D17B86D8979C778E8.6">#REF!</definedName>
    <definedName name="MSTR.CE5C3FC74516634D17B86D8979C778E8.7">#REF!</definedName>
    <definedName name="MSTR.CE5C3FC74516634D17B86D8979C778E8.8">#REF!</definedName>
    <definedName name="MSTR.CE5C3FC74516634D17B86D8979C778E8.9">#REF!</definedName>
    <definedName name="MSTR.Composición_de_la_Demanda__Diario_acumulado_" localSheetId="17">#REF!</definedName>
    <definedName name="MSTR.Composición_de_la_Demanda__Diario_acumulado_">#REF!</definedName>
    <definedName name="MSTR.Composición_de_la_Demanda__Diario_acumulado_1" localSheetId="17">#REF!</definedName>
    <definedName name="MSTR.Composición_de_la_Demanda__Diario_acumulado_1">#REF!</definedName>
    <definedName name="MSTR.Composición_de_la_Demanda__Diario_acumulado_2" localSheetId="17">#REF!</definedName>
    <definedName name="MSTR.Composición_de_la_Demanda__Diario_acumulado_2">#REF!</definedName>
    <definedName name="MSTR.Composición_de_la_Demanda__Diario_acumulado_3">#REF!</definedName>
    <definedName name="MSTR.Composición_de_la_Demanda_horaria">#REF!</definedName>
    <definedName name="MSTR.Composición_de_la_Demanda_horaria1">#REF!</definedName>
    <definedName name="MSTR.Composición_de_la_Demanda_horaria2">#REF!</definedName>
    <definedName name="MSTR.Composición_de_la_Demanda_horaria3">#REF!</definedName>
    <definedName name="MSTR.Composición_de_la_Demanda_horaria4">#REF!</definedName>
    <definedName name="MSTR.Composición_de_la_Demanda_pbf">#REF!</definedName>
    <definedName name="MSTR.Composición_de_la_Demanda_pbf1">#REF!</definedName>
    <definedName name="MSTR.Composición_de_la_Demanda_pbf2">#REF!</definedName>
    <definedName name="MSTR.Composición_de_la_Demanda_pbf3">#REF!</definedName>
    <definedName name="MSTR.Composición_de_la_Demanda_pbf4">#REF!</definedName>
    <definedName name="MSTR.D148B31811E539AE00000080EFE543AF" localSheetId="17">#REF!</definedName>
    <definedName name="MSTR.D148B31811E539AE00000080EFE543AF">#REF!</definedName>
    <definedName name="MSTR.D148B31811E539AE00000080EFE543AF.1" localSheetId="17">#REF!</definedName>
    <definedName name="MSTR.D148B31811E539AE00000080EFE543AF.1">#REF!</definedName>
    <definedName name="MSTR.D148B31811E539AE00000080EFE543AF.10" localSheetId="17">#REF!</definedName>
    <definedName name="MSTR.D148B31811E539AE00000080EFE543AF.10">#REF!</definedName>
    <definedName name="MSTR.D148B31811E539AE00000080EFE543AF.11" localSheetId="17">#REF!</definedName>
    <definedName name="MSTR.D148B31811E539AE00000080EFE543AF.11">#REF!</definedName>
    <definedName name="MSTR.D148B31811E539AE00000080EFE543AF.12">#REF!</definedName>
    <definedName name="MSTR.D148B31811E539AE00000080EFE543AF.13">#REF!</definedName>
    <definedName name="MSTR.D148B31811E539AE00000080EFE543AF.2">#REF!</definedName>
    <definedName name="MSTR.D148B31811E539AE00000080EFE543AF.3">#REF!</definedName>
    <definedName name="MSTR.D148B31811E539AE00000080EFE543AF.4">#REF!</definedName>
    <definedName name="MSTR.D148B31811E539AE00000080EFE543AF.5">#REF!</definedName>
    <definedName name="MSTR.D148B31811E539AE00000080EFE543AF.6">#REF!</definedName>
    <definedName name="MSTR.D148B31811E539AE00000080EFE543AF.7">#REF!</definedName>
    <definedName name="MSTR.D148B31811E539AE00000080EFE543AF.8">#REF!</definedName>
    <definedName name="MSTR.D148B31811E539AE00000080EFE543AF.9">#REF!</definedName>
    <definedName name="MSTR.D8F5F70011E594361C430080EF75C298" localSheetId="17">#REF!</definedName>
    <definedName name="MSTR.D8F5F70011E594361C430080EF75C298">#REF!</definedName>
    <definedName name="MSTR.D8F5F70011E594361C430080EF75C298.1" localSheetId="17">#REF!</definedName>
    <definedName name="MSTR.D8F5F70011E594361C430080EF75C298.1">#REF!</definedName>
    <definedName name="MSTR.D8F5F70011E594361C430080EF75C298.10" localSheetId="17">#REF!</definedName>
    <definedName name="MSTR.D8F5F70011E594361C430080EF75C298.10">#REF!</definedName>
    <definedName name="MSTR.D8F5F70011E594361C430080EF75C298.100" localSheetId="17">#REF!</definedName>
    <definedName name="MSTR.D8F5F70011E594361C430080EF75C298.100">#REF!</definedName>
    <definedName name="MSTR.D8F5F70011E594361C430080EF75C298.101" localSheetId="17">#REF!</definedName>
    <definedName name="MSTR.D8F5F70011E594361C430080EF75C298.101">#REF!</definedName>
    <definedName name="MSTR.D8F5F70011E594361C430080EF75C298.102" localSheetId="17">#REF!</definedName>
    <definedName name="MSTR.D8F5F70011E594361C430080EF75C298.102">#REF!</definedName>
    <definedName name="MSTR.D8F5F70011E594361C430080EF75C298.103" localSheetId="17">#REF!</definedName>
    <definedName name="MSTR.D8F5F70011E594361C430080EF75C298.103">#REF!</definedName>
    <definedName name="MSTR.D8F5F70011E594361C430080EF75C298.104">#REF!</definedName>
    <definedName name="MSTR.D8F5F70011E594361C430080EF75C298.105">#REF!</definedName>
    <definedName name="MSTR.D8F5F70011E594361C430080EF75C298.106">#REF!</definedName>
    <definedName name="MSTR.D8F5F70011E594361C430080EF75C298.107">#REF!</definedName>
    <definedName name="MSTR.D8F5F70011E594361C430080EF75C298.108">#REF!</definedName>
    <definedName name="MSTR.D8F5F70011E594361C430080EF75C298.109">#REF!</definedName>
    <definedName name="MSTR.D8F5F70011E594361C430080EF75C298.11" localSheetId="17">#REF!</definedName>
    <definedName name="MSTR.D8F5F70011E594361C430080EF75C298.11">#REF!</definedName>
    <definedName name="MSTR.D8F5F70011E594361C430080EF75C298.110">#REF!</definedName>
    <definedName name="MSTR.D8F5F70011E594361C430080EF75C298.111">#REF!</definedName>
    <definedName name="MSTR.D8F5F70011E594361C430080EF75C298.112">#REF!</definedName>
    <definedName name="MSTR.D8F5F70011E594361C430080EF75C298.113">#REF!</definedName>
    <definedName name="MSTR.D8F5F70011E594361C430080EF75C298.114">#REF!</definedName>
    <definedName name="MSTR.D8F5F70011E594361C430080EF75C298.115">#REF!</definedName>
    <definedName name="MSTR.D8F5F70011E594361C430080EF75C298.116">#REF!</definedName>
    <definedName name="MSTR.D8F5F70011E594361C430080EF75C298.117">#REF!</definedName>
    <definedName name="MSTR.D8F5F70011E594361C430080EF75C298.118">#REF!</definedName>
    <definedName name="MSTR.D8F5F70011E594361C430080EF75C298.119">#REF!</definedName>
    <definedName name="MSTR.D8F5F70011E594361C430080EF75C298.12" localSheetId="17">#REF!</definedName>
    <definedName name="MSTR.D8F5F70011E594361C430080EF75C298.12">#REF!</definedName>
    <definedName name="MSTR.D8F5F70011E594361C430080EF75C298.120">#REF!</definedName>
    <definedName name="MSTR.D8F5F70011E594361C430080EF75C298.13" localSheetId="17">#REF!</definedName>
    <definedName name="MSTR.D8F5F70011E594361C430080EF75C298.13">#REF!</definedName>
    <definedName name="MSTR.D8F5F70011E594361C430080EF75C298.14" localSheetId="17">#REF!</definedName>
    <definedName name="MSTR.D8F5F70011E594361C430080EF75C298.14">#REF!</definedName>
    <definedName name="MSTR.D8F5F70011E594361C430080EF75C298.15" localSheetId="17">#REF!</definedName>
    <definedName name="MSTR.D8F5F70011E594361C430080EF75C298.15">#REF!</definedName>
    <definedName name="MSTR.D8F5F70011E594361C430080EF75C298.16">#REF!</definedName>
    <definedName name="MSTR.D8F5F70011E594361C430080EF75C298.17">#REF!</definedName>
    <definedName name="MSTR.D8F5F70011E594361C430080EF75C298.18">#REF!</definedName>
    <definedName name="MSTR.D8F5F70011E594361C430080EF75C298.19">#REF!</definedName>
    <definedName name="MSTR.D8F5F70011E594361C430080EF75C298.2">#REF!</definedName>
    <definedName name="MSTR.D8F5F70011E594361C430080EF75C298.20">#REF!</definedName>
    <definedName name="MSTR.D8F5F70011E594361C430080EF75C298.21">#REF!</definedName>
    <definedName name="MSTR.D8F5F70011E594361C430080EF75C298.22">#REF!</definedName>
    <definedName name="MSTR.D8F5F70011E594361C430080EF75C298.23">#REF!</definedName>
    <definedName name="MSTR.D8F5F70011E594361C430080EF75C298.24">#REF!</definedName>
    <definedName name="MSTR.D8F5F70011E594361C430080EF75C298.25">#REF!</definedName>
    <definedName name="MSTR.D8F5F70011E594361C430080EF75C298.26">#REF!</definedName>
    <definedName name="MSTR.D8F5F70011E594361C430080EF75C298.27">#REF!</definedName>
    <definedName name="MSTR.D8F5F70011E594361C430080EF75C298.28">#REF!</definedName>
    <definedName name="MSTR.D8F5F70011E594361C430080EF75C298.29">#REF!</definedName>
    <definedName name="MSTR.D8F5F70011E594361C430080EF75C298.3">#REF!</definedName>
    <definedName name="MSTR.D8F5F70011E594361C430080EF75C298.30">#REF!</definedName>
    <definedName name="MSTR.D8F5F70011E594361C430080EF75C298.31">#REF!</definedName>
    <definedName name="MSTR.D8F5F70011E594361C430080EF75C298.32">#REF!</definedName>
    <definedName name="MSTR.D8F5F70011E594361C430080EF75C298.33">#REF!</definedName>
    <definedName name="MSTR.D8F5F70011E594361C430080EF75C298.34">#REF!</definedName>
    <definedName name="MSTR.D8F5F70011E594361C430080EF75C298.35">#REF!</definedName>
    <definedName name="MSTR.D8F5F70011E594361C430080EF75C298.36">#REF!</definedName>
    <definedName name="MSTR.D8F5F70011E594361C430080EF75C298.37">#REF!</definedName>
    <definedName name="MSTR.D8F5F70011E594361C430080EF75C298.38">#REF!</definedName>
    <definedName name="MSTR.D8F5F70011E594361C430080EF75C298.39">#REF!</definedName>
    <definedName name="MSTR.D8F5F70011E594361C430080EF75C298.4">#REF!</definedName>
    <definedName name="MSTR.D8F5F70011E594361C430080EF75C298.40">#REF!</definedName>
    <definedName name="MSTR.D8F5F70011E594361C430080EF75C298.41">#REF!</definedName>
    <definedName name="MSTR.D8F5F70011E594361C430080EF75C298.42">#REF!</definedName>
    <definedName name="MSTR.D8F5F70011E594361C430080EF75C298.43" localSheetId="17">#REF!</definedName>
    <definedName name="MSTR.D8F5F70011E594361C430080EF75C298.43">#REF!</definedName>
    <definedName name="MSTR.D8F5F70011E594361C430080EF75C298.44" localSheetId="17">#REF!</definedName>
    <definedName name="MSTR.D8F5F70011E594361C430080EF75C298.44">#REF!</definedName>
    <definedName name="MSTR.D8F5F70011E594361C430080EF75C298.45" localSheetId="17">#REF!</definedName>
    <definedName name="MSTR.D8F5F70011E594361C430080EF75C298.45">#REF!</definedName>
    <definedName name="MSTR.D8F5F70011E594361C430080EF75C298.46" localSheetId="17">#REF!</definedName>
    <definedName name="MSTR.D8F5F70011E594361C430080EF75C298.46">#REF!</definedName>
    <definedName name="MSTR.D8F5F70011E594361C430080EF75C298.47">#REF!</definedName>
    <definedName name="MSTR.D8F5F70011E594361C430080EF75C298.48">#REF!</definedName>
    <definedName name="MSTR.D8F5F70011E594361C430080EF75C298.49">#REF!</definedName>
    <definedName name="MSTR.D8F5F70011E594361C430080EF75C298.5" localSheetId="17">#REF!</definedName>
    <definedName name="MSTR.D8F5F70011E594361C430080EF75C298.5">#REF!</definedName>
    <definedName name="MSTR.D8F5F70011E594361C430080EF75C298.50">#REF!</definedName>
    <definedName name="MSTR.D8F5F70011E594361C430080EF75C298.51">#REF!</definedName>
    <definedName name="MSTR.D8F5F70011E594361C430080EF75C298.52">#REF!</definedName>
    <definedName name="MSTR.D8F5F70011E594361C430080EF75C298.53">#REF!</definedName>
    <definedName name="MSTR.D8F5F70011E594361C430080EF75C298.54">#REF!</definedName>
    <definedName name="MSTR.D8F5F70011E594361C430080EF75C298.55">#REF!</definedName>
    <definedName name="MSTR.D8F5F70011E594361C430080EF75C298.56">#REF!</definedName>
    <definedName name="MSTR.D8F5F70011E594361C430080EF75C298.57">#REF!</definedName>
    <definedName name="MSTR.D8F5F70011E594361C430080EF75C298.58">#REF!</definedName>
    <definedName name="MSTR.D8F5F70011E594361C430080EF75C298.59">#REF!</definedName>
    <definedName name="MSTR.D8F5F70011E594361C430080EF75C298.6" localSheetId="17">#REF!</definedName>
    <definedName name="MSTR.D8F5F70011E594361C430080EF75C298.6">#REF!</definedName>
    <definedName name="MSTR.D8F5F70011E594361C430080EF75C298.60">#REF!</definedName>
    <definedName name="MSTR.D8F5F70011E594361C430080EF75C298.61">#REF!</definedName>
    <definedName name="MSTR.D8F5F70011E594361C430080EF75C298.62">#REF!</definedName>
    <definedName name="MSTR.D8F5F70011E594361C430080EF75C298.63">#REF!</definedName>
    <definedName name="MSTR.D8F5F70011E594361C430080EF75C298.64">#REF!</definedName>
    <definedName name="MSTR.D8F5F70011E594361C430080EF75C298.65">#REF!</definedName>
    <definedName name="MSTR.D8F5F70011E594361C430080EF75C298.66">#REF!</definedName>
    <definedName name="MSTR.D8F5F70011E594361C430080EF75C298.67">#REF!</definedName>
    <definedName name="MSTR.D8F5F70011E594361C430080EF75C298.68">#REF!</definedName>
    <definedName name="MSTR.D8F5F70011E594361C430080EF75C298.69">#REF!</definedName>
    <definedName name="MSTR.D8F5F70011E594361C430080EF75C298.7" localSheetId="17">#REF!</definedName>
    <definedName name="MSTR.D8F5F70011E594361C430080EF75C298.7">#REF!</definedName>
    <definedName name="MSTR.D8F5F70011E594361C430080EF75C298.70">#REF!</definedName>
    <definedName name="MSTR.D8F5F70011E594361C430080EF75C298.71">#REF!</definedName>
    <definedName name="MSTR.D8F5F70011E594361C430080EF75C298.72">#REF!</definedName>
    <definedName name="MSTR.D8F5F70011E594361C430080EF75C298.73">#REF!</definedName>
    <definedName name="MSTR.D8F5F70011E594361C430080EF75C298.74">#REF!</definedName>
    <definedName name="MSTR.D8F5F70011E594361C430080EF75C298.75">#REF!</definedName>
    <definedName name="MSTR.D8F5F70011E594361C430080EF75C298.76">#REF!</definedName>
    <definedName name="MSTR.D8F5F70011E594361C430080EF75C298.77">#REF!</definedName>
    <definedName name="MSTR.D8F5F70011E594361C430080EF75C298.78">#REF!</definedName>
    <definedName name="MSTR.D8F5F70011E594361C430080EF75C298.79">#REF!</definedName>
    <definedName name="MSTR.D8F5F70011E594361C430080EF75C298.8" localSheetId="17">#REF!</definedName>
    <definedName name="MSTR.D8F5F70011E594361C430080EF75C298.8">#REF!</definedName>
    <definedName name="MSTR.D8F5F70011E594361C430080EF75C298.80">#REF!</definedName>
    <definedName name="MSTR.D8F5F70011E594361C430080EF75C298.81">#REF!</definedName>
    <definedName name="MSTR.D8F5F70011E594361C430080EF75C298.82">#REF!</definedName>
    <definedName name="MSTR.D8F5F70011E594361C430080EF75C298.83">#REF!</definedName>
    <definedName name="MSTR.D8F5F70011E594361C430080EF75C298.84">#REF!</definedName>
    <definedName name="MSTR.D8F5F70011E594361C430080EF75C298.85">#REF!</definedName>
    <definedName name="MSTR.D8F5F70011E594361C430080EF75C298.86">#REF!</definedName>
    <definedName name="MSTR.D8F5F70011E594361C430080EF75C298.87">#REF!</definedName>
    <definedName name="MSTR.D8F5F70011E594361C430080EF75C298.88">#REF!</definedName>
    <definedName name="MSTR.D8F5F70011E594361C430080EF75C298.89">#REF!</definedName>
    <definedName name="MSTR.D8F5F70011E594361C430080EF75C298.9" localSheetId="17">#REF!</definedName>
    <definedName name="MSTR.D8F5F70011E594361C430080EF75C298.9">#REF!</definedName>
    <definedName name="MSTR.D8F5F70011E594361C430080EF75C298.90">#REF!</definedName>
    <definedName name="MSTR.D8F5F70011E594361C430080EF75C298.91">#REF!</definedName>
    <definedName name="MSTR.D8F5F70011E594361C430080EF75C298.92">#REF!</definedName>
    <definedName name="MSTR.D8F5F70011E594361C430080EF75C298.93">#REF!</definedName>
    <definedName name="MSTR.D8F5F70011E594361C430080EF75C298.94">#REF!</definedName>
    <definedName name="MSTR.D8F5F70011E594361C430080EF75C298.95">#REF!</definedName>
    <definedName name="MSTR.D8F5F70011E594361C430080EF75C298.96">#REF!</definedName>
    <definedName name="MSTR.D8F5F70011E594361C430080EF75C298.97">#REF!</definedName>
    <definedName name="MSTR.D8F5F70011E594361C430080EF75C298.98">#REF!</definedName>
    <definedName name="MSTR.D8F5F70011E594361C430080EF75C298.99">#REF!</definedName>
    <definedName name="MSTR.DA76E3244BFF66183A115491B6573ECB">#REF!</definedName>
    <definedName name="MSTR.DA76E3244BFF66183A115491B6573ECB.1">#REF!</definedName>
    <definedName name="MSTR.DA76E3244BFF66183A115491B6573ECB.10">#REF!</definedName>
    <definedName name="MSTR.DA76E3244BFF66183A115491B6573ECB.11">#REF!</definedName>
    <definedName name="MSTR.DA76E3244BFF66183A115491B6573ECB.12">#REF!</definedName>
    <definedName name="MSTR.DA76E3244BFF66183A115491B6573ECB.13">#REF!</definedName>
    <definedName name="MSTR.DA76E3244BFF66183A115491B6573ECB.14">#REF!</definedName>
    <definedName name="MSTR.DA76E3244BFF66183A115491B6573ECB.15">#REF!</definedName>
    <definedName name="MSTR.DA76E3244BFF66183A115491B6573ECB.16">#REF!</definedName>
    <definedName name="MSTR.DA76E3244BFF66183A115491B6573ECB.17">#REF!</definedName>
    <definedName name="MSTR.DA76E3244BFF66183A115491B6573ECB.18">#REF!</definedName>
    <definedName name="MSTR.DA76E3244BFF66183A115491B6573ECB.19">#REF!</definedName>
    <definedName name="MSTR.DA76E3244BFF66183A115491B6573ECB.2">#REF!</definedName>
    <definedName name="MSTR.DA76E3244BFF66183A115491B6573ECB.20">#REF!</definedName>
    <definedName name="MSTR.DA76E3244BFF66183A115491B6573ECB.21">#REF!</definedName>
    <definedName name="MSTR.DA76E3244BFF66183A115491B6573ECB.22">#REF!</definedName>
    <definedName name="MSTR.DA76E3244BFF66183A115491B6573ECB.23">#REF!</definedName>
    <definedName name="MSTR.DA76E3244BFF66183A115491B6573ECB.24">#REF!</definedName>
    <definedName name="MSTR.DA76E3244BFF66183A115491B6573ECB.25">#REF!</definedName>
    <definedName name="MSTR.DA76E3244BFF66183A115491B6573ECB.26">#REF!</definedName>
    <definedName name="MSTR.DA76E3244BFF66183A115491B6573ECB.27">#REF!</definedName>
    <definedName name="MSTR.DA76E3244BFF66183A115491B6573ECB.28">#REF!</definedName>
    <definedName name="MSTR.DA76E3244BFF66183A115491B6573ECB.29">#REF!</definedName>
    <definedName name="MSTR.DA76E3244BFF66183A115491B6573ECB.3">#REF!</definedName>
    <definedName name="MSTR.DA76E3244BFF66183A115491B6573ECB.30">#REF!</definedName>
    <definedName name="MSTR.DA76E3244BFF66183A115491B6573ECB.31">#REF!</definedName>
    <definedName name="MSTR.DA76E3244BFF66183A115491B6573ECB.32">#REF!</definedName>
    <definedName name="MSTR.DA76E3244BFF66183A115491B6573ECB.33">#REF!</definedName>
    <definedName name="MSTR.DA76E3244BFF66183A115491B6573ECB.34">#REF!</definedName>
    <definedName name="MSTR.DA76E3244BFF66183A115491B6573ECB.35">#REF!</definedName>
    <definedName name="MSTR.DA76E3244BFF66183A115491B6573ECB.36">#REF!</definedName>
    <definedName name="MSTR.DA76E3244BFF66183A115491B6573ECB.37">#REF!</definedName>
    <definedName name="MSTR.DA76E3244BFF66183A115491B6573ECB.38">#REF!</definedName>
    <definedName name="MSTR.DA76E3244BFF66183A115491B6573ECB.39">#REF!</definedName>
    <definedName name="MSTR.DA76E3244BFF66183A115491B6573ECB.4">#REF!</definedName>
    <definedName name="MSTR.DA76E3244BFF66183A115491B6573ECB.40">#REF!</definedName>
    <definedName name="MSTR.DA76E3244BFF66183A115491B6573ECB.41">#REF!</definedName>
    <definedName name="MSTR.DA76E3244BFF66183A115491B6573ECB.42">#REF!</definedName>
    <definedName name="MSTR.DA76E3244BFF66183A115491B6573ECB.43">#REF!</definedName>
    <definedName name="MSTR.DA76E3244BFF66183A115491B6573ECB.44">#REF!</definedName>
    <definedName name="MSTR.DA76E3244BFF66183A115491B6573ECB.45">#REF!</definedName>
    <definedName name="MSTR.DA76E3244BFF66183A115491B6573ECB.46">#REF!</definedName>
    <definedName name="MSTR.DA76E3244BFF66183A115491B6573ECB.47">#REF!</definedName>
    <definedName name="MSTR.DA76E3244BFF66183A115491B6573ECB.48">#REF!</definedName>
    <definedName name="MSTR.DA76E3244BFF66183A115491B6573ECB.5">#REF!</definedName>
    <definedName name="MSTR.DA76E3244BFF66183A115491B6573ECB.6">#REF!</definedName>
    <definedName name="MSTR.DA76E3244BFF66183A115491B6573ECB.7">#REF!</definedName>
    <definedName name="MSTR.DA76E3244BFF66183A115491B6573ECB.8">#REF!</definedName>
    <definedName name="MSTR.DA76E3244BFF66183A115491B6573ECB.9">#REF!</definedName>
    <definedName name="MSTR.DC68287011E53FEC00000080EF5523B0" localSheetId="17">#REF!</definedName>
    <definedName name="MSTR.DC68287011E53FEC00000080EF5523B0">#REF!</definedName>
    <definedName name="MSTR.DC68287011E53FEC00000080EF5523B0.1" localSheetId="17">#REF!</definedName>
    <definedName name="MSTR.DC68287011E53FEC00000080EF5523B0.1">#REF!</definedName>
    <definedName name="MSTR.DC68287011E53FEC00000080EF5523B0.10" localSheetId="17">#REF!</definedName>
    <definedName name="MSTR.DC68287011E53FEC00000080EF5523B0.10">#REF!</definedName>
    <definedName name="MSTR.DC68287011E53FEC00000080EF5523B0.11">#REF!</definedName>
    <definedName name="MSTR.DC68287011E53FEC00000080EF5523B0.12">#REF!</definedName>
    <definedName name="MSTR.DC68287011E53FEC00000080EF5523B0.13">#REF!</definedName>
    <definedName name="MSTR.DC68287011E53FEC00000080EF5523B0.14">#REF!</definedName>
    <definedName name="MSTR.DC68287011E53FEC00000080EF5523B0.15">#REF!</definedName>
    <definedName name="MSTR.DC68287011E53FEC00000080EF5523B0.16" localSheetId="17">#REF!</definedName>
    <definedName name="MSTR.DC68287011E53FEC00000080EF5523B0.16">#REF!</definedName>
    <definedName name="MSTR.DC68287011E53FEC00000080EF5523B0.17" localSheetId="17">#REF!</definedName>
    <definedName name="MSTR.DC68287011E53FEC00000080EF5523B0.17">#REF!</definedName>
    <definedName name="MSTR.DC68287011E53FEC00000080EF5523B0.18" localSheetId="17">#REF!</definedName>
    <definedName name="MSTR.DC68287011E53FEC00000080EF5523B0.18">#REF!</definedName>
    <definedName name="MSTR.DC68287011E53FEC00000080EF5523B0.19" localSheetId="17">#REF!</definedName>
    <definedName name="MSTR.DC68287011E53FEC00000080EF5523B0.19">#REF!</definedName>
    <definedName name="MSTR.DC68287011E53FEC00000080EF5523B0.2" localSheetId="17">#REF!</definedName>
    <definedName name="MSTR.DC68287011E53FEC00000080EF5523B0.2">#REF!</definedName>
    <definedName name="MSTR.DC68287011E53FEC00000080EF5523B0.3" localSheetId="17">#REF!</definedName>
    <definedName name="MSTR.DC68287011E53FEC00000080EF5523B0.3">#REF!</definedName>
    <definedName name="MSTR.DC68287011E53FEC00000080EF5523B0.4" localSheetId="17">#REF!</definedName>
    <definedName name="MSTR.DC68287011E53FEC00000080EF5523B0.4">#REF!</definedName>
    <definedName name="MSTR.DC68287011E53FEC00000080EF5523B0.5">#REF!</definedName>
    <definedName name="MSTR.DC68287011E53FEC00000080EF5523B0.6">#REF!</definedName>
    <definedName name="MSTR.DC68287011E53FEC00000080EF5523B0.7">#REF!</definedName>
    <definedName name="MSTR.DC68287011E53FEC00000080EF5523B0.8">#REF!</definedName>
    <definedName name="MSTR.DC68287011E53FEC00000080EF5523B0.9">#REF!</definedName>
    <definedName name="MSTR.DE23B2D211E539A800000080EF951320" localSheetId="17">#REF!</definedName>
    <definedName name="MSTR.DE23B2D211E539A800000080EF951320">#REF!</definedName>
    <definedName name="MSTR.DE23B2D211E539A800000080EF951320.1" localSheetId="17">#REF!</definedName>
    <definedName name="MSTR.DE23B2D211E539A800000080EF951320.1">#REF!</definedName>
    <definedName name="MSTR.DE23B2D211E539A800000080EF951320.10" localSheetId="17">#REF!</definedName>
    <definedName name="MSTR.DE23B2D211E539A800000080EF951320.10">#REF!</definedName>
    <definedName name="MSTR.DE23B2D211E539A800000080EF951320.11" localSheetId="17">#REF!</definedName>
    <definedName name="MSTR.DE23B2D211E539A800000080EF951320.11">#REF!</definedName>
    <definedName name="MSTR.DE23B2D211E539A800000080EF951320.12">#REF!</definedName>
    <definedName name="MSTR.DE23B2D211E539A800000080EF951320.13">#REF!</definedName>
    <definedName name="MSTR.DE23B2D211E539A800000080EF951320.14">#REF!</definedName>
    <definedName name="MSTR.DE23B2D211E539A800000080EF951320.2">#REF!</definedName>
    <definedName name="MSTR.DE23B2D211E539A800000080EF951320.3">#REF!</definedName>
    <definedName name="MSTR.DE23B2D211E539A800000080EF951320.4">#REF!</definedName>
    <definedName name="MSTR.DE23B2D211E539A800000080EF951320.5">#REF!</definedName>
    <definedName name="MSTR.DE23B2D211E539A800000080EF951320.6">#REF!</definedName>
    <definedName name="MSTR.DE23B2D211E539A800000080EF951320.7">#REF!</definedName>
    <definedName name="MSTR.DE23B2D211E539A800000080EF951320.8">#REF!</definedName>
    <definedName name="MSTR.DE23B2D211E539A800000080EF951320.9">#REF!</definedName>
    <definedName name="MSTR.Demanda__día_hora_" localSheetId="17">#REF!</definedName>
    <definedName name="MSTR.Demanda__día_hora_">#REF!</definedName>
    <definedName name="MSTR.Demanda__día_hora_1" localSheetId="17">#REF!</definedName>
    <definedName name="MSTR.Demanda__día_hora_1">#REF!</definedName>
    <definedName name="MSTR.Demanda__día_hora_2" localSheetId="17">#REF!</definedName>
    <definedName name="MSTR.Demanda__día_hora_2">#REF!</definedName>
    <definedName name="MSTR.Demanda__día_hora_3">#REF!</definedName>
    <definedName name="MSTR.E4ACB6004B447AAE78DA06B6A694B5DF" localSheetId="17">#REF!</definedName>
    <definedName name="MSTR.E4ACB6004B447AAE78DA06B6A694B5DF">#REF!</definedName>
    <definedName name="MSTR.E4ACB6004B447AAE78DA06B6A694B5DF.1" localSheetId="17">#REF!</definedName>
    <definedName name="MSTR.E4ACB6004B447AAE78DA06B6A694B5DF.1">#REF!</definedName>
    <definedName name="MSTR.E500C91F4579C0CD449CCD8D5476A3BE" localSheetId="17">#REF!</definedName>
    <definedName name="MSTR.E500C91F4579C0CD449CCD8D5476A3BE">#REF!</definedName>
    <definedName name="MSTR.E500C91F4579C0CD449CCD8D5476A3BE.1" localSheetId="17">#REF!</definedName>
    <definedName name="MSTR.E500C91F4579C0CD449CCD8D5476A3BE.1">#REF!</definedName>
    <definedName name="MSTR.E500C91F4579C0CD449CCD8D5476A3BE.10">#REF!</definedName>
    <definedName name="MSTR.E500C91F4579C0CD449CCD8D5476A3BE.11">#REF!</definedName>
    <definedName name="MSTR.E500C91F4579C0CD449CCD8D5476A3BE.12">#REF!</definedName>
    <definedName name="MSTR.E500C91F4579C0CD449CCD8D5476A3BE.13">#REF!</definedName>
    <definedName name="MSTR.E500C91F4579C0CD449CCD8D5476A3BE.14">#REF!</definedName>
    <definedName name="MSTR.E500C91F4579C0CD449CCD8D5476A3BE.15">#REF!</definedName>
    <definedName name="MSTR.E500C91F4579C0CD449CCD8D5476A3BE.16">#REF!</definedName>
    <definedName name="MSTR.E500C91F4579C0CD449CCD8D5476A3BE.17">#REF!</definedName>
    <definedName name="MSTR.E500C91F4579C0CD449CCD8D5476A3BE.18">#REF!</definedName>
    <definedName name="MSTR.E500C91F4579C0CD449CCD8D5476A3BE.19">#REF!</definedName>
    <definedName name="MSTR.E500C91F4579C0CD449CCD8D5476A3BE.2">#REF!</definedName>
    <definedName name="MSTR.E500C91F4579C0CD449CCD8D5476A3BE.20">#REF!</definedName>
    <definedName name="MSTR.E500C91F4579C0CD449CCD8D5476A3BE.21">#REF!</definedName>
    <definedName name="MSTR.E500C91F4579C0CD449CCD8D5476A3BE.22">#REF!</definedName>
    <definedName name="MSTR.E500C91F4579C0CD449CCD8D5476A3BE.23">#REF!</definedName>
    <definedName name="MSTR.E500C91F4579C0CD449CCD8D5476A3BE.24">#REF!</definedName>
    <definedName name="MSTR.E500C91F4579C0CD449CCD8D5476A3BE.25">#REF!</definedName>
    <definedName name="MSTR.E500C91F4579C0CD449CCD8D5476A3BE.26">#REF!</definedName>
    <definedName name="MSTR.E500C91F4579C0CD449CCD8D5476A3BE.27">#REF!</definedName>
    <definedName name="MSTR.E500C91F4579C0CD449CCD8D5476A3BE.28">#REF!</definedName>
    <definedName name="MSTR.E500C91F4579C0CD449CCD8D5476A3BE.29">#REF!</definedName>
    <definedName name="MSTR.E500C91F4579C0CD449CCD8D5476A3BE.3">#REF!</definedName>
    <definedName name="MSTR.E500C91F4579C0CD449CCD8D5476A3BE.30">#REF!</definedName>
    <definedName name="MSTR.E500C91F4579C0CD449CCD8D5476A3BE.31">#REF!</definedName>
    <definedName name="MSTR.E500C91F4579C0CD449CCD8D5476A3BE.32">#REF!</definedName>
    <definedName name="MSTR.E500C91F4579C0CD449CCD8D5476A3BE.33">#REF!</definedName>
    <definedName name="MSTR.E500C91F4579C0CD449CCD8D5476A3BE.34">#REF!</definedName>
    <definedName name="MSTR.E500C91F4579C0CD449CCD8D5476A3BE.35">#REF!</definedName>
    <definedName name="MSTR.E500C91F4579C0CD449CCD8D5476A3BE.36">#REF!</definedName>
    <definedName name="MSTR.E500C91F4579C0CD449CCD8D5476A3BE.37">#REF!</definedName>
    <definedName name="MSTR.E500C91F4579C0CD449CCD8D5476A3BE.38">#REF!</definedName>
    <definedName name="MSTR.E500C91F4579C0CD449CCD8D5476A3BE.39">#REF!</definedName>
    <definedName name="MSTR.E500C91F4579C0CD449CCD8D5476A3BE.4">#REF!</definedName>
    <definedName name="MSTR.E500C91F4579C0CD449CCD8D5476A3BE.40">#REF!</definedName>
    <definedName name="MSTR.E500C91F4579C0CD449CCD8D5476A3BE.41">#REF!</definedName>
    <definedName name="MSTR.E500C91F4579C0CD449CCD8D5476A3BE.42">#REF!</definedName>
    <definedName name="MSTR.E500C91F4579C0CD449CCD8D5476A3BE.43">#REF!</definedName>
    <definedName name="MSTR.E500C91F4579C0CD449CCD8D5476A3BE.44">#REF!</definedName>
    <definedName name="MSTR.E500C91F4579C0CD449CCD8D5476A3BE.45">#REF!</definedName>
    <definedName name="MSTR.E500C91F4579C0CD449CCD8D5476A3BE.46">#REF!</definedName>
    <definedName name="MSTR.E500C91F4579C0CD449CCD8D5476A3BE.47">#REF!</definedName>
    <definedName name="MSTR.E500C91F4579C0CD449CCD8D5476A3BE.48">#REF!</definedName>
    <definedName name="MSTR.E500C91F4579C0CD449CCD8D5476A3BE.49">#REF!</definedName>
    <definedName name="MSTR.E500C91F4579C0CD449CCD8D5476A3BE.5">#REF!</definedName>
    <definedName name="MSTR.E500C91F4579C0CD449CCD8D5476A3BE.6">#REF!</definedName>
    <definedName name="MSTR.E500C91F4579C0CD449CCD8D5476A3BE.7">#REF!</definedName>
    <definedName name="MSTR.E500C91F4579C0CD449CCD8D5476A3BE.8">#REF!</definedName>
    <definedName name="MSTR.E500C91F4579C0CD449CCD8D5476A3BE.9">#REF!</definedName>
    <definedName name="MSTR.EA45B89211E5943620850080EF95049C" localSheetId="17">#REF!</definedName>
    <definedName name="MSTR.EA45B89211E5943620850080EF95049C">#REF!</definedName>
    <definedName name="MSTR.EA45B89211E5943620850080EF95049C.1" localSheetId="17">#REF!</definedName>
    <definedName name="MSTR.EA45B89211E5943620850080EF95049C.1">#REF!</definedName>
    <definedName name="MSTR.EA45B89211E5943620850080EF95049C.10" localSheetId="17">#REF!</definedName>
    <definedName name="MSTR.EA45B89211E5943620850080EF95049C.10">#REF!</definedName>
    <definedName name="MSTR.EA45B89211E5943620850080EF95049C.11">#REF!</definedName>
    <definedName name="MSTR.EA45B89211E5943620850080EF95049C.12">#REF!</definedName>
    <definedName name="MSTR.EA45B89211E5943620850080EF95049C.13">#REF!</definedName>
    <definedName name="MSTR.EA45B89211E5943620850080EF95049C.14">#REF!</definedName>
    <definedName name="MSTR.EA45B89211E5943620850080EF95049C.15">#REF!</definedName>
    <definedName name="MSTR.EA45B89211E5943620850080EF95049C.16">#REF!</definedName>
    <definedName name="MSTR.EA45B89211E5943620850080EF95049C.17">#REF!</definedName>
    <definedName name="MSTR.EA45B89211E5943620850080EF95049C.18">#REF!</definedName>
    <definedName name="MSTR.EA45B89211E5943620850080EF95049C.19">#REF!</definedName>
    <definedName name="MSTR.EA45B89211E5943620850080EF95049C.2">#REF!</definedName>
    <definedName name="MSTR.EA45B89211E5943620850080EF95049C.20">#REF!</definedName>
    <definedName name="MSTR.EA45B89211E5943620850080EF95049C.21">#REF!</definedName>
    <definedName name="MSTR.EA45B89211E5943620850080EF95049C.22">#REF!</definedName>
    <definedName name="MSTR.EA45B89211E5943620850080EF95049C.23">#REF!</definedName>
    <definedName name="MSTR.EA45B89211E5943620850080EF95049C.24">#REF!</definedName>
    <definedName name="MSTR.EA45B89211E5943620850080EF95049C.25">#REF!</definedName>
    <definedName name="MSTR.EA45B89211E5943620850080EF95049C.26">#REF!</definedName>
    <definedName name="MSTR.EA45B89211E5943620850080EF95049C.27">#REF!</definedName>
    <definedName name="MSTR.EA45B89211E5943620850080EF95049C.28">#REF!</definedName>
    <definedName name="MSTR.EA45B89211E5943620850080EF95049C.29">#REF!</definedName>
    <definedName name="MSTR.EA45B89211E5943620850080EF95049C.3">#REF!</definedName>
    <definedName name="MSTR.EA45B89211E5943620850080EF95049C.30">#REF!</definedName>
    <definedName name="MSTR.EA45B89211E5943620850080EF95049C.31">#REF!</definedName>
    <definedName name="MSTR.EA45B89211E5943620850080EF95049C.32">#REF!</definedName>
    <definedName name="MSTR.EA45B89211E5943620850080EF95049C.33">#REF!</definedName>
    <definedName name="MSTR.EA45B89211E5943620850080EF95049C.34">#REF!</definedName>
    <definedName name="MSTR.EA45B89211E5943620850080EF95049C.35">#REF!</definedName>
    <definedName name="MSTR.EA45B89211E5943620850080EF95049C.36">#REF!</definedName>
    <definedName name="MSTR.EA45B89211E5943620850080EF95049C.37">#REF!</definedName>
    <definedName name="MSTR.EA45B89211E5943620850080EF95049C.38">#REF!</definedName>
    <definedName name="MSTR.EA45B89211E5943620850080EF95049C.39">#REF!</definedName>
    <definedName name="MSTR.EA45B89211E5943620850080EF95049C.4">#REF!</definedName>
    <definedName name="MSTR.EA45B89211E5943620850080EF95049C.40">#REF!</definedName>
    <definedName name="MSTR.EA45B89211E5943620850080EF95049C.41">#REF!</definedName>
    <definedName name="MSTR.EA45B89211E5943620850080EF95049C.42">#REF!</definedName>
    <definedName name="MSTR.EA45B89211E5943620850080EF95049C.43">#REF!</definedName>
    <definedName name="MSTR.EA45B89211E5943620850080EF95049C.44">#REF!</definedName>
    <definedName name="MSTR.EA45B89211E5943620850080EF95049C.45">#REF!</definedName>
    <definedName name="MSTR.EA45B89211E5943620850080EF95049C.46">#REF!</definedName>
    <definedName name="MSTR.EA45B89211E5943620850080EF95049C.47">#REF!</definedName>
    <definedName name="MSTR.EA45B89211E5943620850080EF95049C.48">#REF!</definedName>
    <definedName name="MSTR.EA45B89211E5943620850080EF95049C.49">#REF!</definedName>
    <definedName name="MSTR.EA45B89211E5943620850080EF95049C.5">#REF!</definedName>
    <definedName name="MSTR.EA45B89211E5943620850080EF95049C.50">#REF!</definedName>
    <definedName name="MSTR.EA45B89211E5943620850080EF95049C.51">#REF!</definedName>
    <definedName name="MSTR.EA45B89211E5943620850080EF95049C.52">#REF!</definedName>
    <definedName name="MSTR.EA45B89211E5943620850080EF95049C.6">#REF!</definedName>
    <definedName name="MSTR.EA45B89211E5943620850080EF95049C.7">#REF!</definedName>
    <definedName name="MSTR.EA45B89211E5943620850080EF95049C.8">#REF!</definedName>
    <definedName name="MSTR.EA45B89211E5943620850080EF95049C.9">#REF!</definedName>
    <definedName name="MSTR.EA7D952611E544C4AAB70080EF858F8F">#REF!</definedName>
    <definedName name="MSTR.EA7D952611E544C4AAB70080EF858F8F.1">#REF!</definedName>
    <definedName name="MSTR.EA7D952611E544C4AAB70080EF858F8F.10" localSheetId="17">#REF!</definedName>
    <definedName name="MSTR.EA7D952611E544C4AAB70080EF858F8F.10">#REF!</definedName>
    <definedName name="MSTR.EA7D952611E544C4AAB70080EF858F8F.2" localSheetId="17">#REF!</definedName>
    <definedName name="MSTR.EA7D952611E544C4AAB70080EF858F8F.2">#REF!</definedName>
    <definedName name="MSTR.EA7D952611E544C4AAB70080EF858F8F.3" localSheetId="17">#REF!</definedName>
    <definedName name="MSTR.EA7D952611E544C4AAB70080EF858F8F.3">#REF!</definedName>
    <definedName name="MSTR.EA7D952611E544C4AAB70080EF858F8F.4" localSheetId="17">#REF!</definedName>
    <definedName name="MSTR.EA7D952611E544C4AAB70080EF858F8F.4">#REF!</definedName>
    <definedName name="MSTR.EA7D952611E544C4AAB70080EF858F8F.5">#REF!</definedName>
    <definedName name="MSTR.EA7D952611E544C4AAB70080EF858F8F.6">#REF!</definedName>
    <definedName name="MSTR.EA7D952611E544C4AAB70080EF858F8F.7" localSheetId="17">#REF!</definedName>
    <definedName name="MSTR.EA7D952611E544C4AAB70080EF858F8F.7">#REF!</definedName>
    <definedName name="MSTR.EA7D952611E544C4AAB70080EF858F8F.8" localSheetId="17">#REF!</definedName>
    <definedName name="MSTR.EA7D952611E544C4AAB70080EF858F8F.8">#REF!</definedName>
    <definedName name="MSTR.EA7D952611E544C4AAB70080EF858F8F.9" localSheetId="17">#REF!</definedName>
    <definedName name="MSTR.EA7D952611E544C4AAB70080EF858F8F.9">#REF!</definedName>
    <definedName name="MSTR.Energía_restricciones_técnicas_PDBF_Combustible" localSheetId="17">#REF!</definedName>
    <definedName name="MSTR.Energía_restricciones_técnicas_PDBF_Combustible">#REF!</definedName>
    <definedName name="MSTR.F36A8F7E413F36F43E1DDFB5ADE315A1" localSheetId="17">#REF!</definedName>
    <definedName name="MSTR.F36A8F7E413F36F43E1DDFB5ADE315A1">#REF!</definedName>
    <definedName name="MSTR.F36A8F7E413F36F43E1DDFB5ADE315A1.1" localSheetId="17">#REF!</definedName>
    <definedName name="MSTR.F36A8F7E413F36F43E1DDFB5ADE315A1.1">#REF!</definedName>
    <definedName name="MSTR.F36A8F7E413F36F43E1DDFB5ADE315A1.10">#REF!</definedName>
    <definedName name="MSTR.F36A8F7E413F36F43E1DDFB5ADE315A1.11">#REF!</definedName>
    <definedName name="MSTR.F36A8F7E413F36F43E1DDFB5ADE315A1.12">#REF!</definedName>
    <definedName name="MSTR.F36A8F7E413F36F43E1DDFB5ADE315A1.13">#REF!</definedName>
    <definedName name="MSTR.F36A8F7E413F36F43E1DDFB5ADE315A1.14">#REF!</definedName>
    <definedName name="MSTR.F36A8F7E413F36F43E1DDFB5ADE315A1.15">#REF!</definedName>
    <definedName name="MSTR.F36A8F7E413F36F43E1DDFB5ADE315A1.16">#REF!</definedName>
    <definedName name="MSTR.F36A8F7E413F36F43E1DDFB5ADE315A1.17">#REF!</definedName>
    <definedName name="MSTR.F36A8F7E413F36F43E1DDFB5ADE315A1.18">#REF!</definedName>
    <definedName name="MSTR.F36A8F7E413F36F43E1DDFB5ADE315A1.19">#REF!</definedName>
    <definedName name="MSTR.F36A8F7E413F36F43E1DDFB5ADE315A1.2">#REF!</definedName>
    <definedName name="MSTR.F36A8F7E413F36F43E1DDFB5ADE315A1.20">#REF!</definedName>
    <definedName name="MSTR.F36A8F7E413F36F43E1DDFB5ADE315A1.21">#REF!</definedName>
    <definedName name="MSTR.F36A8F7E413F36F43E1DDFB5ADE315A1.22">#REF!</definedName>
    <definedName name="MSTR.F36A8F7E413F36F43E1DDFB5ADE315A1.23">#REF!</definedName>
    <definedName name="MSTR.F36A8F7E413F36F43E1DDFB5ADE315A1.24">#REF!</definedName>
    <definedName name="MSTR.F36A8F7E413F36F43E1DDFB5ADE315A1.25">#REF!</definedName>
    <definedName name="MSTR.F36A8F7E413F36F43E1DDFB5ADE315A1.26">#REF!</definedName>
    <definedName name="MSTR.F36A8F7E413F36F43E1DDFB5ADE315A1.27">#REF!</definedName>
    <definedName name="MSTR.F36A8F7E413F36F43E1DDFB5ADE315A1.28">#REF!</definedName>
    <definedName name="MSTR.F36A8F7E413F36F43E1DDFB5ADE315A1.29">#REF!</definedName>
    <definedName name="MSTR.F36A8F7E413F36F43E1DDFB5ADE315A1.3">#REF!</definedName>
    <definedName name="MSTR.F36A8F7E413F36F43E1DDFB5ADE315A1.30">#REF!</definedName>
    <definedName name="MSTR.F36A8F7E413F36F43E1DDFB5ADE315A1.31">#REF!</definedName>
    <definedName name="MSTR.F36A8F7E413F36F43E1DDFB5ADE315A1.32">#REF!</definedName>
    <definedName name="MSTR.F36A8F7E413F36F43E1DDFB5ADE315A1.33">#REF!</definedName>
    <definedName name="MSTR.F36A8F7E413F36F43E1DDFB5ADE315A1.34">#REF!</definedName>
    <definedName name="MSTR.F36A8F7E413F36F43E1DDFB5ADE315A1.35">#REF!</definedName>
    <definedName name="MSTR.F36A8F7E413F36F43E1DDFB5ADE315A1.36">#REF!</definedName>
    <definedName name="MSTR.F36A8F7E413F36F43E1DDFB5ADE315A1.37">#REF!</definedName>
    <definedName name="MSTR.F36A8F7E413F36F43E1DDFB5ADE315A1.38">#REF!</definedName>
    <definedName name="MSTR.F36A8F7E413F36F43E1DDFB5ADE315A1.39">#REF!</definedName>
    <definedName name="MSTR.F36A8F7E413F36F43E1DDFB5ADE315A1.4">#REF!</definedName>
    <definedName name="MSTR.F36A8F7E413F36F43E1DDFB5ADE315A1.40">#REF!</definedName>
    <definedName name="MSTR.F36A8F7E413F36F43E1DDFB5ADE315A1.41">#REF!</definedName>
    <definedName name="MSTR.F36A8F7E413F36F43E1DDFB5ADE315A1.42">#REF!</definedName>
    <definedName name="MSTR.F36A8F7E413F36F43E1DDFB5ADE315A1.43">#REF!</definedName>
    <definedName name="MSTR.F36A8F7E413F36F43E1DDFB5ADE315A1.44">#REF!</definedName>
    <definedName name="MSTR.F36A8F7E413F36F43E1DDFB5ADE315A1.45">#REF!</definedName>
    <definedName name="MSTR.F36A8F7E413F36F43E1DDFB5ADE315A1.46">#REF!</definedName>
    <definedName name="MSTR.F36A8F7E413F36F43E1DDFB5ADE315A1.47">#REF!</definedName>
    <definedName name="MSTR.F36A8F7E413F36F43E1DDFB5ADE315A1.48">#REF!</definedName>
    <definedName name="MSTR.F36A8F7E413F36F43E1DDFB5ADE315A1.49">#REF!</definedName>
    <definedName name="MSTR.F36A8F7E413F36F43E1DDFB5ADE315A1.5">#REF!</definedName>
    <definedName name="MSTR.F36A8F7E413F36F43E1DDFB5ADE315A1.50">#REF!</definedName>
    <definedName name="MSTR.F36A8F7E413F36F43E1DDFB5ADE315A1.51">#REF!</definedName>
    <definedName name="MSTR.F36A8F7E413F36F43E1DDFB5ADE315A1.52">#REF!</definedName>
    <definedName name="MSTR.F36A8F7E413F36F43E1DDFB5ADE315A1.6">#REF!</definedName>
    <definedName name="MSTR.F36A8F7E413F36F43E1DDFB5ADE315A1.7">#REF!</definedName>
    <definedName name="MSTR.F36A8F7E413F36F43E1DDFB5ADE315A1.8">#REF!</definedName>
    <definedName name="MSTR.F36A8F7E413F36F43E1DDFB5ADE315A1.9">#REF!</definedName>
    <definedName name="MSTR.GENERACION_BILATERAL" localSheetId="17">#REF!</definedName>
    <definedName name="MSTR.GENERACION_BILATERAL">#REF!</definedName>
    <definedName name="MSTR.GENERACION_BILATERAL1" localSheetId="17">#REF!</definedName>
    <definedName name="MSTR.GENERACION_BILATERAL1">#REF!</definedName>
    <definedName name="MSTR.GENERACION_BILATERAL2" localSheetId="17">#REF!</definedName>
    <definedName name="MSTR.GENERACION_BILATERAL2">#REF!</definedName>
    <definedName name="MSTR.GENERACION_BILATERAL3">#REF!</definedName>
    <definedName name="MSTR.GENERACION_BILATERAL4">#REF!</definedName>
    <definedName name="MSTR.GeneraciónPBF">#REF!</definedName>
    <definedName name="MSTR.GeneraciónPBF1">#REF!</definedName>
    <definedName name="MSTR.GeneraciónPBF2">#REF!</definedName>
    <definedName name="MSTR.GeneraciónPBF3">#REF!</definedName>
    <definedName name="MSTR.GeneraciónPBF4">#REF!</definedName>
    <definedName name="MSTR.Mercado_Diario">#REF!</definedName>
    <definedName name="MSTR.Mercado_Intradiario2">#REF!</definedName>
    <definedName name="MSTR.Mercado_Intradiario3">#REF!</definedName>
    <definedName name="MSTR.Mercado_Intradiario4">#REF!</definedName>
    <definedName name="MSTR.Mercado_Intradiario5">#REF!</definedName>
    <definedName name="MSTR.Mercado_Intradiario6">#REF!</definedName>
    <definedName name="MSTR.Precio_medio_final_Mensual" localSheetId="17">#REF!</definedName>
    <definedName name="MSTR.Precio_medio_final_Mensual">#REF!</definedName>
    <definedName name="MSTR.Precios_Enlace_Baleares" localSheetId="17">#REF!</definedName>
    <definedName name="MSTR.Precios_Enlace_Baleares">#REF!</definedName>
    <definedName name="MSTR.pRECIOS_MERCADOS_EUROPEOS">#REF!</definedName>
    <definedName name="MSTR.Precios_y_energías_MD____Diario_simple_" localSheetId="17">#REF!</definedName>
    <definedName name="MSTR.Precios_y_energías_MD____Diario_simple_">#REF!</definedName>
    <definedName name="MSTR.Precios_y_energías_MD____Diario_simple_1">#REF!</definedName>
    <definedName name="MSTR.Precios_y_energías_MD____Diario_simple_2">#REF!</definedName>
    <definedName name="MSTR.Precios_y_energías_MD____Diario_simple_3">#REF!</definedName>
    <definedName name="MSTR.Programa_del_enlace__Diario_Simple_">#REF!</definedName>
    <definedName name="MSTR.Res_adi_subir_mensual__Combustible">#REF!</definedName>
    <definedName name="MSTR.ROPRIMA">#REF!</definedName>
    <definedName name="MSTR.ROPRIMA1">#REF!</definedName>
    <definedName name="MSTR.ROPRIMA2">#REF!</definedName>
    <definedName name="MSTR.ROPRIMA3">#REF!</definedName>
  </definedNames>
  <calcPr calcId="191029"/>
  <customWorkbookViews>
    <customWorkbookView name="C1_V" guid="{900DFCB2-DCF9-11D6-8470-0008C7298EBA}" includePrintSettings="0" includeHiddenRowCol="0" maximized="1" showSheetTabs="0" windowWidth="794" windowHeight="457" tabRatio="905" activeSheetId="62755" showStatusbar="0"/>
    <customWorkbookView name="C3_V" guid="{900DFCB4-DCF9-11D6-8470-0008C7298EBA}" includePrintSettings="0" includeHiddenRowCol="0" maximized="1" showSheetTabs="0" windowWidth="794" windowHeight="457" tabRatio="905" activeSheetId="62755" showStatusbar="0"/>
    <customWorkbookView name="C2_V" guid="{900DFCB5-DCF9-11D6-8470-0008C7298EBA}" includePrintSettings="0" includeHiddenRowCol="0" maximized="1" showSheetTabs="0" windowWidth="794" windowHeight="457" tabRatio="905" activeSheetId="62754" showStatusbar="0"/>
    <customWorkbookView name="C4_V" guid="{900DFCB6-DCF9-11D6-8470-0008C7298EBA}" includePrintSettings="0" includeHiddenRowCol="0" maximized="1" showSheetTabs="0" windowWidth="794" windowHeight="457" tabRatio="905" activeSheetId="62755" showStatusbar="0"/>
    <customWorkbookView name="C5_V" guid="{900DFCB7-DCF9-11D6-8470-0008C7298EBA}" includePrintSettings="0" includeHiddenRowCol="0" maximized="1" showSheetTabs="0" windowWidth="794" windowHeight="457" tabRatio="905" activeSheetId="62755" showStatusbar="0"/>
    <customWorkbookView name="C7_V" guid="{900DFCB8-DCF9-11D6-8470-0008C7298EBA}" includePrintSettings="0" includeHiddenRowCol="0" maximized="1" showSheetTabs="0" windowWidth="794" windowHeight="457" tabRatio="905" activeSheetId="62754" showStatusbar="0"/>
    <customWorkbookView name="C8_V" guid="{900DFCB9-DCF9-11D6-8470-0008C7298EBA}" includePrintSettings="0" includeHiddenRowCol="0" maximized="1" showSheetTabs="0" windowWidth="794" windowHeight="457" tabRatio="905" activeSheetId="62755" showStatusbar="0"/>
    <customWorkbookView name="C9_V" guid="{900DFCBA-DCF9-11D6-8470-0008C7298EBA}" includePrintSettings="0" includeHiddenRowCol="0" maximized="1" showSheetTabs="0" windowWidth="794" windowHeight="457" tabRatio="905" activeSheetId="62755" showStatusbar="0"/>
    <customWorkbookView name="C10_V" guid="{900DFCBB-DCF9-11D6-8470-0008C7298EBA}" includePrintSettings="0" includeHiddenRowCol="0" maximized="1" showSheetTabs="0" windowWidth="794" windowHeight="457" tabRatio="905" activeSheetId="62755" showStatusbar="0"/>
    <customWorkbookView name="C11_V" guid="{900DFCBC-DCF9-11D6-8470-0008C7298EBA}" includePrintSettings="0" includeHiddenRowCol="0" maximized="1" showSheetTabs="0" windowWidth="794" windowHeight="457" tabRatio="905" activeSheetId="62755" showStatusbar="0"/>
    <customWorkbookView name="C12_V" guid="{900DFCBD-DCF9-11D6-8470-0008C7298EBA}" includePrintSettings="0" includeHiddenRowCol="0" maximized="1" showSheetTabs="0" windowWidth="794" windowHeight="457" tabRatio="905" activeSheetId="62755" showStatusbar="0"/>
    <customWorkbookView name="C13_V" guid="{900DFCBE-DCF9-11D6-8470-0008C7298EBA}" includePrintSettings="0" includeHiddenRowCol="0" maximized="1" showSheetTabs="0" windowWidth="794" windowHeight="457" tabRatio="905" activeSheetId="62755" showStatusbar="0"/>
    <customWorkbookView name="C14_V" guid="{900DFCBF-DCF9-11D6-8470-0008C7298EBA}" includePrintSettings="0" includeHiddenRowCol="0" maximized="1" showSheetTabs="0" windowWidth="794" windowHeight="457" tabRatio="905" activeSheetId="62755" showStatusbar="0"/>
    <customWorkbookView name="C20_V" guid="{900DFCC0-DCF9-11D6-8470-0008C7298EBA}" includePrintSettings="0" includeHiddenRowCol="0" maximized="1" showSheetTabs="0" windowWidth="794" windowHeight="457" tabRatio="905" activeSheetId="62755" showStatusbar="0"/>
    <customWorkbookView name="C23_V" guid="{900DFCC1-DCF9-11D6-8470-0008C7298EBA}" includePrintSettings="0" includeHiddenRowCol="0" maximized="1" showSheetTabs="0" windowWidth="794" windowHeight="457" tabRatio="905" activeSheetId="62755" showStatusbar="0"/>
    <customWorkbookView name="C25_V" guid="{900DFCC2-DCF9-11D6-8470-0008C7298EBA}" includePrintSettings="0" includeHiddenRowCol="0" maximized="1" showSheetTabs="0" windowWidth="794" windowHeight="457" tabRatio="905" activeSheetId="62755" showStatusbar="0"/>
    <customWorkbookView name="C26_V" guid="{900DFCC3-DCF9-11D6-8470-0008C7298EBA}" includePrintSettings="0" includeHiddenRowCol="0" maximized="1" showSheetTabs="0" windowWidth="794" windowHeight="457" tabRatio="905" activeSheetId="62755" showStatusbar="0"/>
    <customWorkbookView name="C28_V" guid="{900DFCC4-DCF9-11D6-8470-0008C7298EBA}" includePrintSettings="0" includeHiddenRowCol="0" maximized="1" showSheetTabs="0" windowWidth="794" windowHeight="457" tabRatio="905" activeSheetId="62755" showStatusbar="0"/>
    <customWorkbookView name="C29_V" guid="{900DFCC5-DCF9-11D6-8470-0008C7298EBA}" includePrintSettings="0" includeHiddenRowCol="0" maximized="1" showSheetTabs="0" windowWidth="794" windowHeight="457" tabRatio="905" activeSheetId="62755" showStatusbar="0"/>
    <customWorkbookView name="C31_V" guid="{900DFCC6-DCF9-11D6-8470-0008C7298EBA}" includePrintSettings="0" includeHiddenRowCol="0" maximized="1" showSheetTabs="0" windowWidth="794" windowHeight="457" tabRatio="905" activeSheetId="62755" showStatusbar="0"/>
    <customWorkbookView name="C33_V" guid="{900DFCC7-DCF9-11D6-8470-0008C7298EBA}" includePrintSettings="0" includeHiddenRowCol="0" maximized="1" showSheetTabs="0" windowWidth="794" windowHeight="457" tabRatio="905" activeSheetId="62755" showStatusbar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0" i="96" l="1"/>
  <c r="D80" i="96"/>
  <c r="E80" i="96"/>
  <c r="F80" i="96"/>
  <c r="G80" i="96"/>
  <c r="H80" i="96"/>
  <c r="I80" i="96"/>
  <c r="J80" i="96"/>
  <c r="K80" i="96"/>
  <c r="L80" i="96"/>
  <c r="M80" i="96"/>
  <c r="N80" i="96"/>
  <c r="B80" i="96"/>
  <c r="A465" i="96" l="1"/>
  <c r="A464" i="96"/>
  <c r="A463" i="96"/>
  <c r="A462" i="96"/>
  <c r="A461" i="96"/>
  <c r="A460" i="96"/>
  <c r="A459" i="96"/>
  <c r="A458" i="96"/>
  <c r="A457" i="96"/>
  <c r="A456" i="96"/>
  <c r="A455" i="96"/>
  <c r="A454" i="96"/>
  <c r="A453" i="96"/>
  <c r="I453" i="96" a="1"/>
  <c r="I456" i="96" s="1"/>
  <c r="F453" i="96"/>
  <c r="F465" i="96"/>
  <c r="C465" i="96"/>
  <c r="B465" i="96"/>
  <c r="F464" i="96"/>
  <c r="C464" i="96"/>
  <c r="B464" i="96"/>
  <c r="F463" i="96"/>
  <c r="C463" i="96"/>
  <c r="B463" i="96"/>
  <c r="F462" i="96"/>
  <c r="C462" i="96"/>
  <c r="B462" i="96"/>
  <c r="F461" i="96"/>
  <c r="C461" i="96"/>
  <c r="B461" i="96"/>
  <c r="F460" i="96"/>
  <c r="C460" i="96"/>
  <c r="B460" i="96"/>
  <c r="F459" i="96"/>
  <c r="C459" i="96"/>
  <c r="B459" i="96"/>
  <c r="F458" i="96"/>
  <c r="C458" i="96"/>
  <c r="B458" i="96"/>
  <c r="F457" i="96"/>
  <c r="C457" i="96"/>
  <c r="B457" i="96"/>
  <c r="F456" i="96"/>
  <c r="C456" i="96"/>
  <c r="B456" i="96"/>
  <c r="F455" i="96"/>
  <c r="C455" i="96"/>
  <c r="B455" i="96"/>
  <c r="F454" i="96"/>
  <c r="C454" i="96"/>
  <c r="B454" i="96"/>
  <c r="C453" i="96"/>
  <c r="B453" i="96"/>
  <c r="K94" i="96"/>
  <c r="H94" i="96"/>
  <c r="N87" i="96"/>
  <c r="M87" i="96"/>
  <c r="L87" i="96"/>
  <c r="K87" i="96"/>
  <c r="J87" i="96"/>
  <c r="I87" i="96"/>
  <c r="H87" i="96"/>
  <c r="G87" i="96"/>
  <c r="F87" i="96"/>
  <c r="E87" i="96"/>
  <c r="D87" i="96"/>
  <c r="C87" i="96"/>
  <c r="B87" i="96"/>
  <c r="N83" i="96"/>
  <c r="I94" i="96" s="1"/>
  <c r="M83" i="96"/>
  <c r="L83" i="96"/>
  <c r="K83" i="96"/>
  <c r="J83" i="96"/>
  <c r="I83" i="96"/>
  <c r="H83" i="96"/>
  <c r="G83" i="96"/>
  <c r="F83" i="96"/>
  <c r="E83" i="96"/>
  <c r="D83" i="96"/>
  <c r="C83" i="96"/>
  <c r="B83" i="96"/>
  <c r="N82" i="96"/>
  <c r="M82" i="96"/>
  <c r="L82" i="96"/>
  <c r="K82" i="96"/>
  <c r="J82" i="96"/>
  <c r="I82" i="96"/>
  <c r="H82" i="96"/>
  <c r="G82" i="96"/>
  <c r="F82" i="96"/>
  <c r="E82" i="96"/>
  <c r="D82" i="96"/>
  <c r="C82" i="96"/>
  <c r="B82" i="96"/>
  <c r="N81" i="96"/>
  <c r="M81" i="96"/>
  <c r="L81" i="96"/>
  <c r="K81" i="96"/>
  <c r="J81" i="96"/>
  <c r="I81" i="96"/>
  <c r="H81" i="96"/>
  <c r="G81" i="96"/>
  <c r="F81" i="96"/>
  <c r="E81" i="96"/>
  <c r="D81" i="96"/>
  <c r="C81" i="96"/>
  <c r="B81" i="96"/>
  <c r="E94" i="96"/>
  <c r="C94" i="96"/>
  <c r="B94" i="96"/>
  <c r="G107" i="96"/>
  <c r="G99" i="96"/>
  <c r="G100" i="96"/>
  <c r="F12" i="76" s="1"/>
  <c r="G101" i="96"/>
  <c r="G102" i="96"/>
  <c r="G103" i="96"/>
  <c r="F13" i="76" s="1"/>
  <c r="G104" i="96"/>
  <c r="G105" i="96"/>
  <c r="G106" i="96"/>
  <c r="F15" i="76" s="1"/>
  <c r="G98" i="96"/>
  <c r="C100" i="96"/>
  <c r="G12" i="76" s="1"/>
  <c r="C101" i="96"/>
  <c r="C102" i="96"/>
  <c r="C103" i="96"/>
  <c r="G13" i="76" s="1"/>
  <c r="C104" i="96"/>
  <c r="C105" i="96"/>
  <c r="C106" i="96"/>
  <c r="G15" i="76" s="1"/>
  <c r="C107" i="96"/>
  <c r="C98" i="96"/>
  <c r="C99" i="96"/>
  <c r="G97" i="96"/>
  <c r="C97" i="96"/>
  <c r="P62" i="96"/>
  <c r="O62" i="96"/>
  <c r="N90" i="96"/>
  <c r="M90" i="96"/>
  <c r="L90" i="96"/>
  <c r="K90" i="96"/>
  <c r="J90" i="96"/>
  <c r="I90" i="96"/>
  <c r="H90" i="96"/>
  <c r="G90" i="96"/>
  <c r="F90" i="96"/>
  <c r="E90" i="96"/>
  <c r="D90" i="96"/>
  <c r="C90" i="96"/>
  <c r="B90" i="96"/>
  <c r="B85" i="96"/>
  <c r="C85" i="96"/>
  <c r="D85" i="96"/>
  <c r="E85" i="96"/>
  <c r="F85" i="96"/>
  <c r="G85" i="96"/>
  <c r="H85" i="96"/>
  <c r="I85" i="96"/>
  <c r="J85" i="96"/>
  <c r="K85" i="96"/>
  <c r="L85" i="96"/>
  <c r="M85" i="96"/>
  <c r="N85" i="96"/>
  <c r="B86" i="96"/>
  <c r="C86" i="96"/>
  <c r="D86" i="96"/>
  <c r="E86" i="96"/>
  <c r="F86" i="96"/>
  <c r="G86" i="96"/>
  <c r="H86" i="96"/>
  <c r="I86" i="96"/>
  <c r="J86" i="96"/>
  <c r="K86" i="96"/>
  <c r="L86" i="96"/>
  <c r="M86" i="96"/>
  <c r="N86" i="96"/>
  <c r="B88" i="96"/>
  <c r="C88" i="96"/>
  <c r="D88" i="96"/>
  <c r="E88" i="96"/>
  <c r="F88" i="96"/>
  <c r="G88" i="96"/>
  <c r="H88" i="96"/>
  <c r="I88" i="96"/>
  <c r="J88" i="96"/>
  <c r="K88" i="96"/>
  <c r="L88" i="96"/>
  <c r="M88" i="96"/>
  <c r="N88" i="96"/>
  <c r="B89" i="96"/>
  <c r="C89" i="96"/>
  <c r="D89" i="96"/>
  <c r="E89" i="96"/>
  <c r="F89" i="96"/>
  <c r="G89" i="96"/>
  <c r="H89" i="96"/>
  <c r="I89" i="96"/>
  <c r="J89" i="96"/>
  <c r="K89" i="96"/>
  <c r="L89" i="96"/>
  <c r="M89" i="96"/>
  <c r="N89" i="96"/>
  <c r="B84" i="96"/>
  <c r="C84" i="96"/>
  <c r="D84" i="96"/>
  <c r="E84" i="96"/>
  <c r="F84" i="96"/>
  <c r="G84" i="96"/>
  <c r="H84" i="96"/>
  <c r="I84" i="96"/>
  <c r="J84" i="96"/>
  <c r="K84" i="96"/>
  <c r="L84" i="96"/>
  <c r="M84" i="96"/>
  <c r="N84" i="96"/>
  <c r="E453" i="96" l="1"/>
  <c r="J94" i="96"/>
  <c r="G14" i="76"/>
  <c r="F14" i="76"/>
  <c r="I455" i="96"/>
  <c r="I454" i="96"/>
  <c r="I465" i="96"/>
  <c r="I453" i="96"/>
  <c r="I463" i="96"/>
  <c r="I462" i="96"/>
  <c r="I464" i="96"/>
  <c r="I461" i="96"/>
  <c r="I460" i="96"/>
  <c r="I459" i="96"/>
  <c r="I458" i="96"/>
  <c r="I457" i="96"/>
  <c r="A426" i="96" l="1"/>
  <c r="A427" i="96"/>
  <c r="A428" i="96"/>
  <c r="A429" i="96"/>
  <c r="A430" i="96"/>
  <c r="A431" i="96"/>
  <c r="A432" i="96"/>
  <c r="A433" i="96"/>
  <c r="A434" i="96"/>
  <c r="A435" i="96"/>
  <c r="A436" i="96"/>
  <c r="A437" i="96"/>
  <c r="A425" i="96"/>
  <c r="A471" i="96" l="1"/>
  <c r="B471" i="96"/>
  <c r="C471" i="96"/>
  <c r="D471" i="96"/>
  <c r="E471" i="96"/>
  <c r="F471" i="96"/>
  <c r="G471" i="96"/>
  <c r="H471" i="96"/>
  <c r="B472" i="96"/>
  <c r="C472" i="96"/>
  <c r="D472" i="96"/>
  <c r="G472" i="96"/>
  <c r="H472" i="96"/>
  <c r="D473" i="96"/>
  <c r="C470" i="96"/>
  <c r="A470" i="96"/>
  <c r="A469" i="96"/>
  <c r="P151" i="96" l="1"/>
  <c r="N394" i="96" l="1"/>
  <c r="M394" i="96"/>
  <c r="L394" i="96"/>
  <c r="K394" i="96"/>
  <c r="J394" i="96"/>
  <c r="I394" i="96"/>
  <c r="H394" i="96"/>
  <c r="G394" i="96"/>
  <c r="F394" i="96"/>
  <c r="E394" i="96"/>
  <c r="D394" i="96"/>
  <c r="C394" i="96"/>
  <c r="B394" i="96"/>
  <c r="O130" i="96"/>
  <c r="C185" i="96" l="1"/>
  <c r="D185" i="96"/>
  <c r="E185" i="96"/>
  <c r="F185" i="96"/>
  <c r="G185" i="96"/>
  <c r="H185" i="96"/>
  <c r="I185" i="96"/>
  <c r="J185" i="96"/>
  <c r="K185" i="96"/>
  <c r="L185" i="96"/>
  <c r="M185" i="96"/>
  <c r="N185" i="96"/>
  <c r="B185" i="96"/>
  <c r="A114" i="96" l="1"/>
  <c r="P354" i="96" l="1"/>
  <c r="P371" i="96"/>
  <c r="K130" i="96" l="1"/>
  <c r="P216" i="96"/>
  <c r="AN8" i="96" l="1"/>
  <c r="AN38" i="96" l="1"/>
  <c r="AN9" i="96"/>
  <c r="AN10" i="96"/>
  <c r="AN11" i="96"/>
  <c r="AN12" i="96"/>
  <c r="AN13" i="96"/>
  <c r="AN14" i="96"/>
  <c r="AN15" i="96"/>
  <c r="AN16" i="96"/>
  <c r="AN17" i="96"/>
  <c r="AN18" i="96"/>
  <c r="AN19" i="96"/>
  <c r="AN20" i="96"/>
  <c r="AN21" i="96"/>
  <c r="AN22" i="96"/>
  <c r="AN23" i="96"/>
  <c r="AN24" i="96"/>
  <c r="AN25" i="96"/>
  <c r="AN26" i="96"/>
  <c r="AN27" i="96"/>
  <c r="AN28" i="96"/>
  <c r="AN29" i="96"/>
  <c r="AN30" i="96"/>
  <c r="AN31" i="96"/>
  <c r="AN32" i="96"/>
  <c r="AN33" i="96"/>
  <c r="AN34" i="96"/>
  <c r="AN35" i="96"/>
  <c r="AN36" i="96"/>
  <c r="AN37" i="96"/>
  <c r="Q371" i="96" l="1"/>
  <c r="P169" i="96" l="1"/>
  <c r="A115" i="96" l="1"/>
  <c r="N91" i="96" l="1"/>
  <c r="G94" i="96" s="1"/>
  <c r="P419" i="96" l="1"/>
  <c r="P418" i="96"/>
  <c r="P417" i="96"/>
  <c r="P415" i="96"/>
  <c r="P414" i="96"/>
  <c r="P413" i="96"/>
  <c r="P412" i="96"/>
  <c r="P404" i="96" l="1"/>
  <c r="P403" i="96"/>
  <c r="P402" i="96"/>
  <c r="N389" i="96"/>
  <c r="M389" i="96"/>
  <c r="L389" i="96"/>
  <c r="K389" i="96"/>
  <c r="J389" i="96"/>
  <c r="I389" i="96"/>
  <c r="H389" i="96"/>
  <c r="G389" i="96"/>
  <c r="F389" i="96"/>
  <c r="E389" i="96"/>
  <c r="D389" i="96"/>
  <c r="C389" i="96"/>
  <c r="B389" i="96"/>
  <c r="C126" i="96"/>
  <c r="B126" i="96"/>
  <c r="H95" i="96" l="1"/>
  <c r="J7" i="101" l="1"/>
  <c r="J8" i="101"/>
  <c r="J9" i="101"/>
  <c r="J10" i="101"/>
  <c r="J11" i="101"/>
  <c r="J12" i="101"/>
  <c r="J13" i="101"/>
  <c r="J14" i="101"/>
  <c r="J15" i="101"/>
  <c r="J16" i="101"/>
  <c r="J17" i="101"/>
  <c r="J18" i="101"/>
  <c r="J19" i="101"/>
  <c r="AD8" i="96"/>
  <c r="F19" i="101" l="1"/>
  <c r="G19" i="101"/>
  <c r="I7" i="101"/>
  <c r="I18" i="101"/>
  <c r="I15" i="101"/>
  <c r="I9" i="101"/>
  <c r="I17" i="101"/>
  <c r="I14" i="101"/>
  <c r="I11" i="101"/>
  <c r="I8" i="101"/>
  <c r="H19" i="101"/>
  <c r="I12" i="101"/>
  <c r="I19" i="101"/>
  <c r="I16" i="101"/>
  <c r="I13" i="101"/>
  <c r="I10" i="101"/>
  <c r="O90" i="96" l="1"/>
  <c r="P90" i="96" l="1"/>
  <c r="J95" i="96"/>
  <c r="I95" i="96"/>
  <c r="H121" i="96" l="1"/>
  <c r="A2" i="96" l="1"/>
  <c r="E464" i="96" l="1"/>
  <c r="E463" i="96"/>
  <c r="E462" i="96"/>
  <c r="E461" i="96"/>
  <c r="E460" i="96"/>
  <c r="E459" i="96"/>
  <c r="E458" i="96"/>
  <c r="E457" i="96"/>
  <c r="E456" i="96"/>
  <c r="E455" i="96"/>
  <c r="E454" i="96"/>
  <c r="E465" i="96" l="1"/>
  <c r="H486" i="96"/>
  <c r="G486" i="96"/>
  <c r="F486" i="96"/>
  <c r="E486" i="96"/>
  <c r="D486" i="96"/>
  <c r="C486" i="96"/>
  <c r="B486" i="96"/>
  <c r="H485" i="96"/>
  <c r="G485" i="96"/>
  <c r="F485" i="96"/>
  <c r="E485" i="96"/>
  <c r="D485" i="96"/>
  <c r="C485" i="96"/>
  <c r="B485" i="96"/>
  <c r="H484" i="96"/>
  <c r="G484" i="96"/>
  <c r="F484" i="96"/>
  <c r="E484" i="96"/>
  <c r="D484" i="96"/>
  <c r="C484" i="96"/>
  <c r="B484" i="96"/>
  <c r="H483" i="96"/>
  <c r="G483" i="96"/>
  <c r="F483" i="96"/>
  <c r="E483" i="96"/>
  <c r="D483" i="96"/>
  <c r="C483" i="96"/>
  <c r="B483" i="96"/>
  <c r="H482" i="96"/>
  <c r="G482" i="96"/>
  <c r="F482" i="96"/>
  <c r="E482" i="96"/>
  <c r="D482" i="96"/>
  <c r="C482" i="96"/>
  <c r="B482" i="96"/>
  <c r="H481" i="96"/>
  <c r="G481" i="96"/>
  <c r="F481" i="96"/>
  <c r="E481" i="96"/>
  <c r="D481" i="96"/>
  <c r="C481" i="96"/>
  <c r="B481" i="96"/>
  <c r="H480" i="96"/>
  <c r="G480" i="96"/>
  <c r="F480" i="96"/>
  <c r="E480" i="96"/>
  <c r="D480" i="96"/>
  <c r="C480" i="96"/>
  <c r="B480" i="96"/>
  <c r="H479" i="96"/>
  <c r="G479" i="96"/>
  <c r="F479" i="96"/>
  <c r="E479" i="96"/>
  <c r="D479" i="96"/>
  <c r="C479" i="96"/>
  <c r="B479" i="96"/>
  <c r="H478" i="96"/>
  <c r="G478" i="96"/>
  <c r="F478" i="96"/>
  <c r="E478" i="96"/>
  <c r="D478" i="96"/>
  <c r="C478" i="96"/>
  <c r="B478" i="96"/>
  <c r="H477" i="96"/>
  <c r="G477" i="96"/>
  <c r="F477" i="96"/>
  <c r="E477" i="96"/>
  <c r="D477" i="96"/>
  <c r="C477" i="96"/>
  <c r="B477" i="96"/>
  <c r="H476" i="96"/>
  <c r="G476" i="96"/>
  <c r="F476" i="96"/>
  <c r="E476" i="96"/>
  <c r="D476" i="96"/>
  <c r="C476" i="96"/>
  <c r="B476" i="96"/>
  <c r="H475" i="96"/>
  <c r="G475" i="96"/>
  <c r="F475" i="96"/>
  <c r="E475" i="96"/>
  <c r="D475" i="96"/>
  <c r="C475" i="96"/>
  <c r="B475" i="96"/>
  <c r="H474" i="96"/>
  <c r="G474" i="96"/>
  <c r="F474" i="96"/>
  <c r="E474" i="96"/>
  <c r="D474" i="96"/>
  <c r="C474" i="96"/>
  <c r="B474" i="96"/>
  <c r="AK8" i="96"/>
  <c r="B23" i="101"/>
  <c r="G95" i="96" l="1"/>
  <c r="G494" i="96"/>
  <c r="F494" i="96"/>
  <c r="E494" i="96"/>
  <c r="D494" i="96"/>
  <c r="C494" i="96"/>
  <c r="B494" i="96"/>
  <c r="J54" i="101"/>
  <c r="AM8" i="96" l="1"/>
  <c r="O183" i="96" l="1"/>
  <c r="P192" i="96"/>
  <c r="O191" i="96"/>
  <c r="O192" i="96"/>
  <c r="C187" i="96"/>
  <c r="D187" i="96"/>
  <c r="E187" i="96"/>
  <c r="F187" i="96"/>
  <c r="G187" i="96"/>
  <c r="H187" i="96"/>
  <c r="I187" i="96"/>
  <c r="J187" i="96"/>
  <c r="K187" i="96"/>
  <c r="L187" i="96"/>
  <c r="M187" i="96"/>
  <c r="N187" i="96"/>
  <c r="B187" i="96"/>
  <c r="C180" i="96"/>
  <c r="D180" i="96"/>
  <c r="E180" i="96"/>
  <c r="F180" i="96"/>
  <c r="G180" i="96"/>
  <c r="H180" i="96"/>
  <c r="I180" i="96"/>
  <c r="J180" i="96"/>
  <c r="K180" i="96"/>
  <c r="L180" i="96"/>
  <c r="M180" i="96"/>
  <c r="N180" i="96"/>
  <c r="B180" i="96"/>
  <c r="O335" i="96"/>
  <c r="N335" i="96"/>
  <c r="M335" i="96"/>
  <c r="L335" i="96"/>
  <c r="K335" i="96"/>
  <c r="J335" i="96"/>
  <c r="I335" i="96"/>
  <c r="H335" i="96"/>
  <c r="G335" i="96"/>
  <c r="F335" i="96"/>
  <c r="E335" i="96"/>
  <c r="D335" i="96"/>
  <c r="C335" i="96"/>
  <c r="C125" i="96"/>
  <c r="B125" i="96"/>
  <c r="O194" i="96"/>
  <c r="N194" i="96"/>
  <c r="M194" i="96"/>
  <c r="L194" i="96"/>
  <c r="K194" i="96"/>
  <c r="J194" i="96"/>
  <c r="I194" i="96"/>
  <c r="H194" i="96"/>
  <c r="G194" i="96"/>
  <c r="F194" i="96"/>
  <c r="E194" i="96"/>
  <c r="D194" i="96"/>
  <c r="C194" i="96"/>
  <c r="Q235" i="96" l="1"/>
  <c r="P235" i="96"/>
  <c r="AG8" i="96" l="1"/>
  <c r="AI8" i="96" s="1"/>
  <c r="I121" i="96"/>
  <c r="AE8" i="96" l="1"/>
  <c r="AF8" i="96" s="1"/>
  <c r="F8" i="76"/>
  <c r="G8" i="76"/>
  <c r="H122" i="96" l="1"/>
  <c r="I122" i="96" l="1"/>
  <c r="D130" i="96"/>
  <c r="E130" i="96"/>
  <c r="F130" i="96"/>
  <c r="G130" i="96"/>
  <c r="H130" i="96"/>
  <c r="I130" i="96"/>
  <c r="J130" i="96"/>
  <c r="L130" i="96"/>
  <c r="M130" i="96"/>
  <c r="N130" i="96"/>
  <c r="C130" i="96"/>
  <c r="G9" i="76"/>
  <c r="F10" i="76"/>
  <c r="G10" i="76"/>
  <c r="F9" i="76"/>
  <c r="J459" i="96" l="1"/>
  <c r="A480" i="96"/>
  <c r="A500" i="96" s="1"/>
  <c r="J456" i="96"/>
  <c r="A477" i="96"/>
  <c r="A497" i="96" s="1"/>
  <c r="J458" i="96"/>
  <c r="A479" i="96"/>
  <c r="A499" i="96" s="1"/>
  <c r="J463" i="96"/>
  <c r="A484" i="96"/>
  <c r="A504" i="96" s="1"/>
  <c r="J457" i="96"/>
  <c r="A478" i="96"/>
  <c r="A498" i="96" s="1"/>
  <c r="J461" i="96"/>
  <c r="A482" i="96"/>
  <c r="A502" i="96" s="1"/>
  <c r="J455" i="96"/>
  <c r="A476" i="96"/>
  <c r="A496" i="96" s="1"/>
  <c r="J464" i="96"/>
  <c r="A485" i="96"/>
  <c r="A505" i="96" s="1"/>
  <c r="J462" i="96"/>
  <c r="A483" i="96"/>
  <c r="A503" i="96" s="1"/>
  <c r="J460" i="96"/>
  <c r="A481" i="96"/>
  <c r="A501" i="96" s="1"/>
  <c r="J454" i="96"/>
  <c r="A475" i="96"/>
  <c r="A495" i="96" s="1"/>
  <c r="J453" i="96"/>
  <c r="A474" i="96"/>
  <c r="A494" i="96" s="1"/>
  <c r="D456" i="96"/>
  <c r="D457" i="96"/>
  <c r="D453" i="96"/>
  <c r="D455" i="96"/>
  <c r="D459" i="96"/>
  <c r="D462" i="96"/>
  <c r="D454" i="96"/>
  <c r="D464" i="96"/>
  <c r="D461" i="96"/>
  <c r="D460" i="96"/>
  <c r="D463" i="96"/>
  <c r="D458" i="96"/>
  <c r="F11" i="76" l="1"/>
  <c r="F16" i="76" l="1"/>
  <c r="G11" i="76"/>
  <c r="G16" i="76" l="1"/>
  <c r="D124" i="96"/>
  <c r="D123" i="96"/>
  <c r="D121" i="96"/>
  <c r="G17" i="76" l="1"/>
  <c r="A19" i="101"/>
  <c r="A34" i="101"/>
  <c r="A17" i="101"/>
  <c r="A32" i="101"/>
  <c r="A31" i="101"/>
  <c r="A30" i="101"/>
  <c r="A13" i="101"/>
  <c r="A24" i="101"/>
  <c r="A9" i="101"/>
  <c r="A26" i="101"/>
  <c r="A11" i="101"/>
  <c r="A28" i="101"/>
  <c r="A23" i="101"/>
  <c r="B24" i="101"/>
  <c r="B25" i="101"/>
  <c r="B26" i="101"/>
  <c r="B27" i="101"/>
  <c r="B28" i="101"/>
  <c r="B29" i="101"/>
  <c r="B30" i="101"/>
  <c r="B31" i="101"/>
  <c r="B32" i="101"/>
  <c r="B33" i="101"/>
  <c r="B34" i="101"/>
  <c r="B35" i="101"/>
  <c r="G502" i="96" l="1"/>
  <c r="F502" i="96"/>
  <c r="D502" i="96"/>
  <c r="E502" i="96"/>
  <c r="C502" i="96"/>
  <c r="B502" i="96"/>
  <c r="B505" i="96"/>
  <c r="F505" i="96"/>
  <c r="G505" i="96"/>
  <c r="E505" i="96"/>
  <c r="C505" i="96"/>
  <c r="D505" i="96"/>
  <c r="G504" i="96"/>
  <c r="C504" i="96"/>
  <c r="F504" i="96"/>
  <c r="E504" i="96"/>
  <c r="D504" i="96"/>
  <c r="B504" i="96"/>
  <c r="F503" i="96"/>
  <c r="G503" i="96"/>
  <c r="B503" i="96"/>
  <c r="E503" i="96"/>
  <c r="D503" i="96"/>
  <c r="C503" i="96"/>
  <c r="B501" i="96"/>
  <c r="G501" i="96"/>
  <c r="F501" i="96"/>
  <c r="C501" i="96"/>
  <c r="E501" i="96"/>
  <c r="D501" i="96"/>
  <c r="G500" i="96"/>
  <c r="D500" i="96"/>
  <c r="F500" i="96"/>
  <c r="C500" i="96"/>
  <c r="E500" i="96"/>
  <c r="B500" i="96"/>
  <c r="F499" i="96"/>
  <c r="G499" i="96"/>
  <c r="E499" i="96"/>
  <c r="D499" i="96"/>
  <c r="C499" i="96"/>
  <c r="B499" i="96"/>
  <c r="G498" i="96"/>
  <c r="F498" i="96"/>
  <c r="D498" i="96"/>
  <c r="E498" i="96"/>
  <c r="C498" i="96"/>
  <c r="B498" i="96"/>
  <c r="C497" i="96"/>
  <c r="G497" i="96"/>
  <c r="F497" i="96"/>
  <c r="E497" i="96"/>
  <c r="B497" i="96"/>
  <c r="D497" i="96"/>
  <c r="G496" i="96"/>
  <c r="D496" i="96"/>
  <c r="C496" i="96"/>
  <c r="F496" i="96"/>
  <c r="E496" i="96"/>
  <c r="B496" i="96"/>
  <c r="F495" i="96"/>
  <c r="B495" i="96"/>
  <c r="G495" i="96"/>
  <c r="C495" i="96"/>
  <c r="E495" i="96"/>
  <c r="D495" i="96"/>
  <c r="G506" i="96"/>
  <c r="F506" i="96"/>
  <c r="C506" i="96"/>
  <c r="E506" i="96"/>
  <c r="D506" i="96"/>
  <c r="B506" i="96"/>
  <c r="A7" i="101"/>
  <c r="A15" i="101"/>
  <c r="A12" i="101"/>
  <c r="A35" i="101"/>
  <c r="A16" i="101"/>
  <c r="A8" i="101"/>
  <c r="A33" i="101"/>
  <c r="A29" i="101"/>
  <c r="A25" i="101"/>
  <c r="A18" i="101"/>
  <c r="A14" i="101"/>
  <c r="A10" i="101"/>
  <c r="A27" i="101"/>
  <c r="J35" i="101" l="1"/>
  <c r="J27" i="101"/>
  <c r="H498" i="96" s="1"/>
  <c r="J25" i="101"/>
  <c r="H496" i="96" s="1"/>
  <c r="J33" i="101"/>
  <c r="H504" i="96" s="1"/>
  <c r="J29" i="101"/>
  <c r="H500" i="96" s="1"/>
  <c r="J32" i="101"/>
  <c r="H503" i="96" s="1"/>
  <c r="J26" i="101"/>
  <c r="H497" i="96" s="1"/>
  <c r="J31" i="101"/>
  <c r="H502" i="96" s="1"/>
  <c r="J24" i="101"/>
  <c r="H495" i="96" s="1"/>
  <c r="J28" i="101"/>
  <c r="H499" i="96" s="1"/>
  <c r="J34" i="101"/>
  <c r="H505" i="96" s="1"/>
  <c r="J30" i="101"/>
  <c r="H501" i="96" s="1"/>
  <c r="J23" i="101"/>
  <c r="H494" i="96" s="1"/>
  <c r="H506" i="96" l="1"/>
  <c r="I506" i="96" s="1"/>
  <c r="K35" i="101"/>
  <c r="L35" i="101"/>
  <c r="E17" i="76"/>
  <c r="J506" i="96" l="1"/>
  <c r="E95" i="96"/>
  <c r="J465" i="96" l="1"/>
  <c r="A486" i="96"/>
  <c r="A506" i="96" s="1"/>
  <c r="D94" i="96"/>
  <c r="H453" i="96"/>
  <c r="H463" i="96"/>
  <c r="H455" i="96"/>
  <c r="H456" i="96"/>
  <c r="H464" i="96"/>
  <c r="H457" i="96"/>
  <c r="H458" i="96"/>
  <c r="H459" i="96"/>
  <c r="H460" i="96"/>
  <c r="H461" i="96"/>
  <c r="H454" i="96"/>
  <c r="H462" i="96"/>
  <c r="D465" i="96"/>
  <c r="D95" i="96" l="1"/>
  <c r="L94" i="96"/>
  <c r="H465" i="96"/>
  <c r="K465" i="96" l="1"/>
  <c r="M465" i="96"/>
  <c r="N465" i="96"/>
  <c r="L465" i="96"/>
  <c r="E3" i="92"/>
  <c r="E3" i="110" s="1"/>
  <c r="E3" i="107" l="1"/>
  <c r="L2" i="85"/>
  <c r="H3" i="53"/>
  <c r="L3" i="70"/>
  <c r="E3" i="10"/>
  <c r="L2" i="77"/>
  <c r="L2" i="87"/>
  <c r="L2" i="58"/>
  <c r="E3" i="71"/>
  <c r="E3" i="76"/>
  <c r="L2" i="83"/>
  <c r="E3" i="3"/>
  <c r="E3" i="75"/>
</calcChain>
</file>

<file path=xl/sharedStrings.xml><?xml version="1.0" encoding="utf-8"?>
<sst xmlns="http://schemas.openxmlformats.org/spreadsheetml/2006/main" count="745" uniqueCount="311">
  <si>
    <t>Total</t>
  </si>
  <si>
    <t>Mercado diario</t>
  </si>
  <si>
    <t>Mercado intradiario</t>
  </si>
  <si>
    <t>Regulación terciaria</t>
  </si>
  <si>
    <t xml:space="preserve"> </t>
  </si>
  <si>
    <t>E</t>
  </si>
  <si>
    <t>F</t>
  </si>
  <si>
    <t>M</t>
  </si>
  <si>
    <t>A</t>
  </si>
  <si>
    <t>J</t>
  </si>
  <si>
    <t>S</t>
  </si>
  <si>
    <t>O</t>
  </si>
  <si>
    <t>N</t>
  </si>
  <si>
    <t>D</t>
  </si>
  <si>
    <t>(€/MWh)</t>
  </si>
  <si>
    <t>Desvíos</t>
  </si>
  <si>
    <t>Servicios de ajuste</t>
  </si>
  <si>
    <t>Pagos por capacidad</t>
  </si>
  <si>
    <t>Repercusión de los servicios de ajuste en el precio final (€/MWh)</t>
  </si>
  <si>
    <t>Hidráulica</t>
  </si>
  <si>
    <t>Restricciones técnicas PDBF</t>
  </si>
  <si>
    <t>Banda</t>
  </si>
  <si>
    <t>Ciclo Combinado</t>
  </si>
  <si>
    <t>Restricciones técnicas en tiempo real</t>
  </si>
  <si>
    <t xml:space="preserve">Mercados Diario e Intradiario </t>
  </si>
  <si>
    <t xml:space="preserve">PRECIO FINAL </t>
  </si>
  <si>
    <t>Indicadores</t>
  </si>
  <si>
    <t>Repercusión de los servicios de ajuste del sistema en el precio final medio</t>
  </si>
  <si>
    <t>Energía final</t>
  </si>
  <si>
    <t>Mercado eléctrico</t>
  </si>
  <si>
    <t>Boletín mensual</t>
  </si>
  <si>
    <t xml:space="preserve"> Restricciones técnicas PBF</t>
  </si>
  <si>
    <t>Pagos  por capacidad</t>
  </si>
  <si>
    <t>Demanda peninsular</t>
  </si>
  <si>
    <t>Solución de restricciones técnicas (Fase I)</t>
  </si>
  <si>
    <t>Otros procesos OS</t>
  </si>
  <si>
    <t>Valores extremos y medio del precio del mercado diario</t>
  </si>
  <si>
    <t>Componentes del precio final medio de la energía</t>
  </si>
  <si>
    <t>Mercado diario e intradiario</t>
  </si>
  <si>
    <t>Restricciones técnicas</t>
  </si>
  <si>
    <t>Control de factor de potencia</t>
  </si>
  <si>
    <t>(GWh)</t>
  </si>
  <si>
    <t>(GWh y €/MWh)</t>
  </si>
  <si>
    <r>
      <t xml:space="preserve">Evolución del componente del precio final medio de la energía. </t>
    </r>
    <r>
      <rPr>
        <b/>
        <sz val="8"/>
        <color indexed="8"/>
        <rFont val="Arial"/>
        <family val="2"/>
      </rPr>
      <t>(Suministro de referencia + libre)</t>
    </r>
  </si>
  <si>
    <t>Restricciones PBF</t>
  </si>
  <si>
    <t>Coste desvíos</t>
  </si>
  <si>
    <t>Saldo desvíos</t>
  </si>
  <si>
    <t>Pago capacidad</t>
  </si>
  <si>
    <t>Energia (MWh) a subir</t>
  </si>
  <si>
    <t>Energia (MWh) a bajar</t>
  </si>
  <si>
    <r>
      <t>Evolución de los componentes del precio final medio (</t>
    </r>
    <r>
      <rPr>
        <b/>
        <sz val="8"/>
        <color rgb="FF004563"/>
        <rFont val="Calibri"/>
        <family val="2"/>
      </rPr>
      <t>€</t>
    </r>
    <r>
      <rPr>
        <b/>
        <sz val="8"/>
        <color rgb="FF004563"/>
        <rFont val="Arial"/>
        <family val="2"/>
      </rPr>
      <t>/MWh)</t>
    </r>
  </si>
  <si>
    <t>Coste de los servicios de ajuste (M€)</t>
  </si>
  <si>
    <t>Regulación secundaria</t>
  </si>
  <si>
    <t xml:space="preserve">• </t>
  </si>
  <si>
    <t>Evolución del componente del  precio medio final de la energía.</t>
  </si>
  <si>
    <t>Componentes del precio medio final de la energía.</t>
  </si>
  <si>
    <t>Coste de los servicios de ajuste</t>
  </si>
  <si>
    <t>Restricciones Técnicas al PBF</t>
  </si>
  <si>
    <t>Restric. en Tiempo Real</t>
  </si>
  <si>
    <t>Subir</t>
  </si>
  <si>
    <t>Nuclear</t>
  </si>
  <si>
    <t>Carbón</t>
  </si>
  <si>
    <t>Consumo Bombeo</t>
  </si>
  <si>
    <t>Bajar</t>
  </si>
  <si>
    <t>Turbinación bombeo</t>
  </si>
  <si>
    <t>Eólica</t>
  </si>
  <si>
    <t>Solar fotovoltaica</t>
  </si>
  <si>
    <t>Solar térmica</t>
  </si>
  <si>
    <t>Cogeneración</t>
  </si>
  <si>
    <t>Otras Renovables</t>
  </si>
  <si>
    <t>Adquisición de Energía</t>
  </si>
  <si>
    <t>Enlace Península Baleares</t>
  </si>
  <si>
    <t>Internacionales</t>
  </si>
  <si>
    <t>Residuos no Renovables</t>
  </si>
  <si>
    <t>Mes</t>
  </si>
  <si>
    <t>Precios horarios Mercado Diario €/MWh</t>
  </si>
  <si>
    <t>Mínimo</t>
  </si>
  <si>
    <t>Máximo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</si>
  <si>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</si>
  <si>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</si>
  <si>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</si>
  <si>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</si>
  <si>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</si>
  <si>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</si>
  <si>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</si>
  <si>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</si>
  <si>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</si>
  <si>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</si>
  <si>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</si>
  <si>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</si>
  <si>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</si>
  <si>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</si>
  <si>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</si>
  <si>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</si>
  <si>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</si>
  <si>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</si>
  <si>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</si>
  <si>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</si>
  <si>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</si>
  <si>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</si>
  <si>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</si>
  <si>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</si>
  <si>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Hora</t>
  </si>
  <si>
    <t xml:space="preserve">Mes </t>
  </si>
  <si>
    <t>Validación</t>
  </si>
  <si>
    <t>Sentido</t>
  </si>
  <si>
    <t>Combustible</t>
  </si>
  <si>
    <t>Programa (MWh)</t>
  </si>
  <si>
    <t>Mes informe</t>
  </si>
  <si>
    <t>Evolución del precio del mercado diario</t>
  </si>
  <si>
    <t>Fecha</t>
  </si>
  <si>
    <t>Banda de precios</t>
  </si>
  <si>
    <t>Precio medio</t>
  </si>
  <si>
    <t>Precio máximo</t>
  </si>
  <si>
    <t>Precio mínimo</t>
  </si>
  <si>
    <t>Coste de los servicios de ajuste (€)</t>
  </si>
  <si>
    <t>SegDiario</t>
  </si>
  <si>
    <t>Banda 2ª</t>
  </si>
  <si>
    <t>Asign 2ª</t>
  </si>
  <si>
    <t>Terciaria</t>
  </si>
  <si>
    <t>T Real</t>
  </si>
  <si>
    <t>(MW y €/MW)</t>
  </si>
  <si>
    <t>Composición del precio de la factura del PVPC (Tarifa 2.0 a 4,6 kW y 3.900 kWh de consumo)</t>
  </si>
  <si>
    <t>Te coste energía</t>
  </si>
  <si>
    <t>Término potencia</t>
  </si>
  <si>
    <t>Impuesto de electricidad</t>
  </si>
  <si>
    <t>IVA</t>
  </si>
  <si>
    <t>Total factura</t>
  </si>
  <si>
    <t>Precios mercados europeos (€/MWh)</t>
  </si>
  <si>
    <t>Day Ahead Market</t>
  </si>
  <si>
    <t>GME</t>
  </si>
  <si>
    <t>Monthly AVG Base Price</t>
  </si>
  <si>
    <t>APX</t>
  </si>
  <si>
    <t>IPEX</t>
  </si>
  <si>
    <t>EPEX</t>
  </si>
  <si>
    <t>NordPool</t>
  </si>
  <si>
    <t>OMIE</t>
  </si>
  <si>
    <t>Netherlands</t>
  </si>
  <si>
    <t>Italy (PUN)</t>
  </si>
  <si>
    <t>Germany</t>
  </si>
  <si>
    <t>France</t>
  </si>
  <si>
    <t>Austria</t>
  </si>
  <si>
    <t>(Euros)</t>
  </si>
  <si>
    <t>Precios mercados europeos</t>
  </si>
  <si>
    <t>Restriciones en Tiempo Real</t>
  </si>
  <si>
    <t>Precio Medio Ponderado (€/MWh) según Mercados</t>
  </si>
  <si>
    <t>Otros (*)</t>
  </si>
  <si>
    <t>Total Servicios ajuste</t>
  </si>
  <si>
    <t>Energia Gestionada</t>
  </si>
  <si>
    <t>Reservas de sustitución</t>
  </si>
  <si>
    <t>Composición del precio de la factura del PVPC (Tarifa 2.0TD a 4,6 kW y 3.900 kWh de consumo, repartidos 45% valle, 26% llano y 29% punta)</t>
  </si>
  <si>
    <t xml:space="preserve">   Restricciones técnicas al PDBF</t>
  </si>
  <si>
    <t xml:space="preserve">   Restricciones técnicas en tiempo real</t>
  </si>
  <si>
    <t>Energía limitada por restricciones (MWh)</t>
  </si>
  <si>
    <t>N2EX</t>
  </si>
  <si>
    <t>Reino Unido</t>
  </si>
  <si>
    <t>Energía programada por seguridad</t>
  </si>
  <si>
    <t>Energía utilizada por balances</t>
  </si>
  <si>
    <t>IGCC</t>
  </si>
  <si>
    <t>Asignación Terciaria (MWh)</t>
  </si>
  <si>
    <t>IGCC (1)</t>
  </si>
  <si>
    <t>(1) Energía de regulación secundaria evitada mediante la Plataforma europea de neteo de necesidades de regulación secundaria</t>
  </si>
  <si>
    <t>Energía Importación IGCC (MWh)</t>
  </si>
  <si>
    <t>Energía Exportación IGCC (MWh)</t>
  </si>
  <si>
    <t>Restricciones PDBF</t>
  </si>
  <si>
    <t>Precios en €/MWh</t>
  </si>
  <si>
    <t>Mercado de restricciones</t>
  </si>
  <si>
    <t>Mercado de reserva y de balance</t>
  </si>
  <si>
    <t>Precio medio aritmético</t>
  </si>
  <si>
    <t>Necesidades de energía cubiertas en los servicios de ajuste</t>
  </si>
  <si>
    <t>Instrumentales DESV</t>
  </si>
  <si>
    <t>Energía de regulación secundaria utilizada en GWh</t>
  </si>
  <si>
    <t>Asignación terciaria</t>
  </si>
  <si>
    <t>Restricciones TREAL</t>
  </si>
  <si>
    <t>Precio medio aritmético año anterior</t>
  </si>
  <si>
    <t>Variación año anterior</t>
  </si>
  <si>
    <t>Mecanismo ajuste RD-L 10/2022</t>
  </si>
  <si>
    <t>Porcentaje SA s/precio medio final</t>
  </si>
  <si>
    <t>Precio medio aritmético mes anterior</t>
  </si>
  <si>
    <t>Variación mes anterior</t>
  </si>
  <si>
    <t>Servicio RAD</t>
  </si>
  <si>
    <t>(*) RAD (Respuesta Activa de la Demanda)</t>
  </si>
  <si>
    <t>Promedio</t>
  </si>
  <si>
    <t>Secundaria utilizada en GWh</t>
  </si>
  <si>
    <t>Precios Ponderados Restricciones</t>
  </si>
  <si>
    <t>RR</t>
  </si>
  <si>
    <t>Precios Ponderados programa</t>
  </si>
  <si>
    <t>Coste Banda Secundaria Desvíos</t>
  </si>
  <si>
    <t>Banda Secundaria</t>
  </si>
  <si>
    <t>Coste a BRP servicio de respuesta activa</t>
  </si>
  <si>
    <t>Servicio de respuesta activa desvíos</t>
  </si>
  <si>
    <t>Fuentes: OMIE y RE.</t>
  </si>
  <si>
    <t>Te ajuste con futuros</t>
  </si>
  <si>
    <t>Energía de regulación secundaria evitada mediante la plataforma de neteo IGCC</t>
  </si>
  <si>
    <t>(*) Incluye incumplimento de energía de balance, saldo de desvíos, desvíos entre sistemas, Servicio RAD (Respuesta Activa de la Demanda) e ingreso control de tensión</t>
  </si>
  <si>
    <t>Almacenamiento</t>
  </si>
  <si>
    <t>Hibridación</t>
  </si>
  <si>
    <t>Reserva de regulación secundaria</t>
  </si>
  <si>
    <t>Reserva de regulación</t>
  </si>
  <si>
    <t>Precio Medio Ponderado (€/MWh) según Medidas toda la energía</t>
  </si>
  <si>
    <t>%h con p=&lt;0</t>
  </si>
  <si>
    <t>%h con 0&lt;p=&lt;50</t>
  </si>
  <si>
    <t>%h con 50&lt;p=&lt;100</t>
  </si>
  <si>
    <t>%h con 100&lt;p=&lt;150</t>
  </si>
  <si>
    <t>%h con p&gt;150</t>
  </si>
  <si>
    <t>Mercado diario. Porcentaje de horas en que los precios han estado dentro de unos márgenes</t>
  </si>
  <si>
    <t>Mercado diario: rango de precios en el mercado diario</t>
  </si>
  <si>
    <t>Mercado diario: Número de horas con diferentes rango del precios  (%)</t>
  </si>
  <si>
    <t>BANDA</t>
  </si>
  <si>
    <t>Turbina Vapor, Gas y Fuel</t>
  </si>
  <si>
    <t>2025 Agosto</t>
  </si>
  <si>
    <t>AGO-25</t>
  </si>
  <si>
    <t>2025 Septiembre</t>
  </si>
  <si>
    <t>SEP-25</t>
  </si>
  <si>
    <t>2025 Octubre</t>
  </si>
  <si>
    <t>&lt;mi app="e" ver="22"&gt;&lt;rptloc guid="32dd2f1beb36473c94633491262b8d24" rank="0" ds="1"&gt;&lt;ri hasPG="0" name="Asignaciones RR" id="7CB4457A46480F3DF90C8DACCCE838FC" path="Objetos públicos\Informes\Informes Específicos\Estadística\INFORMES MACROS\Office\Boletín\Asignaciones RR" cf="0" prompt="1" ve="0" vm="0" flashpth="C:\Users\MADCONMA\AppData\Local\Temp\" fimagepth="C:\Users\MADCONMA\AppData\Local\Temp\" swfn="DashboardViewer.swf" fvars="" dvis=""&gt;&lt;ans /&gt;&lt;ci ps="BI" srv="APBI5A" prj="SIOSbi" prjid="80652F57504C7F8E3D7CF2B0B09EA47F" li="MADCONMA" am="s" /&gt;&lt;lu ut="11/07/2025 18:18:38" si="2.00000001572a28a86e48d96547e6c32750345e0136fbb8dcde20b06342aeb5d870e5f1c1923a15cc4bfdd22906425d90a28ec7c4b488d9e023087dd4c4a161c663997d5ea360bd20650c02c6b7240e3f2e3e9dfa4d2f81763b10edb6c316dc07f8f01333d5066b94714dd6150342e17eaee8b8a2dd47e67956102ff407079a96a1a6bdc833ed8328106f66c13ffba1fdfd6653a353fa8c1ff01c566cc67d0ede64bd108d70cccb5836a6d08c4baad8efccc18b8f6b72a341804007b972192a4e7ce4277b4e2dc4a103144a50fee5445d28059c1e7718ff73bc8d12fe445be238ac2fbc7f76fa51fcbdc47422f3f653298177348db15f588029008357cc0866765495b74f38333b53af1ebe093fcb18984195e606cc014ce2bb3ba756a02822f5734c.p-3082.0.1_-3082.0.1_0.1.Europe/Madrid.upriv*_1*_pidn2*_17*_session*-lat*_1.00000001027b642c6621bad545ce8b83a8c8e6c7ea1bd88be75df992c8991fbe653903915eea501c196e0cfd98363c730b21b9d3db66bea0.00000001b44642a760da24c1a212088919f3506431cdd82e1d7e9d60ed6d46fe1445c433f4a2c20ab9dbde7a5a1384d74d1600937230cf82.0.1.1.SIOSbi.80652F57504C7F8E3D7CF2B0B09EA47F.0-3082.1.1_-0.1.0_-3082.1.1_5.5.0.*0.000000012dc3cfe657d57846ece0b89498d6e5cac911585ad9484ad5a0f63237eb0cee78246ab691.0.23.11*.4*.1200*.00787J.e.000000011d8f06be2f61b354b6cc5d637c24cbe9c911585ad637aa8ad757cae8aeedead246dd0226.0.10*.131*.138*.19.*0.0.0.0" msgID="29834379054B9759676543BC40BFBF62"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ece="A257" enr="MSTR.Asignaciones_SEPE_Periodo_simple_" ptn="" qtn="" rows="45" cols="15" /&gt;&lt;esdo ews="" ece="" ptn="" /&gt;&lt;/excel&gt;&lt;pgs&gt;&lt;pg rows="42" cols="13" nrr="1581" nrc="598"&gt;&lt;pg /&gt;&lt;bls&gt;&lt;bl sr="1" sc="1" rfetch="42" cfetch="13" posid="1" darows="0" dacols="1"&gt;&lt;excel&gt;&lt;epo ews="Dat_01" ece="A257" enr="MSTR.Asignaciones_SEPE_Periodo_simple_" ptn="" qtn="" rows="45" cols="15" /&gt;&lt;esdo ews="" ece="" ptn="" /&gt;&lt;/excel&gt;&lt;gridRng&gt;&lt;sect id="TITLE_AREA" rngprop="1:1:3:2" /&gt;&lt;sect id="ROWHEADERS_AREA" rngprop="4:1:42:2" /&gt;&lt;sect id="COLUMNHEADERS_AREA" rngprop="1:3:3:13" /&gt;&lt;sect id="DATA_AREA" rngprop="4:3:42:13" /&gt;&lt;/gridRng&gt;&lt;shapes /&gt;&lt;/bl&gt;&lt;/bls&gt;&lt;/pg&gt;&lt;/pgs&gt;&lt;/rptloc&gt;&lt;/mi&gt;</t>
  </si>
  <si>
    <t>VOLUMEN MWh</t>
  </si>
  <si>
    <t>Ingreso control de tensión</t>
  </si>
  <si>
    <t>2025 Noviembre</t>
  </si>
  <si>
    <t>OCT-25</t>
  </si>
  <si>
    <t>NOV-25</t>
  </si>
  <si>
    <t>2025 Diciembre</t>
  </si>
  <si>
    <t>DIC-25</t>
  </si>
  <si>
    <t>2026 Enero</t>
  </si>
  <si>
    <t>&lt;mi app="e" ver="22"&gt;&lt;rptloc guid="73e0b6fad32b4890af934515c7628f07" rank="0" ds="1"&gt;&lt;ri hasPG="0" name="Necesidades cubiertas por RR" id="8BF14BDF49DE786A5DEC50BFCD1F92D6" path="Objetos públicos\Informes\Informes Específicos\Estadística\INFORMES MACROS\Office\Boletín\Necesidades cubiertas por RR" cf="0" prompt="1" ve="0" vm="0" flashpth="C:\Users\MADCONMA\AppData\Local\Temp\" fimagepth="C:\Users\MADCONMA\AppData\Local\Temp\" swfn="DashboardViewer.swf" fvars="" dvis=""&gt;&lt;ans /&gt;&lt;ci ps="BI" srv="apbi5a" prj="SIOSbi" prjid="80652F57504C7F8E3D7CF2B0B09EA47F" li="MADCONMA" am="s" /&gt;&lt;lu ut="02/11/2026 12:44:39" si="2.00000001a341942b853890fe2c9a8fa28f6b72c89f44640a38be9c2e551d367e35f1ad70e763996d995858aa916982de16b07b8ca670b0d7129b622647eb6476b5ae5846f4670a9be77f5fcb749993cea26c883c9af64ab9a4d25f7df0466f03f0a3f7dbbeb1fa0e41f309397518abd646540b26ebb44acb6c44d36cf17993d4ee0ef021dd5901daa92eb0ebcee364e196a35978ac31658f217176497bc40f13e7eafc921c415003c213f5ae651449dbc06d529ec00d0c833ff34db86cb6969a666b38d5924ad91286ffaf8bc85155f216e976f5a6761cbfbd544d968d6db8289d1ab5f2530b557a113dc141cac604c916173c70d85195b760a4bb543a28bbfb7a032b7fc1825f8e26ad68f804a45e908df50d69356749d1af71f0e9a60a95d275ff.p-3082.0.1_-3082.0.1_0.1.Europe/Madrid.upriv*_1*_pidn2*_1*_session*-lat*_1.0000000178c4cc28cc05de876cb80444af7b69a6ea1bd88bedb0f5916a4e33147db1199a48f5bd806e430f7787d18ec2e9b8935d9a7161aa.000000010ae144574205d19a9fac5020338ae99631cdd82e8787e3840d95ab427c646bcf46a67a9c3742cccac7df2b4aeb87143a37e3eac0.0.1.1.SIOSbi.80652F57504C7F8E3D7CF2B0B09EA47F.0-3082.1.1_-0.1.0_-3082.1.1_5.5.0.*0.0000000139f042d8d7118820170d316d7f84a981c911585a00966441ec6c5aeb8fcb1e33d66500c9.0.23.11*.4*.1200*.00787J.e.00000001f7297663c115e49c692006d350259334c911585a23bba166c52a349bb51b44791ef5e9cd.0.10*.131*.138*.19.*0.0.0.0" msgID="2F8FF6963B40DCFF849DD686A510AF91"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ece="A313" enr="MSTR.Asignaciones__Periodo_simple_" ptn="" qtn="" rows="4" cols="14" /&gt;&lt;esdo ews="" ece="" ptn="" /&gt;&lt;/excel&gt;&lt;pgs&gt;&lt;pg rows="2" cols="13" nrr="118" nrc="754"&gt;&lt;pg /&gt;&lt;bls&gt;&lt;bl sr="1" sc="1" rfetch="2" cfetch="13" posid="1" darows="0" dacols="1"&gt;&lt;excel&gt;&lt;epo ews="Dat_01" ece="A313" enr="MSTR.Asignaciones__Periodo_simple_" ptn="" qtn="" rows="4" cols="14" /&gt;&lt;esdo ews="" ece="" ptn="" /&gt;&lt;/excel&gt;&lt;gridRng&gt;&lt;sect id="TITLE_AREA" rngprop="1:1:2:1" /&gt;&lt;sect id="ROWHEADERS_AREA" rngprop="3:1:2:1" /&gt;&lt;sect id="COLUMNHEADERS_AREA" rngprop="1:2:2:13" /&gt;&lt;sect id="DATA_AREA" rngprop="3:2:2:13" /&gt;&lt;/gridRng&gt;&lt;shapes /&gt;&lt;/bl&gt;&lt;/bls&gt;&lt;/pg&gt;&lt;/pgs&gt;&lt;/rptloc&gt;&lt;/mi&gt;</t>
  </si>
  <si>
    <t>&lt;mi app="e" ver="22"&gt;&lt;rptloc guid="1cee8cf001c44d958203e10befc8e8e5" rank="0" ds="1"&gt;&lt;ri hasPG="0" name="Asignación en las fronteras RR" id="C0255CBE4311F279299795AED0CBA130" path="Objetos públicos\Informes\Informes Específicos\Estadística\INFORMES MACROS\Office\Boletín\Asignación en las fronteras RR" cf="0" prompt="1" ve="0" vm="0" flashpth="C:\Users\MADCONMA\AppData\Local\Temp\" fimagepth="C:\Users\MADCONMA\AppData\Local\Temp\" swfn="DashboardViewer.swf" fvars="" dvis=""&gt;&lt;ans /&gt;&lt;ci ps="BI" srv="apbi5a" prj="SIOSbi" prjid="80652F57504C7F8E3D7CF2B0B09EA47F" li="MADCONMA" am="s" /&gt;&lt;lu ut="02/11/2026 12:45:51" si="2.00000001a341942b853890fe2c9a8fa28f6b72c89f44640a38be9c2e551d367e35f1ad70e763996d995858aa916982de16b07b8ca670b0d7129b622647eb6476b5ae5846f4670a9be77f5fcb749993cea26c883c9af64ab9a4d25f7df0466f03f0a3f7dbbeb1fa0e41f309397518abd646540b26ebb44acb6c44d36cf17993d4ee0ef021dd5901daa92eb0ebcee364e196a35978ac31658f217176497bc40f13e7eafc921c415003c213f5ae651449dbc06d529ec00d0c833ff34db86cb6969a666b38d5924ad91286ffaf8bc85155f216e976f5a6761cbfbd544d968d6db8289d1ab5f2530b557a113dc141cac604c916173c70d85195b760a4bb543a28bbfb7a032b7fc1825f8e26ad68f804a45e908df50d69356749d1af71f0e9a60a95d275ff.p-3082.0.1_-3082.0.1_0.1.Europe/Madrid.upriv*_1*_pidn2*_1*_session*-lat*_1.0000000178c4cc28cc05de876cb80444af7b69a6ea1bd88bedb0f5916a4e33147db1199a48f5bd806e430f7787d18ec2e9b8935d9a7161aa.000000010ae144574205d19a9fac5020338ae99631cdd82e8787e3840d95ab427c646bcf46a67a9c3742cccac7df2b4aeb87143a37e3eac0.0.1.1.SIOSbi.80652F57504C7F8E3D7CF2B0B09EA47F.0-3082.1.1_-0.1.0_-3082.1.1_5.5.0.*0.0000000139f042d8d7118820170d316d7f84a981c911585a00966441ec6c5aeb8fcb1e33d66500c9.0.23.11*.4*.1200*.00787J.e.00000001f7297663c115e49c692006d350259334c911585a23bba166c52a349bb51b44791ef5e9cd.0.10*.131*.138*.19.*0.0.0.0" msgID="C9C72103E84C2B0627716296F50F78EF"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ece="$A$319" enr="MSTR.Asignaciones_en_las_fronteras__Periodo_simple_" ptn="" qtn="" rows="11" cols="16" /&gt;&lt;esdo ews="" ece="" ptn="" /&gt;&lt;/excel&gt;&lt;pgs&gt;&lt;pg rows="8" cols="13" nrr="584" nrc="933"&gt;&lt;pg /&gt;&lt;bls&gt;&lt;bl sr="1" sc="1" rfetch="8" cfetch="13" posid="1" darows="0" dacols="1"&gt;&lt;excel&gt;&lt;epo ews="Dat_01" ece="$A$319" enr="MSTR.Asignaciones_en_las_fronteras__Periodo_simple_" ptn="" qtn="" rows="11" cols="16" /&gt;&lt;esdo ews="" ece="" ptn="" /&gt;&lt;/excel&gt;&lt;gridRng&gt;&lt;sect id="TITLE_AREA" rngprop="1:1:3:3" /&gt;&lt;sect id="ROWHEADERS_AREA" rngprop="4:1:8:3" /&gt;&lt;sect id="COLUMNHEADERS_AREA" rngprop="1:4:3:13" /&gt;&lt;sect id="DATA_AREA" rngprop="4:4:8:13" /&gt;&lt;/gridRng&gt;&lt;shapes /&gt;&lt;/bl&gt;&lt;/bls&gt;&lt;/pg&gt;&lt;/pgs&gt;&lt;/rptloc&gt;&lt;/mi&gt;</t>
  </si>
  <si>
    <t>ENE-26</t>
  </si>
  <si>
    <t>2026 Febrero</t>
  </si>
  <si>
    <t>FEB-26</t>
  </si>
  <si>
    <t>2026 Marzo</t>
  </si>
  <si>
    <t>MAR-26</t>
  </si>
  <si>
    <t>2026 Abril</t>
  </si>
  <si>
    <t>ABR-26</t>
  </si>
  <si>
    <t>2026 Mayo</t>
  </si>
  <si>
    <t>MAY-26</t>
  </si>
  <si>
    <t>Restricciones en tiempo real</t>
  </si>
  <si>
    <t>Precios de mercados europeos</t>
  </si>
  <si>
    <t>Te peajes y cargos</t>
  </si>
  <si>
    <t>Composición del precio de la factural del PVPC</t>
  </si>
  <si>
    <t>2026 Junio</t>
  </si>
  <si>
    <t>&lt;mi app="e" ver="22"&gt;&lt;rptloc guid="4fe1ad46588241cb961b82c1547e5b29" rank="0" ds="1"&gt;&lt;ri hasPG="0" name="Precios Zona Europea mes" id="D57AE6418847F1D881779494473DB77D" path="Objetos públicos\Informes\Informes Específicos\Estadística\INFORMES MACROS\Office\Boletín\Precios Zona Europea mes" cf="0" prompt="1" ve="0" vm="0" flashpth="C:\Users\madconma\AppData\Local\Temp\" fimagepth="C:\Users\madconma\AppData\Local\Temp\" swfn="DashboardViewer.swf" fvars="" dvis=""&gt;&lt;ci ps="BI" srv="apbi5a" prj="SIOSbi" prjid="80652F57504C7F8E3D7CF2B0B09EA47F" li="MADCONMA" am="s" /&gt;&lt;lu ut="06/08/2026 11:17:10" si="2.0000000180b47d973e671cd34c105d52b321a21ef8d17212b72fbff374b5390adeccb89ac1c45eb138d51d5b486c91f62cb3b379fc1fe2b640cd723559b12bea43c82ffd4d5f6e39e72639dab7f77dbc4d39d7c433f9556f4bcba320d8c18c0c4e64a15032d9b4e6f7b4c5953fe6b8d9013c2f1b3fc895b7a4b9709033f930e1e3b8d426c801da9b0cc6d476705c1fa71f2151a382e479e00675b371ab83413a517ccb6a565cc8364d365a337dc007eb340d0789ef42596a58b3321f13a07bf215ac1f244a0dd0de5069fccb619c7c03c518fbbe9d6878a6707eef18268ea768397d355fcdb6bdd3dd53a4686d2a2952549dd091297d746576c47d0b44fea3b018b13e23bc05492f6f1909efc496d7a7eb04930273cb448b41360bdc919d1c744887.p-3082.0.1_-3082.0.1_0.1.Europe/Madrid.upriv*_1*_pidn2*_11*_session*-lat*_1.0000000197b34da6002fec0731fa5f3199d452cbea1bd88b459629e19cb6f440c4afac2b268e11decf5b4135b1eb9c7ab02b092c2e8107b0.000000015537b782838291bccfdfc75ca18fe8cb31cdd82edf199fb879b21c14d7e216d415fff8318237b4ec84e03ab907265363d1a62dbc.0.1.1.SIOSbi.80652F57504C7F8E3D7CF2B0B09EA47F.0-3082.1.1_-0.1.0_-3082.1.1_5.5.0.*0.00000001b72c310e2133015e4592ff50266531d1c911585a5f8039a349d7e589f6b82b9e14193022.0.23.11*.4*.1200*.00787J.e.00000001352e4380358782d84faf6575668e9491c911585a61d0f6c1d95b6c65ec913ec6ab5c19f2.0.10*.131*.138*.19.*0.0.0.0" msgID="EA3EF14B8947B95E242D1A81FE83D64F"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ece="A515" enr="MSTR.Precios_Zona_Europea_mes" ptn="" qtn="" rows="20" cols="2" /&gt;&lt;esdo ews="" ece="" ptn="" /&gt;&lt;/excel&gt;&lt;pgs&gt;&lt;pg rows="18" cols="1" nrr="90" nrc="17"&gt;&lt;pg /&gt;&lt;bls&gt;&lt;bl sr="1" sc="1" rfetch="18" cfetch="1" posid="1" darows="0" dacols="1"&gt;&lt;excel&gt;&lt;epo ews="Dat_01" ece="A515" enr="MSTR.Precios_Zona_Europea_mes" ptn="" qtn="" rows="20" cols="2" /&gt;&lt;esdo ews="" ece="" ptn="" /&gt;&lt;/excel&gt;&lt;gridRng&gt;&lt;sect id="TITLE_AREA" rngprop="1:1:2:1" /&gt;&lt;sect id="ROWHEADERS_AREA" rngprop="3:1:18:1" /&gt;&lt;sect id="COLUMNHEADERS_AREA" rngprop="1:2:2:1" /&gt;&lt;sect id="DATA_AREA" rngprop="3:2:18:1" /&gt;&lt;/gridRng&gt;&lt;shapes /&gt;&lt;/bl&gt;&lt;/bls&gt;&lt;/pg&gt;&lt;/pgs&gt;&lt;/rptloc&gt;&lt;/mi&gt;</t>
  </si>
  <si>
    <t>JUN-26</t>
  </si>
  <si>
    <t>2026 Julio</t>
  </si>
  <si>
    <t>JUL-26</t>
  </si>
  <si>
    <t>Contratación</t>
  </si>
  <si>
    <t>TOTAL</t>
  </si>
  <si>
    <t>Restricciones tiempo real</t>
  </si>
  <si>
    <t>Banda secundaria y RAD</t>
  </si>
  <si>
    <t>Incumplimiento energía de balance</t>
  </si>
  <si>
    <t>Saldo desvío sistemas</t>
  </si>
  <si>
    <t>Control FP</t>
  </si>
  <si>
    <t>Precio final</t>
  </si>
  <si>
    <t>Coste Medio Horario</t>
  </si>
  <si>
    <t>2026 Agosto</t>
  </si>
  <si>
    <t>C4</t>
  </si>
  <si>
    <t>C5</t>
  </si>
  <si>
    <t>C3</t>
  </si>
  <si>
    <t>C2</t>
  </si>
  <si>
    <t>A2</t>
  </si>
  <si>
    <t>Fase</t>
  </si>
  <si>
    <t>Concepto liquicomun</t>
  </si>
  <si>
    <t>Magnitud</t>
  </si>
  <si>
    <t>Reserva de secundaria y servicio RAD</t>
  </si>
  <si>
    <t>Control factor de potencia</t>
  </si>
  <si>
    <t>AGO-26</t>
  </si>
  <si>
    <t>01/08/2026</t>
  </si>
  <si>
    <t>02/08/2026</t>
  </si>
  <si>
    <t>03/08/2026</t>
  </si>
  <si>
    <t>04/08/2026</t>
  </si>
  <si>
    <t>05/08/2026</t>
  </si>
  <si>
    <t>06/08/2026</t>
  </si>
  <si>
    <t>07/08/2026</t>
  </si>
  <si>
    <t>08/08/2026</t>
  </si>
  <si>
    <t>09/08/2026</t>
  </si>
  <si>
    <t>10/08/2026</t>
  </si>
  <si>
    <t>11/08/2026</t>
  </si>
  <si>
    <t>12/08/2026</t>
  </si>
  <si>
    <t>13/08/2026</t>
  </si>
  <si>
    <t>14/08/2026</t>
  </si>
  <si>
    <t>15/08/2026</t>
  </si>
  <si>
    <t>16/08/2026</t>
  </si>
  <si>
    <t>17/08/2026</t>
  </si>
  <si>
    <t>18/08/2026</t>
  </si>
  <si>
    <t>19/08/2026</t>
  </si>
  <si>
    <t>20/08/2026</t>
  </si>
  <si>
    <t>21/08/2026</t>
  </si>
  <si>
    <t>22/08/2026</t>
  </si>
  <si>
    <t>23/08/2026</t>
  </si>
  <si>
    <t>24/08/2026</t>
  </si>
  <si>
    <t>25/08/2026</t>
  </si>
  <si>
    <t>26/08/2026</t>
  </si>
  <si>
    <t>27/08/2026</t>
  </si>
  <si>
    <t>28/08/2026</t>
  </si>
  <si>
    <t>29/08/2026</t>
  </si>
  <si>
    <t>30/08/2026</t>
  </si>
  <si>
    <t>31/08/2026</t>
  </si>
  <si>
    <t>&lt;mi app="e" ver="22"&gt;&lt;rptloc guid="9b2e5227b30741379d882d827211412e" rank="0" ds="1"&gt;&lt;ri hasPG="0" name="Precio Mercado Diario" id="C1FA4C8E4C9BA7AA73F777A98EE0A436" path="Objetos públicos\Informes\Informes Específicos\Estadística\INFORMES MACROS\Office\Boletín\Precio Mercado Diario" cf="0" prompt="1" ve="0" vm="0" flashpth="d:\Usuarios\ARACABIV\AppData\Local\Temp\" fimagepth="d:\Usuarios\ARACABIV\AppData\Local\Temp\" swfn="DashboardViewer.swf" fvars="" dvis=""&gt;&lt;ans /&gt;&lt;ci ps="BI" srv="apbi5a" prj="SIOSbi" prjid="80652F57504C7F8E3D7CF2B0B09EA47F" li="MADCONMA" am="s" /&gt;&lt;lu ut="09/04/2026 10:01:18" si="2.000000010b032b583a32ca92e7311b1db03357c94c00362923a6cd8bd72ad3c6194d4c9acbcc5bb20333b0a9365cd05ad0461d39c4ba367fd5bd4c9b4f490ba5021a07ab66d19eec1d21be66aad0be6ca4ce0782c789fa47882e60a3e65015b3d92a52ef07de7924a16ce69a22b7b1d9a01fe069edd84fa677044c8841b058b4bc55f31f27b576d67a192a612ab2e2b77209195843850724a0d701bcdfc50762e6f838f1105ebe11b04be7271765d9238ec86627775c07449f05ede4272be9fe9432d8f495f2b9bebb87bde7d3046632ddc40e05f987cf9e19a25a54c615f17f850e51355be885394ea52f30a4455367448aa34876e21693c3bae9359ac20093c1f72dfe55477aff01d7d9b7393322772a1e8bba7db6c5e326c61c957ebdb3352a25.p-3082.0.1_-3082.0.1_0.1.Europe/Madrid.upriv*_1*_pidn2*_39*_session*-lat*_1.00000001a07e494ee76adb0f48ed1bd55a80717eea1bd88b3ab504f31d7c7e4b439dcda80788d97a243a403c163cc0c95bc19fdacdb4f8ca.00000001cbfc0b636e9399bff713a8c577c207f331cdd82e57683822f38df95deab47c3482332723f87a9db43fcaa1dff0aa70de70409786.0.1.1.SIOSbi.80652F57504C7F8E3D7CF2B0B09EA47F.0-3082.1.1_-0.1.0_-3082.1.1_5.5.0.*0.00000001e0ab9920290b932eb9700e64a518c029c911585ab3d6b92125c63129df979d0337eba1f1.0.23.11*.4*.1200*.00787J.e.000000011d68aad512882f101fea035095dc7cd3c911585af25535c80ad239962558c150cdf427f4.0.10*.131*.138*.19.*0.0.0.0" msgID="DD8B5B34744E93BC4BBA9780FA16DF2E"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ece="$A$4" enr="MSTR.Precio_Mercado_Diario" ptn="" qtn="" rows="35" cols="28" /&gt;&lt;esdo ews="" ece="" ptn="" /&gt;&lt;/excel&gt;&lt;pgs&gt;&lt;pg rows="31" cols="27" nrr="3747" nrc="3681"&gt;&lt;pg /&gt;&lt;bls&gt;&lt;bl sr="1" sc="1" rfetch="31" cfetch="27" posid="1" darows="0" dacols="1"&gt;&lt;excel&gt;&lt;epo ews="Dat_01" ece="$A$4" enr="MSTR.Precio_Mercado_Diario" ptn="" qtn="" rows="35" cols="28" /&gt;&lt;esdo ews="" ece="" ptn="" /&gt;&lt;/excel&gt;&lt;gridRng&gt;&lt;sect id="TITLE_AREA" rngprop="1:1:4:1" /&gt;&lt;sect id="ROWHEADERS_AREA" rngprop="5:1:31:1" /&gt;&lt;sect id="COLUMNHEADERS_AREA" rngprop="1:2:4:27" /&gt;&lt;sect id="DATA_AREA" rngprop="5:2:31:27" /&gt;&lt;/gridRng&gt;&lt;shapes /&gt;&lt;/bl&gt;&lt;/bls&gt;&lt;/pg&gt;&lt;/pgs&gt;&lt;/rptloc&gt;&lt;/mi&gt;</t>
  </si>
  <si>
    <t>Reserva secundaria y SRAD</t>
  </si>
  <si>
    <t>&lt;mi app="e" ver="22"&gt;&lt;rptloc guid="4bc3e2b5feb24ed3a682e8c0c1e6e595" rank="0" ds="1"&gt;&lt;ri hasPG="0" name="Secundaria. Banda media mensual" id="F69F171A4E84E3BA10E8E3B3514670A7" path="Objetos públicos\Informes\Informes Específicos\Estadística\INFORMES MACROS\Office\Boletín\Secundaria. Banda media mensual" cf="0" prompt="1" ve="0" vm="0" flashpth="C:\Users\MADCONMA\AppData\Local\Temp\" fimagepth="C:\Users\MADCONMA\AppData\Local\Temp\" swfn="DashboardViewer.swf" fvars="" dvis=""&gt;&lt;ans /&gt;&lt;ci ps="BI" srv="APBI5A" prj="SIOSbi" prjid="80652F57504C7F8E3D7CF2B0B09EA47F" li="MADCONMA" am="s" /&gt;&lt;lu ut="09/07/2026 07:19:12" si="2.00000001337728439e59db7ae9482cf12d69407d7f53b526b4256960b231a393b0ef635b9387cc5bb6e22972f4b0798a01f15077c4ea5f11f9ba4e15e88443b1213a75b6af7f5ff69e904aaf987d3afe5e2f52673823c6062d25f95e237dd73935e9e28404a22c2356cc137bc5a2dff38c723b71d41c8923c1f119b13d785ba193f72084c6094985e6d1381be17ca7e448853627e5e88ffc696c69637f9b4e98b36fd36ebef4172e84184debf51036eac320319bdcfb95e4facee18fb2fcaa098378d03669d5097f368560e002ecaf4a798deba60a133aa158fb56c875bfcd6358840355137a207fe88a1766693ff99b1c34e892289d81b7cf5a597dbbcba3d9bde36bf8f237d541b437756da9abb2a9f7be502e05e268f1a9f5fe81134b073d6ff9.p-3082.0.1_-3082.0.1_0.1.Europe/Madrid.upriv*_1*_pidn2*_33*_session*-lat*_1.00000001d94283b15bf3036ca0967c69e3d7e7c1ea1bd88b08dfcded218cec148068e1ebd597b9b9b118c594c407f2250b2353bbe5ba3c99.0000000136799866a03622d26a291090be33abde31cdd82ec4bde72f0d8001b3d61ea53059eeadee2919a3d202ee256a224caea06b54a1e1.0.1.1.SIOSbi.80652F57504C7F8E3D7CF2B0B09EA47F.0-3082.1.1_-0.1.0_-3082.1.1_5.5.0.*0.000000018d9b5117ca863b331549f2d84b42d502c911585ae7c92199ed9543af8810e6f2a5ecf0ba.0.23.11*.4*.1200*.00787J.e.00000001755ae265dbc1bc2da209639539dbdf91c911585aa0606ab093037787da7d6e3a5f0d4d60.0.10*.131*.138*.19.*0.0.0.0" msgID="9F11DEDE4141221B438761AB56B81EDB"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ece="$A$181" enr="MSTR.Secundaria._Banda_media_mensual" ptn="" qtn="" rows="4" cols="14" /&gt;&lt;esdo ews="" ece="" ptn="" /&gt;&lt;/excel&gt;&lt;pgs&gt;&lt;pg rows="2" cols="13" nrr="120" nrc="780"&gt;&lt;pg /&gt;&lt;bls&gt;&lt;bl sr="1" sc="1" rfetch="2" cfetch="13" posid="1" darows="0" dacols="1"&gt;&lt;excel&gt;&lt;epo ews="Dat_01" ece="$A$181" enr="MSTR.Secundaria._Banda_media_mensual" ptn="" qtn="" rows="4" cols="14" /&gt;&lt;esdo ews="" ece="" ptn="" /&gt;&lt;/excel&gt;&lt;gridRng&gt;&lt;sect id="TITLE_AREA" rngprop="1:1:2:1" /&gt;&lt;sect id="ROWHEADERS_AREA" rngprop="3:1:2:1" /&gt;&lt;sect id="COLUMNHEADERS_AREA" rngprop="1:2:2:13" /&gt;&lt;sect id="DATA_AREA" rngprop="3:2:2:13" /&gt;&lt;/gridRng&gt;&lt;shapes /&gt;&lt;/bl&gt;&lt;/bls&gt;&lt;/pg&gt;&lt;/pgs&gt;&lt;/rptloc&gt;&lt;/mi&gt;</t>
  </si>
  <si>
    <t>&lt;mi app="e" ver="22"&gt;&lt;rptloc guid="0b2ce989c0c142719127dcdaa8467375" rank="0" ds="1"&gt;&lt;ri hasPG="0" name="Energia de Regulación Secundaria" id="8E803CB745C8D8B5472977B69C35F6D9" path="Objetos públicos\Informes\Informes Específicos\Estadística\INFORMES MACROS\Office\Boletín\Energia de Regulación Secundaria" cf="0" prompt="1" ve="0" vm="0" flashpth="C:\Users\MADCONMA\AppData\Local\Temp\" fimagepth="C:\Users\MADCONMA\AppData\Local\Temp\" swfn="DashboardViewer.swf" fvars="" dvis=""&gt;&lt;ans /&gt;&lt;ci ps="BI" srv="APBI5A" prj="SIOSbi" prjid="80652F57504C7F8E3D7CF2B0B09EA47F" li="MADCONMA" am="s" /&gt;&lt;lu ut="09/07/2026 07:32:47" si="2.00000001337728439e59db7ae9482cf12d69407d7f53b526b4256960b231a393b0ef635b9387cc5bb6e22972f4b0798a01f15077c4ea5f11f9ba4e15e88443b1213a75b6af7f5ff69e904aaf987d3afe5e2f52673823c6062d25f95e237dd73935e9e28404a22c2356cc137bc5a2dff38c723b71d41c8923c1f119b13d785ba193f72084c6094985e6d1381be17ca7e448853627e5e88ffc696c69637f9b4e98b36fd36ebef4172e84184debf51036eac320319bdcfb95e4facee18fb2fcaa098378d03669d5097f368560e002ecaf4a798deba60a133aa158fb56c875bfcd6358840355137a207fe88a1766693ff99b1c34e892289d81b7cf5a597dbbcba3d9bde36bf8f237d541b437756da9abb2a9f7be502e05e268f1a9f5fe81134b073d6ff9.p-3082.0.1_-3082.0.1_0.1.Europe/Madrid.upriv*_1*_pidn2*_33*_session*-lat*_1.00000001d94283b15bf3036ca0967c69e3d7e7c1ea1bd88b08dfcded218cec148068e1ebd597b9b9b118c594c407f2250b2353bbe5ba3c99.0000000136799866a03622d26a291090be33abde31cdd82ec4bde72f0d8001b3d61ea53059eeadee2919a3d202ee256a224caea06b54a1e1.0.1.1.SIOSbi.80652F57504C7F8E3D7CF2B0B09EA47F.0-3082.1.1_-0.1.0_-3082.1.1_5.5.0.*0.000000018d9b5117ca863b331549f2d84b42d502c911585ae7c92199ed9543af8810e6f2a5ecf0ba.0.23.11*.4*.1200*.00787J.e.00000001755ae265dbc1bc2da209639539dbdf91c911585aa0606ab093037787da7d6e3a5f0d4d60.0.10*.131*.138*.19.*0.0.0.0" msgID="C30EE089B9472CA5E8EA8385BCD1255B"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ece="A188" enr="MSTR.Energía_de_Regulación_Secundaria_Utilizada__Periodo_simple_" ptn="" qtn="" rows="5" cols="14" /&gt;&lt;esdo ews="" ece="" ptn="" /&gt;&lt;/excel&gt;&lt;pgs&gt;&lt;pg rows="2" cols="13" nrr="134" nrc="858"&gt;&lt;pg /&gt;&lt;bls&gt;&lt;bl sr="1" sc="1" rfetch="2" cfetch="13" posid="1" darows="0" dacols="1"&gt;&lt;excel&gt;&lt;epo ews="Dat_01" ece="A188" enr="MSTR.Energía_de_Regulación_Secundaria_Utilizada__Periodo_simple_" ptn="" qtn="" rows="5" cols="14" /&gt;&lt;esdo ews="" ece="" ptn="" /&gt;&lt;/excel&gt;&lt;gridRng&gt;&lt;sect id="TITLE_AREA" rngprop="1:1:3:1" /&gt;&lt;sect id="ROWHEADERS_AREA" rngprop="4:1:2:1" /&gt;&lt;sect id="COLUMNHEADERS_AREA" rngprop="1:2:3:13" /&gt;&lt;sect id="DATA_AREA" rngprop="4:2:2:13" /&gt;&lt;/gridRng&gt;&lt;shapes /&gt;&lt;/bl&gt;&lt;/bls&gt;&lt;/pg&gt;&lt;/pgs&gt;&lt;/rptloc&gt;&lt;/mi&gt;</t>
  </si>
  <si>
    <t>&lt;mi app="e" ver="22"&gt;&lt;rptloc guid="4646134067f846f2964723070a09dcaf" rank="0" ds="1"&gt;&lt;ri hasPG="0" name="Energia IGCC" id="39AD04614A7A66EA6258D7BCC4186ACF" path="Objetos públicos\Informes\Informes Específicos\Estadística\INFORMES MACROS\Office\Boletín\Energia IGCC" cf="0" prompt="1" ve="0" vm="0" flashpth="C:\Users\MADCONMA\AppData\Local\Temp\" fimagepth="C:\Users\MADCONMA\AppData\Local\Temp\" swfn="DashboardViewer.swf" fvars="" dvis=""&gt;&lt;ans /&gt;&lt;ci ps="BI" srv="APBI5A" prj="SIOSbi" prjid="80652F57504C7F8E3D7CF2B0B09EA47F" li="MADCONMA" am="s" /&gt;&lt;lu ut="09/07/2026 08:05:35" si="2.00000001337728439e59db7ae9482cf12d69407d7f53b526b4256960b231a393b0ef635b9387cc5bb6e22972f4b0798a01f15077c4ea5f11f9ba4e15e88443b1213a75b6af7f5ff69e904aaf987d3afe5e2f52673823c6062d25f95e237dd73935e9e28404a22c2356cc137bc5a2dff38c723b71d41c8923c1f119b13d785ba193f72084c6094985e6d1381be17ca7e448853627e5e88ffc696c69637f9b4e98b36fd36ebef4172e84184debf51036eac320319bdcfb95e4facee18fb2fcaa098378d03669d5097f368560e002ecaf4a798deba60a133aa158fb56c875bfcd6358840355137a207fe88a1766693ff99b1c34e892289d81b7cf5a597dbbcba3d9bde36bf8f237d541b437756da9abb2a9f7be502e05e268f1a9f5fe81134b073d6ff9.p-3082.0.1_-3082.0.1_0.1.Europe/Madrid.upriv*_1*_pidn2*_33*_session*-lat*_1.00000001d94283b15bf3036ca0967c69e3d7e7c1ea1bd88b08dfcded218cec148068e1ebd597b9b9b118c594c407f2250b2353bbe5ba3c99.0000000136799866a03622d26a291090be33abde31cdd82ec4bde72f0d8001b3d61ea53059eeadee2919a3d202ee256a224caea06b54a1e1.0.1.1.SIOSbi.80652F57504C7F8E3D7CF2B0B09EA47F.0-3082.1.1_-0.1.0_-3082.1.1_5.5.0.*0.000000018d9b5117ca863b331549f2d84b42d502c911585ae7c92199ed9543af8810e6f2a5ecf0ba.0.23.11*.4*.1200*.00787J.e.00000001755ae265dbc1bc2da209639539dbdf91c911585aa0606ab093037787da7d6e3a5f0d4d60.0.10*.131*.138*.19.*0.0.0.0" msgID="C9F7BF6D524F892B19EF7193678F87D0"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ece="A390" enr="MSTR.Energia_IGCC" ptn="" qtn="" rows="4" cols="14" /&gt;&lt;esdo ews="" ece="" ptn="" /&gt;&lt;/excel&gt;&lt;pgs&gt;&lt;pg rows="2" cols="13" nrr="128" nrc="832"&gt;&lt;pg /&gt;&lt;bls&gt;&lt;bl sr="1" sc="1" rfetch="2" cfetch="13" posid="1" darows="0" dacols="1"&gt;&lt;excel&gt;&lt;epo ews="Dat_01" ece="A390" enr="MSTR.Energia_IGCC" ptn="" qtn="" rows="4" cols="14" /&gt;&lt;esdo ews="" ece="" ptn="" /&gt;&lt;/excel&gt;&lt;gridRng&gt;&lt;sect id="TITLE_AREA" rngprop="1:1:2:1" /&gt;&lt;sect id="ROWHEADERS_AREA" rngprop="3:1:2:1" /&gt;&lt;sect id="COLUMNHEADERS_AREA" rngprop="1:2:2:13" /&gt;&lt;sect id="DATA_AREA" rngprop="3:2:2:13" /&gt;&lt;/gridRng&gt;&lt;shapes /&gt;&lt;/bl&gt;&lt;/bls&gt;&lt;/pg&gt;&lt;/pgs&gt;&lt;/rptloc&gt;&lt;/mi&gt;</t>
  </si>
  <si>
    <t>&lt;mi app="e" ver="22"&gt;&lt;rptloc guid="762289617dcf4fcaa9486600c0583f14" rank="0" ds="1"&gt;&lt;ri hasPG="0" name="Precios Medios Ponderados Medidas" id="9B86205B4E0AC9F2C6C0AB9F735AF179" path="Objetos públicos\Informes\Informes Específicos\Estadística\INFORMES MACROS\Office\Boletín\Precios Medios Ponderados Medidas" cf="0" prompt="1" ve="0" vm="0" flashpth="C:\Users\MADCONMA\AppData\Local\Temp\" fimagepth="C:\Users\MADCONMA\AppData\Local\Temp\" swfn="DashboardViewer.swf" fvars="" dvis=""&gt;&lt;ans /&gt;&lt;ci ps="BI" srv="APBI5A" prj="SIOSbi" prjid="80652F57504C7F8E3D7CF2B0B09EA47F" li="MADCONMA" am="s" /&gt;&lt;lu ut="09/07/2026 08:08:26" si="2.00000001337728439e59db7ae9482cf12d69407d7f53b526b4256960b231a393b0ef635b9387cc5bb6e22972f4b0798a01f15077c4ea5f11f9ba4e15e88443b1213a75b6af7f5ff69e904aaf987d3afe5e2f52673823c6062d25f95e237dd73935e9e28404a22c2356cc137bc5a2dff38c723b71d41c8923c1f119b13d785ba193f72084c6094985e6d1381be17ca7e448853627e5e88ffc696c69637f9b4e98b36fd36ebef4172e84184debf51036eac320319bdcfb95e4facee18fb2fcaa098378d03669d5097f368560e002ecaf4a798deba60a133aa158fb56c875bfcd6358840355137a207fe88a1766693ff99b1c34e892289d81b7cf5a597dbbcba3d9bde36bf8f237d541b437756da9abb2a9f7be502e05e268f1a9f5fe81134b073d6ff9.p-3082.0.1_-3082.0.1_0.1.Europe/Madrid.upriv*_1*_pidn2*_33*_session*-lat*_1.00000001d94283b15bf3036ca0967c69e3d7e7c1ea1bd88b08dfcded218cec148068e1ebd597b9b9b118c594c407f2250b2353bbe5ba3c99.0000000136799866a03622d26a291090be33abde31cdd82ec4bde72f0d8001b3d61ea53059eeadee2919a3d202ee256a224caea06b54a1e1.0.1.1.SIOSbi.80652F57504C7F8E3D7CF2B0B09EA47F.0-3082.1.1_-0.1.0_-3082.1.1_5.5.0.*0.000000018d9b5117ca863b331549f2d84b42d502c911585ae7c92199ed9543af8810e6f2a5ecf0ba.0.23.11*.4*.1200*.00787J.e.00000001755ae265dbc1bc2da209639539dbdf91c911585aa0606ab093037787da7d6e3a5f0d4d60.0.10*.131*.138*.19.*0.0.0.0" msgID="8EC8B3208C47CF59F40F828A3E7CB67D"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ece="A399" enr="MSTR.Precios_Medios_Ponderados_Mensuales" ptn="" qtn="" rows="7" cols="15" /&gt;&lt;esdo ews="" ece="" ptn="" /&gt;&lt;/excel&gt;&lt;pgs&gt;&lt;pg rows="4" cols="13" nrr="240" nrc="780"&gt;&lt;pg /&gt;&lt;bls&gt;&lt;bl sr="1" sc="1" rfetch="4" cfetch="13" posid="1" darows="0" dacols="1"&gt;&lt;excel&gt;&lt;epo ews="Dat_01" ece="A399" enr="MSTR.Precios_Medios_Ponderados_Mensuales" ptn="" qtn="" rows="7" cols="15" /&gt;&lt;esdo ews="" ece="" ptn="" /&gt;&lt;/excel&gt;&lt;gridRng&gt;&lt;sect id="TITLE_AREA" rngprop="1:1:3:2" /&gt;&lt;sect id="ROWHEADERS_AREA" rngprop="4:1:4:2" /&gt;&lt;sect id="COLUMNHEADERS_AREA" rngprop="1:3:3:13" /&gt;&lt;sect id="DATA_AREA" rngprop="4:3:4:13" /&gt;&lt;/gridRng&gt;&lt;shapes /&gt;&lt;/bl&gt;&lt;/bls&gt;&lt;/pg&gt;&lt;/pgs&gt;&lt;/rptloc&gt;&lt;/mi&gt;</t>
  </si>
  <si>
    <t>&lt;mi app="e" ver="22"&gt;&lt;rptloc guid="4017b373be8643068e18cd114704d41b" rank="0" ds="1"&gt;&lt;ri hasPG="0" name="Precios Medios Ponderados programa" id="AB71205A4626F9C93A23D696FB475560" path="Objetos públicos\Informes\Informes Específicos\Estadística\INFORMES MACROS\Office\Boletín\Precios Medios Ponderados programa" cf="0" prompt="1" ve="0" vm="0" flashpth="C:\Users\MADCONMA\AppData\Local\Temp\" fimagepth="C:\Users\MADCONMA\AppData\Local\Temp\" swfn="DashboardViewer.swf" fvars="" dvis=""&gt;&lt;ans /&gt;&lt;ci ps="BI" srv="APBI5A" prj="SIOSbi" prjid="80652F57504C7F8E3D7CF2B0B09EA47F" li="MADCONMA" am="s" /&gt;&lt;lu ut="09/07/2026 08:09:45" si="2.00000001337728439e59db7ae9482cf12d69407d7f53b526b4256960b231a393b0ef635b9387cc5bb6e22972f4b0798a01f15077c4ea5f11f9ba4e15e88443b1213a75b6af7f5ff69e904aaf987d3afe5e2f52673823c6062d25f95e237dd73935e9e28404a22c2356cc137bc5a2dff38c723b71d41c8923c1f119b13d785ba193f72084c6094985e6d1381be17ca7e448853627e5e88ffc696c69637f9b4e98b36fd36ebef4172e84184debf51036eac320319bdcfb95e4facee18fb2fcaa098378d03669d5097f368560e002ecaf4a798deba60a133aa158fb56c875bfcd6358840355137a207fe88a1766693ff99b1c34e892289d81b7cf5a597dbbcba3d9bde36bf8f237d541b437756da9abb2a9f7be502e05e268f1a9f5fe81134b073d6ff9.p-3082.0.1_-3082.0.1_0.1.Europe/Madrid.upriv*_1*_pidn2*_33*_session*-lat*_1.00000001d94283b15bf3036ca0967c69e3d7e7c1ea1bd88b08dfcded218cec148068e1ebd597b9b9b118c594c407f2250b2353bbe5ba3c99.0000000136799866a03622d26a291090be33abde31cdd82ec4bde72f0d8001b3d61ea53059eeadee2919a3d202ee256a224caea06b54a1e1.0.1.1.SIOSbi.80652F57504C7F8E3D7CF2B0B09EA47F.0-3082.1.1_-0.1.0_-3082.1.1_5.5.0.*0.000000018d9b5117ca863b331549f2d84b42d502c911585ae7c92199ed9543af8810e6f2a5ecf0ba.0.23.11*.4*.1200*.00787J.e.00000001755ae265dbc1bc2da209639539dbdf91c911585aa0606ab093037787da7d6e3a5f0d4d60.0.10*.131*.138*.19.*0.0.0.0" msgID="F2547C11FE4F5FE6CFF4AEBD8927CE2E"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ece="A409" enr="MSTR.Precios_Medios_Ponderados_Mensuales" ptn="" qtn="" rows="11" cols="15" /&gt;&lt;esdo ews="" ece="" ptn="" /&gt;&lt;/excel&gt;&lt;pgs&gt;&lt;pg rows="8" cols="13" nrr="504" nrc="819"&gt;&lt;pg /&gt;&lt;bls&gt;&lt;bl sr="1" sc="1" rfetch="8" cfetch="13" posid="1" darows="0" dacols="1"&gt;&lt;excel&gt;&lt;epo ews="Dat_01" ece="A409" enr="MSTR.Precios_Medios_Ponderados_Mensuales" ptn="" qtn="" rows="11" cols="15" /&gt;&lt;esdo ews="" ece="" ptn="" /&gt;&lt;/excel&gt;&lt;gridRng&gt;&lt;sect id="TITLE_AREA" rngprop="1:1:3:2" /&gt;&lt;sect id="ROWHEADERS_AREA" rngprop="4:1:8:2" /&gt;&lt;sect id="COLUMNHEADERS_AREA" rngprop="1:3:3:13" /&gt;&lt;sect id="DATA_AREA" rngprop="4:3:8:13" /&gt;&lt;/gridRng&gt;&lt;shapes /&gt;&lt;/bl&gt;&lt;/bls&gt;&lt;/pg&gt;&lt;/pgs&gt;&lt;/rptloc&gt;&lt;/mi&gt;</t>
  </si>
  <si>
    <t>&lt;mi app="e" ver="22"&gt;&lt;rptloc guid="fd7cebb7d6d44a5d84cdd0c08a772eb0" rank="0" ds="1"&gt;&lt;ri hasPG="0" name="Precio Medio Ponderado treal bajar programa" id="02545C5CA546FEDBD0E0319950EE4D5D" path="Objetos públicos\Informes\Informes Específicos\Estadística\INFORMES MACROS\Office\Boletín\Precio Medio Ponderado treal bajar programa" cf="0" prompt="1" ve="0" vm="0" flashpth="C:\Users\madconma\AppData\Local\Temp\" fimagepth="C:\Users\madconma\AppData\Local\Temp\" swfn="DashboardViewer.swf" fvars="" dvis=""&gt;&lt;ans /&gt;&lt;ci ps="BI" srv="APBI5A" prj="SIOSbi" prjid="80652F57504C7F8E3D7CF2B0B09EA47F" li="MADCONMA" am="s" /&gt;&lt;lu ut="09/07/2026 08:53:54" si="2.00000001337728439e59db7ae9482cf12d69407d7f53b526b4256960b231a393b0ef635b9387cc5bb6e22972f4b0798a01f15077c4ea5f11f9ba4e15e88443b1213a75b6af7f5ff69e904aaf987d3afe5e2f52673823c6062d25f95e237dd73935e9e28404a22c2356cc137bc5a2dff38c723b71d41c8923c1f119b13d785ba193f72084c6094985e6d1381be17ca7e448853627e5e88ffc696c69637f9b4e98b36fd36ebef4172e84184debf51036eac320319bdcfb95e4facee18fb2fcaa098378d03669d5097f368560e002ecaf4a798deba60a133aa158fb56c875bfcd6358840355137a207fe88a1766693ff99b1c34e892289d81b7cf5a597dbbcba3d9bde36bf8f237d541b437756da9abb2a9f7be502e05e268f1a9f5fe81134b073d6ff9.p-3082.0.1_-3082.0.1_0.1.Europe/Madrid.upriv*_1*_pidn2*_33*_session*-lat*_1.00000001d94283b15bf3036ca0967c69e3d7e7c1ea1bd88b08dfcded218cec148068e1ebd597b9b9b118c594c407f2250b2353bbe5ba3c99.0000000136799866a03622d26a291090be33abde31cdd82ec4bde72f0d8001b3d61ea53059eeadee2919a3d202ee256a224caea06b54a1e1.0.1.1.SIOSbi.80652F57504C7F8E3D7CF2B0B09EA47F.0-3082.1.1_-0.1.0_-3082.1.1_5.5.0.*0.000000018d9b5117ca863b331549f2d84b42d502c911585ae7c92199ed9543af8810e6f2a5ecf0ba.0.23.11*.4*.1200*.00787J.e.00000001755ae265dbc1bc2da209639539dbdf91c911585aa0606ab093037787da7d6e3a5f0d4d60.0.10*.131*.138*.19.*0.0.0.0" msgID="85F202D6DD40AE3D81306B98901BBD5A" /&gt;&lt;/ri&gt;&lt;do pa="6" cfmt="0" fmt="1" saf="0" hd="0" afg="1" rafg="1" arh="1" gosdo="1"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ece="C405" enr="MSTR.Precio_Medio_Ponderado_treal_bajar_programa" ptn="" qtn="" rows="1" cols="13" /&gt;&lt;esdo ews="" ece="" ptn="" /&gt;&lt;/excel&gt;&lt;pgs&gt;&lt;pg rows="1" cols="13" nrr="5" nrc="65"&gt;&lt;pg /&gt;&lt;bls&gt;&lt;bl sr="1" sc="1" rfetch="1" cfetch="13" posid="1" darows="0" dacols="1"&gt;&lt;excel&gt;&lt;epo ews="Dat_01" ece="C405" enr="MSTR.Precio_Medio_Ponderado_treal_bajar_programa" ptn="" qtn="" rows="1" cols="13" /&gt;&lt;esdo ews="" ece="" ptn="" /&gt;&lt;/excel&gt;&lt;gridRng&gt;&lt;sect id="TITLE_AREA" rngprop="0:0:0:0" /&gt;&lt;sect id="ROWHEADERS_AREA" rngprop="1:1:1:0" /&gt;&lt;sect id="COLUMNHEADERS_AREA" rngprop="0:0:0:0" /&gt;&lt;sect id="DATA_AREA" rngprop="1:1:1:13" /&gt;&lt;/gridRng&gt;&lt;shapes /&gt;&lt;/bl&gt;&lt;/bls&gt;&lt;/pg&gt;&lt;/pgs&gt;&lt;/rptloc&gt;&lt;/mi&gt;</t>
  </si>
  <si>
    <t>&lt;mi app="e" ver="22"&gt;&lt;rptloc guid="f9dba19e258c47bfa4f0abba913b7048" rank="0" ds="1"&gt;&lt;ri hasPG="0" name="Mercados de Operacion. Energía Gestionada" id="450AF1DD4F643349C237188A620CC59A" path="Objetos públicos\Informes\Informes Específicos\Estadística\INFORMES MACROS\Office\Boletín\Mercados de Operacion. Energía Gestionada" cf="0" prompt="1" ve="0" vm="0" flashpth="d:\Usuarios\ARACABIV\AppData\Local\Temp\" fimagepth="d:\Usuarios\ARACABIV\AppData\Local\Temp\" swfn="DashboardViewer.swf" fvars="" dvis=""&gt;&lt;ans /&gt;&lt;ci ps="BI" srv="APBI5A" prj="SIOSbi" prjid="80652F57504C7F8E3D7CF2B0B09EA47F" li="MADCONMA" am="s" /&gt;&lt;lu ut="09/07/2026 08:56:59" si="2.00000001337728439e59db7ae9482cf12d69407d7f53b526b4256960b231a393b0ef635b9387cc5bb6e22972f4b0798a01f15077c4ea5f11f9ba4e15e88443b1213a75b6af7f5ff69e904aaf987d3afe5e2f52673823c6062d25f95e237dd73935e9e28404a22c2356cc137bc5a2dff38c723b71d41c8923c1f119b13d785ba193f72084c6094985e6d1381be17ca7e448853627e5e88ffc696c69637f9b4e98b36fd36ebef4172e84184debf51036eac320319bdcfb95e4facee18fb2fcaa098378d03669d5097f368560e002ecaf4a798deba60a133aa158fb56c875bfcd6358840355137a207fe88a1766693ff99b1c34e892289d81b7cf5a597dbbcba3d9bde36bf8f237d541b437756da9abb2a9f7be502e05e268f1a9f5fe81134b073d6ff9.p-3082.0.1_-3082.0.1_0.1.Europe/Madrid.upriv*_1*_pidn2*_33*_session*-lat*_1.00000001d94283b15bf3036ca0967c69e3d7e7c1ea1bd88b08dfcded218cec148068e1ebd597b9b9b118c594c407f2250b2353bbe5ba3c99.0000000136799866a03622d26a291090be33abde31cdd82ec4bde72f0d8001b3d61ea53059eeadee2919a3d202ee256a224caea06b54a1e1.0.1.1.SIOSbi.80652F57504C7F8E3D7CF2B0B09EA47F.0-3082.1.1_-0.1.0_-3082.1.1_5.5.0.*0.000000018d9b5117ca863b331549f2d84b42d502c911585ae7c92199ed9543af8810e6f2a5ecf0ba.0.23.11*.4*.1200*.00787J.e.00000001755ae265dbc1bc2da209639539dbdf91c911585aa0606ab093037787da7d6e3a5f0d4d60.0.10*.131*.138*.19.*0.0.0.0" msgID="1E95A0C1AA4CF0C5ECEAF6A0B7D372B9"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ece="$A$118" enr="MSTR.Mercados_de_Operacion._Energía_Gestionada" ptn="" qtn="" rows="7" cols="3" /&gt;&lt;esdo ews="" ece="" ptn="" /&gt;&lt;/excel&gt;&lt;pgs&gt;&lt;pg rows="4" cols="2" nrr="567" nrc="250"&gt;&lt;pg /&gt;&lt;bls&gt;&lt;bl sr="1" sc="1" rfetch="4" cfetch="2" posid="1" darows="0" dacols="1"&gt;&lt;excel&gt;&lt;epo ews="Dat_01" ece="$A$118" enr="MSTR.Mercados_de_Operacion._Energía_Gestionada" ptn="" qtn="" rows="7" cols="3" /&gt;&lt;esdo ews="" ece="" ptn="" /&gt;&lt;/excel&gt;&lt;gridRng&gt;&lt;sect id="TITLE_AREA" rngprop="1:1:3:1" /&gt;&lt;sect id="ROWHEADERS_AREA" rngprop="4:1:4:1" /&gt;&lt;sect id="COLUMNHEADERS_AREA" rngprop="1:2:3:2" /&gt;&lt;sect id="DATA_AREA" rngprop="4:2:4:2" /&gt;&lt;/gridRng&gt;&lt;shapes /&gt;&lt;/bl&gt;&lt;/bls&gt;&lt;/pg&gt;&lt;/pgs&gt;&lt;/rptloc&gt;&lt;/mi&gt;</t>
  </si>
  <si>
    <t>&lt;mi app="e" ver="22"&gt;&lt;rptloc guid="71b43901454340ccaccf9831ed3c0ada" rank="0" ds="1"&gt;&lt;ri hasPG="1" name="Energia mensual PMF" id="EC1635549E43EE9D2B7549B40C398CBE" path="Objetos públicos\Informes\Informes Específicos\Estadística\INFORMES MACROS\Office\Boletín\Energia mensual PMF" cf="0" prompt="1" ve="0" vm="0" flashpth="C:\Users\madconma\AppData\Local\Temp\" fimagepth="C:\Users\madconma\AppData\Local\Temp\" swfn="DashboardViewer.swf" fvars="" dvis=""&gt;&lt;ans /&gt;&lt;ci ps="BI" srv="APBI5A" prj="SIOSbi" prjid="80652F57504C7F8E3D7CF2B0B09EA47F" li="MADCONMA" am="s" /&gt;&lt;lu ut="09/07/2026 09:02:25" si="2.00000001337728439e59db7ae9482cf12d69407d7f53b526b4256960b231a393b0ef635b9387cc5bb6e22972f4b0798a01f15077c4ea5f11f9ba4e15e88443b1213a75b6af7f5ff69e904aaf987d3afe5e2f52673823c6062d25f95e237dd73935e9e28404a22c2356cc137bc5a2dff38c723b71d41c8923c1f119b13d785ba193f72084c6094985e6d1381be17ca7e448853627e5e88ffc696c69637f9b4e98b36fd36ebef4172e84184debf51036eac320319bdcfb95e4facee18fb2fcaa098378d03669d5097f368560e002ecaf4a798deba60a133aa158fb56c875bfcd6358840355137a207fe88a1766693ff99b1c34e892289d81b7cf5a597dbbcba3d9bde36bf8f237d541b437756da9abb2a9f7be502e05e268f1a9f5fe81134b073d6ff9.p-3082.0.1_-3082.0.1_0.1.Europe/Madrid.upriv*_1*_pidn2*_33*_session*-lat*_1.00000001d94283b15bf3036ca0967c69e3d7e7c1ea1bd88b08dfcded218cec148068e1ebd597b9b9b118c594c407f2250b2353bbe5ba3c99.0000000136799866a03622d26a291090be33abde31cdd82ec4bde72f0d8001b3d61ea53059eeadee2919a3d202ee256a224caea06b54a1e1.0.1.1.SIOSbi.80652F57504C7F8E3D7CF2B0B09EA47F.0-3082.1.1_-0.1.0_-3082.1.1_5.5.0.*0.000000018d9b5117ca863b331549f2d84b42d502c911585ae7c92199ed9543af8810e6f2a5ecf0ba.0.23.11*.4*.1200*.00787J.e.00000001755ae265dbc1bc2da209639539dbdf91c911585aa0606ab093037787da7d6e3a5f0d4d60.0.10*.131*.138*.19.*0.0.0.0" msgID="62041D82E746BC015190EA8CDDB5E82B"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ece="A66" enr="MSTR.Energia_mensual_PMF" ptn="" qtn="" rows="5" cols="14" /&gt;&lt;esdo ews="" ece="" ptn="" /&gt;&lt;/excel&gt;&lt;pgs&gt;&lt;pg rows="1" cols="13" nrr="4" nrc="52"&gt;&lt;pg&gt;&lt;attEl aeid="IE:74C68D664AD405F6F63FB88B0CEFFB95:6:A869999F416307AE5DE852895097F3B9:TOTAL" aedn="TOTAL" aen="Contratación" /&gt;&lt;/pg&gt;&lt;bls&gt;&lt;bl sr="1" sc="1" rfetch="1" cfetch="13" posid="1" darows="1" dacols="1"&gt;&lt;excel&gt;&lt;epo ews="Dat_01" ece="A66" enr="MSTR.Energia_mensual_PMF" ptn="" qtn="" rows="5" cols="14" /&gt;&lt;esdo ews="" ece="" ptn="" /&gt;&lt;/excel&gt;&lt;gridRng&gt;&lt;sect id="TITLE_AREA" rngprop="1:1:3:1" /&gt;&lt;sect id="ROWHEADERS_AREA" rngprop="4:1:1:1" /&gt;&lt;sect id="COLUMNHEADERS_AREA" rngprop="1:2:3:13" /&gt;&lt;sect id="DATA_AREA" rngprop="4:2:1:13" /&gt;&lt;/gridRng&gt;&lt;shapes /&gt;&lt;/bl&gt;&lt;/bls&gt;&lt;/pg&gt;&lt;/pgs&gt;&lt;/rptloc&gt;&lt;/mi&gt;</t>
  </si>
  <si>
    <t>&lt;mi app="e" ver="22"&gt;&lt;rptloc guid="1a204dc593334fbb999ed194904edee8" rank="0" ds="1"&gt;&lt;ri hasPG="0" name="Energía restricciones técnicas PDBF por combustible" id="70EF6E234019A35E75876AA6ED3B2373" path="Objetos públicos\Informes\Informes Específicos\Estadística\INFORMES MACROS\Office\Boletín\Energía restricciones técnicas PDBF por combustible" cf="0" prompt="1" ve="0" vm="0" flashpth="d:\Usuarios\ARACABIV\AppData\Local\Temp\" fimagepth="d:\Usuarios\ARACABIV\AppData\Local\Temp\" swfn="DashboardViewer.swf" fvars="" dvis=""&gt;&lt;ans /&gt;&lt;ci ps="BI" srv="APBI5A" prj="SIOSbi" prjid="80652F57504C7F8E3D7CF2B0B09EA47F" li="MADCONMA" am="s" /&gt;&lt;lu ut="09/07/2026 10:56:51" si="2.00000001d48b54057e91ec63a9090b85b0b37cae04e02e92a34a2b7ba9659a5808189eeb56895ed7ed9e8a8057def312113c6f9d4e103c1a90bf4514b65f087cb8547f833f30202bbb3eb853d80e0c0993b003a504488a3afa5d36e631e288ee9dc1ebd593698775bd18d148908a07c5c46840bb2b3c6bf210ba265f738d89cc97c71e9329a0fcdb1ad5b39dfa79b3615c029be30101f1d60978bba2dc86f358fc075a7fb157a9c018b9f2ccc8d36832ec84bf5092c1f801c8d9cab6dd368c0b40fb9d1fb9fb5a648127ff61957c54809667a40071c5b59816fea73865f38f669dddfa8e4e9d0a8a0c3eb6493b4168c575ceee8c1704414c38dc2293a3fcff1329972d6df585a1d3fe641327617c0bc9c6c06664c2e2a0f1d2659c5893e9fd3e709a.p-3082.0.1_-3082.0.1_0.1.Europe/Madrid.upriv*_1*_pidn2*_33*_session*-lat*_1.000000014520bf4b62c344264dd50e433f07d581ea1bd88b470df38c34b08c0aae8b40e2995842501b937b9ee050089815975ed5f0a6a5f1.00000001d60f6f27d6406a885dfdcf4caa8f3dc731cdd82ee908ce5d5d5a7cdf7d252787a89d1005568d5f3be45a6c03ee014016d9e4534d.0.1.1.SIOSbi.80652F57504C7F8E3D7CF2B0B09EA47F.0-3082.1.1_-0.1.0_-3082.1.1_5.5.0.*0.0000000114ee81953b063730c843edd41b1b100ec911585acab105d6f17e32e53acdb56929e4db50.0.23.11*.4*.1200*.00787J.e.0000000155f65f5902b36620821b6453e670b6c0c911585a4cca571d03b0b6755b5e4d4d524825e4.0.10*.131*.138*.19.*0.0.0.0" msgID="44FA0507234B7C9D2B713FBCC54FCEB7"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ece="A131" enr="MSTR.Energía_restricciones_técnicas_PDBF_por_combustible" ptn="" qtn="" rows="43" cols="15" /&gt;&lt;esdo ews="" ece="" ptn="" /&gt;&lt;/excel&gt;&lt;pgs&gt;&lt;pg rows="40" cols="13" nrr="2597" nrc="1404"&gt;&lt;pg /&gt;&lt;bls&gt;&lt;bl sr="1" sc="1" rfetch="40" cfetch="13" posid="1" darows="0" dacols="1"&gt;&lt;excel&gt;&lt;epo ews="Dat_01" ece="A131" enr="MSTR.Energía_restricciones_técnicas_PDBF_por_combustible" ptn="" qtn="" rows="43" cols="15" /&gt;&lt;esdo ews="" ece="" ptn="" /&gt;&lt;/excel&gt;&lt;gridRng&gt;&lt;sect id="TITLE_AREA" rngprop="1:1:3:2" /&gt;&lt;sect id="ROWHEADERS_AREA" rngprop="4:1:40:2" /&gt;&lt;sect id="COLUMNHEADERS_AREA" rngprop="1:3:3:13" /&gt;&lt;sect id="DATA_AREA" rngprop="4:3:40:13" /&gt;&lt;/gridRng&gt;&lt;shapes /&gt;&lt;/bl&gt;&lt;/bls&gt;&lt;/pg&gt;&lt;/pgs&gt;&lt;/rptloc&gt;&lt;/mi&gt;</t>
  </si>
  <si>
    <t>&lt;mi app="e" ver="22"&gt;&lt;rptloc guid="6cabc49f5d5c4ad5a5ba49a26441cdc6" rank="0" ds="1"&gt;&lt;ri hasPG="0" name="Asignaciones Terciaria por combustible" id="6DC51F0B4484B81504F54C8BBF673691" path="Objetos públicos\Informes\Informes Específicos\Estadística\INFORMES MACROS\Office\Boletín\Asignaciones Terciaria por combustible" cf="0" prompt="1" ve="0" vm="0" flashpth="d:\Usuarios\ARACABIV\AppData\Local\Temp\" fimagepth="d:\Usuarios\ARACABIV\AppData\Local\Temp\" swfn="DashboardViewer.swf" fvars="" dvis=""&gt;&lt;ans /&gt;&lt;ci ps="BI" srv="APBI5A" prj="SIOSbi" prjid="80652F57504C7F8E3D7CF2B0B09EA47F" li="MADCONMA" am="s" /&gt;&lt;lu ut="09/07/2026 16:58:50" si="2.0000000172daeebe1758e845d73bc9a0bfb8ece56bd5d7eb4c0c7ea8e3f8a1b1a07e13f45fa0ab025067b0f819ae10b90a53a33f054b0c42f955edbd26148baf942c7ebefd8e44d94011b4f32f2409ed87af4c536bf136a29ae9635e2f9d996b44fed3ad21daaa68b45d7b4f16115131f8d06c56506efdbb2bbe689ee53b31fe497ca80641b9d90631bf7075c549793a0ed3a696c9e040f1bd2bba3890abd62ba64f28f10e33955389617d01fa47d4af416b13637711004f1aa1f11553be01b0ff2e678e99f9772663e3df5629d3a6f456e684f3cc93895c70157a11edffe4c147aac684f21cd8e02b611b06c341939e47d1bac422d2c6705f595d52a93f33091b695c2f1bb5b2776cb614cb86136447c38bb3e6e713a98e569e96e126d5684396d4.p-3082.0.1_-3082.0.1_0.1.Europe/Madrid.upriv*_1*_pidn2*_33*_session*-lat*_1.000000011dc317af1ca6ccd60b4ae7c8aaba78cbea1bd88bc0f81773ec788bed152bcd093976e3dc230969b739da1ef6c2822c136bd91961.0000000113f1090c525fbf6cd05e26fb8966143d31cdd82ed7a4ef9f655b1459608649faf3cf0b346826bdaf6c50a4eb02ad83e94330a8be.0.1.1.SIOSbi.80652F57504C7F8E3D7CF2B0B09EA47F.0-3082.1.1_-0.1.0_-3082.1.1_5.5.0.*0.0000000180a29513cbd5ce04527dee33a90d4401c911585aa73c950a07571ae494d212767acb3d05.0.23.11*.4*.1200*.00787J.e.000000011475316001f04ee3d6159350f458482fc911585ab3ee4d8eddce595012d0e672e66cb983.0.10*.131*.138*.18.*0.0.0.0" msgID="79DDFF42234285FEAA66B69E7856EC1A"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ece="A195" enr="MSTR.Asignaciones_Terciaria_por_combustible" ptn="" qtn="" rows="41" cols="15" /&gt;&lt;esdo ews="" ece="" ptn="" /&gt;&lt;/excel&gt;&lt;pgs&gt;&lt;pg rows="38" cols="13" nrr="3590" nrc="1339"&gt;&lt;pg /&gt;&lt;bls&gt;&lt;bl sr="1" sc="1" rfetch="38" cfetch="13" posid="1" darows="0" dacols="1"&gt;&lt;excel&gt;&lt;epo ews="Dat_01" ece="A195" enr="MSTR.Asignaciones_Terciaria_por_combustible" ptn="" qtn="" rows="41" cols="15" /&gt;&lt;esdo ews="" ece="" ptn="" /&gt;&lt;/excel&gt;&lt;gridRng&gt;&lt;sect id="TITLE_AREA" rngprop="1:1:3:2" /&gt;&lt;sect id="ROWHEADERS_AREA" rngprop="4:1:38:2" /&gt;&lt;sect id="COLUMNHEADERS_AREA" rngprop="1:3:3:13" /&gt;&lt;sect id="DATA_AREA" rngprop="4:3:38:13" /&gt;&lt;/gridRng&gt;&lt;shapes /&gt;&lt;/bl&gt;&lt;/bls&gt;&lt;/pg&gt;&lt;/pgs&gt;&lt;/rptloc&gt;&lt;/mi&gt;</t>
  </si>
  <si>
    <t>&lt;mi app="e" ver="22"&gt;&lt;rptloc guid="81330f6bd54d43928185d23b657067bb" rank="0" ds="1"&gt;&lt;ri hasPG="0" name="Asignaciones Tiempo Real" id="B899BAE34AF0E79B8C5082A4571C5DFC" path="Objetos públicos\Informes\Informes Específicos\Estadística\INFORMES MACROS\Office\Boletín\Asignaciones Tiempo Real" cf="0" prompt="1" ve="0" vm="0" flashpth="d:\Usuarios\ARACABIV\AppData\Local\Temp\" fimagepth="d:\Usuarios\ARACABIV\AppData\Local\Temp\" swfn="DashboardViewer.swf" fvars="" dvis=""&gt;&lt;ans /&gt;&lt;ci ps="BI" srv="APBI5A" prj="SIOSbi" prjid="80652F57504C7F8E3D7CF2B0B09EA47F" li="MADCONMA" am="s" /&gt;&lt;lu ut="09/07/2026 17:22:04" si="2.0000000172daeebe1758e845d73bc9a0bfb8ece56bd5d7eb4c0c7ea8e3f8a1b1a07e13f45fa0ab025067b0f819ae10b90a53a33f054b0c42f955edbd26148baf942c7ebefd8e44d94011b4f32f2409ed87af4c536bf136a29ae9635e2f9d996b44fed3ad21daaa68b45d7b4f16115131f8d06c56506efdbb2bbe689ee53b31fe497ca80641b9d90631bf7075c549793a0ed3a696c9e040f1bd2bba3890abd62ba64f28f10e33955389617d01fa47d4af416b13637711004f1aa1f11553be01b0ff2e678e99f9772663e3df5629d3a6f456e684f3cc93895c70157a11edffe4c147aac684f21cd8e02b611b06c341939e47d1bac422d2c6705f595d52a93f33091b695c2f1bb5b2776cb614cb86136447c38bb3e6e713a98e569e96e126d5684396d4.p-3082.0.1_-3082.0.1_0.1.Europe/Madrid.upriv*_1*_pidn2*_33*_session*-lat*_1.000000011dc317af1ca6ccd60b4ae7c8aaba78cbea1bd88bc0f81773ec788bed152bcd093976e3dc230969b739da1ef6c2822c136bd91961.0000000113f1090c525fbf6cd05e26fb8966143d31cdd82ed7a4ef9f655b1459608649faf3cf0b346826bdaf6c50a4eb02ad83e94330a8be.0.1.1.SIOSbi.80652F57504C7F8E3D7CF2B0B09EA47F.0-3082.1.1_-0.1.0_-3082.1.1_5.5.0.*0.0000000180a29513cbd5ce04527dee33a90d4401c911585aa73c950a07571ae494d212767acb3d05.0.23.11*.4*.1200*.00787J.e.000000011475316001f04ee3d6159350f458482fc911585ab3ee4d8eddce595012d0e672e66cb983.0.10*.131*.138*.18.*0.0.0.0" msgID="F7C9DC7C5F43EE98F850F6BFC6B5C8AC"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ece="$A$336" enr="MSTR.Asignaciones_Tiempo_Real" ptn="" qtn="" rows="41" cols="15" /&gt;&lt;esdo ews="" ece="" ptn="" /&gt;&lt;/excel&gt;&lt;pgs&gt;&lt;pg rows="38" cols="13" nrr="2931" nrc="1391"&gt;&lt;pg /&gt;&lt;bls&gt;&lt;bl sr="1" sc="1" rfetch="38" cfetch="13" posid="1" darows="0" dacols="1"&gt;&lt;excel&gt;&lt;epo ews="Dat_01" ece="$A$336" enr="MSTR.Asignaciones_Tiempo_Real" ptn="" qtn="" rows="41" cols="15" /&gt;&lt;esdo ews="" ece="" ptn="" /&gt;&lt;/excel&gt;&lt;gridRng&gt;&lt;sect id="TITLE_AREA" rngprop="1:1:3:2" /&gt;&lt;sect id="ROWHEADERS_AREA" rngprop="4:1:38:2" /&gt;&lt;sect id="COLUMNHEADERS_AREA" rngprop="1:3:3:13" /&gt;&lt;sect id="DATA_AREA" rngprop="4:3:38:13" /&gt;&lt;/gridRng&gt;&lt;shapes /&gt;&lt;/bl&gt;&lt;/bls&gt;&lt;/pg&gt;&lt;/pgs&gt;&lt;/rptloc&gt;&lt;/mi&gt;</t>
  </si>
  <si>
    <t>0198eae565624d388e19ecc36a1964e1</t>
  </si>
  <si>
    <t>&lt;mi app="e" ver="22"&gt;&lt;rptloc guid="82bdb61befed4c1a9dffcf911aeab6b6" rank="0" ds="1"&gt;&lt;ri hasPG="1" name="Precio medio final Mensual" id="28D2B7E02941790003569D9AB28BD335" path="Objetos públicos\Informes\Informes Específicos\Estadística\INFORMES MACROS\Office\Boletín\Precio medio final Mensual" cf="0" prompt="1" ve="0" vm="0" flashpth="C:\Users\madconma\AppData\Local\Temp\" fimagepth="C:\Users\madconma\AppData\Local\Temp\" swfn="DashboardViewer.swf" fvars="" dvis=""&gt;&lt;ans /&gt;&lt;ci ps="BI" srv="APBI5A" prj="SIOSbi" prjid="80652F57504C7F8E3D7CF2B0B09EA47F" li="MADCONMA" am="s" /&gt;&lt;lu ut="09/08/2026 09:13:08" si="2.00000001181cf329d29ef24f866bdd051c25b3ed8fcbb022984586b420731ee12e45ef6a29989c93a0097b5dc662895e7d52bcf15d100fa6d6d63a0c636021f6f2e5f091c4b80f63989d169cb2152aa0461f974b44b7d8056df8400da26c259fa1038d24c42ce32ae8a4acaaa06b582fc3f3f5d7bb7530d5a6b5e739f1722351f93d739815793131afda76bdce4a88ab27e74de6c75302e0249b42510c51196a1a2f192120584a59376ec094ea7c9954a09e03298547d8a1542183e4a0e03d0676b0284951f8607bae2b6ab5bad07365696c62aac177f4bc68d7bca5968e203a62b7c1835f309c27baee2b4158b7615cbfc78b718c023fce711e004840c7fa2c6cd2731d2860f3d9a363d70070f2c317d3ecb212908e765bc82d1aceee5009b89b43.p-3082.0.1_-3082.0.1_0.1.Europe/Madrid.upriv*_1*_pidn2*_34*_session*-lat*_1.00000001a2db6e4a35290023c1359191b4f69f13ea1bd88b0acf983474c5b98ca31651ffdcf404c63dac379a7d19cadce3d243bb392ae245.0000000135eb56cef6239dec62fcd335725135de31cdd82ea10152d517551c240d3eb6e4f60384c473e99d54a12dda94fa8712c5982c8101.0.1.1.SIOSbi.80652F57504C7F8E3D7CF2B0B09EA47F.0-3082.1.1_-0.1.0_-3082.1.1_5.5.0.*0.0000000155a55b45f3011e29640a0ac66e256e04c911585a38e9910bae18e03433a0575edb8a251f.0.23.11*.4*.1200*.00787J.e.00000001579f3322e214d90748ce586e98ff7af6c911585ad359f2ed62a8788f71e98c26efda03cf.0.10*.131*.138*.18.*0.0.0.0" msgID="1D06FC16F3431BF3F677599FBA5A648F"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ece="A43" enr="MSTR.Precio_medio_final_Mensual.1" ptn="" qtn="" rows="20" cols="14" /&gt;&lt;esdo ews="" ece="" ptn="" /&gt;&lt;/excel&gt;&lt;pgs&gt;&lt;pg rows="14" cols="13" nrr="112" nrc="104"&gt;&lt;pg&gt;&lt;attEl aeid="IE:74C68D664AD405F6F63FB88B0CEFFB95:6:A869999F416307AE5DE852895097F3B9:TOTAL" aedn="TOTAL" aen="Contratación" /&gt;&lt;/pg&gt;&lt;bls&gt;&lt;bl sr="1" sc="1" rfetch="14" cfetch="13" posid="1" darows="1" dacols="1"&gt;&lt;excel&gt;&lt;epo ews="Dat_01" ece="A43" enr="MSTR.Precio_medio_final_Mensual.1" ptn="" qtn="" rows="20" cols="14" /&gt;&lt;esdo ews="" ece="" ptn="" /&gt;&lt;/excel&gt;&lt;gridRng&gt;&lt;sect id="TITLE_AREA" rngprop="1:1:5:1" /&gt;&lt;sect id="ROWHEADERS_AREA" rngprop="6:1:14:1" /&gt;&lt;sect id="COLUMNHEADERS_AREA" rngprop="1:2:5:13" /&gt;&lt;sect id="DATA_AREA" rngprop="6:2:14:13" /&gt;&lt;/gridRng&gt;&lt;shapes /&gt;&lt;/bl&gt;&lt;/bls&gt;&lt;/pg&gt;&lt;/pgs&gt;&lt;/rptloc&gt;&lt;/mi&gt;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</si>
</sst>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3" formatCode="_-* #,##0.00_-;\-* #,##0.00_-;_-* &quot;-&quot;??_-;_-@_-"/>
    <numFmt numFmtId="164" formatCode="#,##0.0"/>
    <numFmt numFmtId="165" formatCode="0.000"/>
    <numFmt numFmtId="166" formatCode="0.0"/>
    <numFmt numFmtId="167" formatCode="_-* #,##0.00[$€]_-;\-* #,##0.00[$€]_-;_-* &quot;-&quot;??[$€]_-;_-@_-"/>
    <numFmt numFmtId="168" formatCode="0.0%"/>
    <numFmt numFmtId="169" formatCode="#,##0.00;\(#,##0.00\)"/>
    <numFmt numFmtId="170" formatCode="#,##0.000"/>
    <numFmt numFmtId="171" formatCode="#,##0;\(#,##0\)"/>
    <numFmt numFmtId="173" formatCode="_-* #,##0.0_-;\-* #,##0.0_-;_-* &quot;-&quot;??_-;_-@_-"/>
    <numFmt numFmtId="174" formatCode="0.0000%"/>
    <numFmt numFmtId="175" formatCode="0.0000"/>
  </numFmts>
  <fonts count="82">
    <font>
      <sz val="10"/>
      <name val="Genev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  <family val="2"/>
    </font>
    <font>
      <sz val="9"/>
      <name val="Futura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color indexed="56"/>
      <name val="Geneva"/>
      <family val="2"/>
    </font>
    <font>
      <sz val="10"/>
      <color indexed="8"/>
      <name val="Geneva"/>
      <family val="2"/>
    </font>
    <font>
      <sz val="10"/>
      <color indexed="32"/>
      <name val="Avant Garde"/>
    </font>
    <font>
      <sz val="10"/>
      <name val="Arial"/>
      <family val="2"/>
    </font>
    <font>
      <sz val="10"/>
      <name val="Geneva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sz val="10"/>
      <color theme="0"/>
      <name val="Arial"/>
      <family val="2"/>
    </font>
    <font>
      <b/>
      <sz val="8"/>
      <color rgb="FF004563"/>
      <name val="Arial"/>
      <family val="2"/>
    </font>
    <font>
      <sz val="8"/>
      <color rgb="FF004563"/>
      <name val="Arial"/>
      <family val="2"/>
    </font>
    <font>
      <sz val="10"/>
      <color rgb="FF004563"/>
      <name val="Geneva"/>
    </font>
    <font>
      <b/>
      <sz val="10"/>
      <color rgb="FF004563"/>
      <name val="Geneva"/>
    </font>
    <font>
      <sz val="8"/>
      <name val="Symbol"/>
      <family val="1"/>
      <charset val="2"/>
    </font>
    <font>
      <b/>
      <sz val="8"/>
      <color rgb="FF005675"/>
      <name val="Verdana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8"/>
      <name val="Arial"/>
      <family val="2"/>
    </font>
    <font>
      <sz val="8"/>
      <name val="Helv"/>
    </font>
    <font>
      <sz val="8"/>
      <color indexed="10"/>
      <name val="Helv"/>
    </font>
    <font>
      <sz val="10"/>
      <name val="Arial"/>
      <family val="2"/>
    </font>
    <font>
      <sz val="10"/>
      <color theme="0"/>
      <name val="Geneva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4563"/>
      <name val="Arial"/>
      <family val="2"/>
    </font>
    <font>
      <b/>
      <sz val="11"/>
      <color rgb="FF004563"/>
      <name val="Arial"/>
      <family val="2"/>
    </font>
    <font>
      <b/>
      <sz val="11"/>
      <color indexed="8"/>
      <name val="Arial"/>
      <family val="2"/>
    </font>
    <font>
      <b/>
      <sz val="8"/>
      <color rgb="FF00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vant Garde"/>
    </font>
    <font>
      <sz val="10"/>
      <color rgb="FFFF0000"/>
      <name val="Geneva"/>
      <family val="2"/>
    </font>
    <font>
      <b/>
      <sz val="8"/>
      <color rgb="FFFF0000"/>
      <name val="Arial"/>
      <family val="2"/>
    </font>
    <font>
      <sz val="10"/>
      <color theme="3"/>
      <name val="Geneva"/>
      <family val="2"/>
    </font>
    <font>
      <b/>
      <sz val="8"/>
      <color rgb="FF004563"/>
      <name val="Calibri"/>
      <family val="2"/>
    </font>
    <font>
      <sz val="10"/>
      <color indexed="21"/>
      <name val="Symbol"/>
      <family val="1"/>
      <charset val="2"/>
    </font>
    <font>
      <sz val="14"/>
      <color indexed="21"/>
      <name val="Arial"/>
      <family val="2"/>
    </font>
    <font>
      <u/>
      <sz val="10"/>
      <color indexed="12"/>
      <name val="Geneva"/>
      <family val="2"/>
    </font>
    <font>
      <b/>
      <sz val="8"/>
      <color rgb="FFFFFFFF"/>
      <name val="Verdana"/>
      <family val="2"/>
    </font>
    <font>
      <sz val="10"/>
      <color rgb="FF000000"/>
      <name val="Geneva"/>
    </font>
    <font>
      <b/>
      <sz val="8"/>
      <color theme="0"/>
      <name val="Arial"/>
      <family val="2"/>
    </font>
    <font>
      <sz val="10"/>
      <color rgb="FFFFFFFF"/>
      <name val="Segoe UI"/>
      <family val="2"/>
    </font>
    <font>
      <sz val="11"/>
      <name val="Geneva"/>
    </font>
    <font>
      <sz val="11"/>
      <color rgb="FF004563"/>
      <name val="Geneva"/>
    </font>
    <font>
      <sz val="10"/>
      <color theme="0"/>
      <name val="Segoe UI"/>
      <family val="2"/>
    </font>
    <font>
      <sz val="10"/>
      <color theme="0"/>
      <name val="Geneva"/>
    </font>
    <font>
      <sz val="10"/>
      <color rgb="FF004563"/>
      <name val="Geneva"/>
      <family val="2"/>
    </font>
    <font>
      <sz val="10"/>
      <color rgb="FFFF0000"/>
      <name val="Geneva"/>
    </font>
    <font>
      <u/>
      <sz val="10"/>
      <color theme="10"/>
      <name val="Geneva"/>
    </font>
    <font>
      <sz val="10"/>
      <name val="Arial"/>
      <family val="2"/>
    </font>
    <font>
      <sz val="8"/>
      <name val="Geneva"/>
    </font>
    <font>
      <sz val="12"/>
      <color theme="1"/>
      <name val="Calibri"/>
      <family val="2"/>
      <scheme val="minor"/>
    </font>
    <font>
      <i/>
      <sz val="10"/>
      <color rgb="FF004563"/>
      <name val="Arial"/>
      <family val="2"/>
    </font>
    <font>
      <sz val="10"/>
      <color theme="0" tint="-0.34998626667073579"/>
      <name val="Geneva"/>
    </font>
    <font>
      <b/>
      <sz val="10"/>
      <name val="Geneva"/>
    </font>
    <font>
      <b/>
      <sz val="8"/>
      <color theme="1"/>
      <name val="Arial"/>
      <family val="2"/>
    </font>
    <font>
      <b/>
      <sz val="10"/>
      <color theme="0"/>
      <name val="Geneva"/>
    </font>
    <font>
      <sz val="10"/>
      <color rgb="FF000000"/>
      <name val="Arial"/>
      <family val="2"/>
    </font>
    <font>
      <b/>
      <sz val="10"/>
      <color rgb="FFFF0000"/>
      <name val="Geneva"/>
    </font>
    <font>
      <sz val="8"/>
      <color theme="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4839D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rgb="FFFFFFFF"/>
      </patternFill>
    </fill>
    <fill>
      <patternFill patternType="solid">
        <fgColor rgb="FF8192AD"/>
        <bgColor rgb="FFFFFFFF"/>
      </patternFill>
    </fill>
    <fill>
      <patternFill patternType="solid">
        <fgColor rgb="FF000080"/>
        <bgColor rgb="FF000080"/>
      </patternFill>
    </fill>
    <fill>
      <patternFill patternType="solid">
        <fgColor rgb="FFFFCC00"/>
        <bgColor rgb="FF000080"/>
      </patternFill>
    </fill>
    <fill>
      <patternFill patternType="solid">
        <fgColor rgb="FFFF0000"/>
        <bgColor rgb="FF000080"/>
      </patternFill>
    </fill>
    <fill>
      <patternFill patternType="solid">
        <fgColor rgb="FF00CC00"/>
        <bgColor indexed="64"/>
      </patternFill>
    </fill>
    <fill>
      <patternFill patternType="solid">
        <fgColor rgb="FFCEFFFF"/>
        <bgColor rgb="FF000080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C000"/>
        <bgColor rgb="FFFFFFFF"/>
      </patternFill>
    </fill>
  </fills>
  <borders count="28">
    <border>
      <left/>
      <right/>
      <top/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A6A6A6"/>
      </top>
      <bottom style="thin">
        <color indexed="63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rgb="FF808080"/>
      </bottom>
      <diagonal/>
    </border>
    <border>
      <left style="thin">
        <color rgb="FFC0C0C0"/>
      </left>
      <right/>
      <top/>
      <bottom/>
      <diagonal/>
    </border>
    <border>
      <left/>
      <right/>
      <top style="thin">
        <color indexed="63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indexed="63"/>
      </top>
      <bottom style="thin">
        <color rgb="FFC0C0C0"/>
      </bottom>
      <diagonal/>
    </border>
    <border>
      <left/>
      <right/>
      <top style="thin">
        <color indexed="63"/>
      </top>
      <bottom style="thin">
        <color rgb="FFC0C0C0"/>
      </bottom>
      <diagonal/>
    </border>
    <border>
      <left style="thin">
        <color rgb="FFC0C0C0"/>
      </left>
      <right/>
      <top style="thin">
        <color indexed="63"/>
      </top>
      <bottom style="thin">
        <color rgb="FFC0C0C0"/>
      </bottom>
      <diagonal/>
    </border>
    <border>
      <left/>
      <right/>
      <top style="thin">
        <color indexed="63"/>
      </top>
      <bottom style="thin">
        <color rgb="FFC0C0C0"/>
      </bottom>
      <diagonal/>
    </border>
  </borders>
  <cellStyleXfs count="92">
    <xf numFmtId="0" fontId="0" fillId="0" borderId="0"/>
    <xf numFmtId="167" fontId="14" fillId="0" borderId="0" applyFont="0" applyFill="0" applyBorder="0" applyAlignment="0" applyProtection="0"/>
    <xf numFmtId="0" fontId="15" fillId="0" borderId="0"/>
    <xf numFmtId="4" fontId="27" fillId="2" borderId="2">
      <alignment horizontal="right" vertical="center"/>
    </xf>
    <xf numFmtId="0" fontId="16" fillId="0" borderId="0"/>
    <xf numFmtId="0" fontId="16" fillId="0" borderId="0"/>
    <xf numFmtId="0" fontId="26" fillId="0" borderId="0"/>
    <xf numFmtId="0" fontId="26" fillId="0" borderId="0"/>
    <xf numFmtId="0" fontId="24" fillId="0" borderId="0"/>
    <xf numFmtId="9" fontId="2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37" fillId="0" borderId="0"/>
    <xf numFmtId="0" fontId="38" fillId="0" borderId="0"/>
    <xf numFmtId="9" fontId="37" fillId="0" borderId="0" applyFont="0" applyFill="0" applyBorder="0" applyAlignment="0" applyProtection="0"/>
    <xf numFmtId="0" fontId="39" fillId="0" borderId="0"/>
    <xf numFmtId="0" fontId="42" fillId="0" borderId="0"/>
    <xf numFmtId="0" fontId="28" fillId="3" borderId="2">
      <alignment vertical="center" wrapText="1"/>
    </xf>
    <xf numFmtId="0" fontId="28" fillId="3" borderId="2">
      <alignment horizontal="center" wrapText="1"/>
    </xf>
    <xf numFmtId="0" fontId="13" fillId="0" borderId="0"/>
    <xf numFmtId="0" fontId="27" fillId="2" borderId="2">
      <alignment horizontal="left" vertical="center" wrapText="1"/>
    </xf>
    <xf numFmtId="3" fontId="27" fillId="2" borderId="2">
      <alignment horizontal="right" vertical="center"/>
    </xf>
    <xf numFmtId="9" fontId="13" fillId="0" borderId="0" applyFont="0" applyFill="0" applyBorder="0" applyAlignment="0" applyProtection="0"/>
    <xf numFmtId="164" fontId="27" fillId="2" borderId="2">
      <alignment horizontal="right" vertical="center"/>
    </xf>
    <xf numFmtId="164" fontId="49" fillId="7" borderId="2">
      <alignment horizontal="right" vertical="center"/>
    </xf>
    <xf numFmtId="0" fontId="12" fillId="0" borderId="0"/>
    <xf numFmtId="9" fontId="12" fillId="0" borderId="0" applyFont="0" applyFill="0" applyBorder="0" applyAlignment="0" applyProtection="0"/>
    <xf numFmtId="0" fontId="28" fillId="3" borderId="2">
      <alignment horizontal="center" wrapText="1"/>
    </xf>
    <xf numFmtId="0" fontId="27" fillId="2" borderId="2">
      <alignment horizontal="left" vertical="center" wrapText="1"/>
    </xf>
    <xf numFmtId="169" fontId="49" fillId="7" borderId="2">
      <alignment horizontal="left" vertical="center"/>
    </xf>
    <xf numFmtId="0" fontId="25" fillId="0" borderId="0"/>
    <xf numFmtId="0" fontId="16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60" fillId="8" borderId="2">
      <alignment vertical="center" wrapText="1"/>
    </xf>
    <xf numFmtId="0" fontId="28" fillId="3" borderId="2">
      <alignment vertical="center" wrapText="1"/>
    </xf>
    <xf numFmtId="0" fontId="28" fillId="3" borderId="2">
      <alignment horizontal="center"/>
    </xf>
    <xf numFmtId="4" fontId="28" fillId="9" borderId="2">
      <alignment horizontal="right" vertical="center"/>
    </xf>
    <xf numFmtId="4" fontId="27" fillId="10" borderId="2">
      <alignment horizontal="right" vertical="center"/>
    </xf>
    <xf numFmtId="4" fontId="49" fillId="7" borderId="2">
      <alignment horizontal="right" vertical="center"/>
    </xf>
    <xf numFmtId="4" fontId="49" fillId="11" borderId="2">
      <alignment horizontal="right" vertical="center"/>
    </xf>
    <xf numFmtId="0" fontId="49" fillId="7" borderId="2">
      <alignment horizontal="left" vertical="center"/>
    </xf>
    <xf numFmtId="171" fontId="27" fillId="2" borderId="2">
      <alignment horizontal="right" vertical="center"/>
    </xf>
    <xf numFmtId="171" fontId="49" fillId="7" borderId="2">
      <alignment horizontal="right" vertical="center"/>
    </xf>
    <xf numFmtId="0" fontId="11" fillId="0" borderId="0"/>
    <xf numFmtId="0" fontId="10" fillId="0" borderId="0"/>
    <xf numFmtId="0" fontId="28" fillId="3" borderId="2">
      <alignment vertical="center" wrapText="1"/>
    </xf>
    <xf numFmtId="0" fontId="28" fillId="3" borderId="2">
      <alignment horizontal="center" wrapText="1"/>
    </xf>
    <xf numFmtId="0" fontId="9" fillId="0" borderId="0"/>
    <xf numFmtId="4" fontId="27" fillId="2" borderId="2">
      <alignment horizontal="right" vertical="center"/>
    </xf>
    <xf numFmtId="0" fontId="28" fillId="3" borderId="11">
      <alignment vertical="center" wrapText="1"/>
    </xf>
    <xf numFmtId="0" fontId="27" fillId="2" borderId="2">
      <alignment horizontal="left" vertical="center" wrapText="1"/>
    </xf>
    <xf numFmtId="3" fontId="27" fillId="2" borderId="2">
      <alignment horizontal="right" vertical="center"/>
    </xf>
    <xf numFmtId="0" fontId="27" fillId="2" borderId="2">
      <alignment horizontal="left" vertical="center" wrapText="1"/>
    </xf>
    <xf numFmtId="0" fontId="49" fillId="7" borderId="2">
      <alignment horizontal="left" vertical="center"/>
    </xf>
    <xf numFmtId="164" fontId="49" fillId="7" borderId="2">
      <alignment horizontal="right" vertical="center"/>
    </xf>
    <xf numFmtId="0" fontId="28" fillId="3" borderId="2">
      <alignment horizontal="center" wrapText="1"/>
    </xf>
    <xf numFmtId="0" fontId="28" fillId="3" borderId="2">
      <alignment horizontal="center" wrapText="1"/>
    </xf>
    <xf numFmtId="0" fontId="27" fillId="2" borderId="2">
      <alignment horizontal="left" vertical="center" wrapText="1"/>
    </xf>
    <xf numFmtId="164" fontId="27" fillId="2" borderId="2">
      <alignment horizontal="right" vertical="center"/>
    </xf>
    <xf numFmtId="0" fontId="49" fillId="7" borderId="2">
      <alignment horizontal="left" vertical="center"/>
    </xf>
    <xf numFmtId="0" fontId="28" fillId="3" borderId="12">
      <alignment vertical="center" wrapText="1"/>
    </xf>
    <xf numFmtId="164" fontId="49" fillId="7" borderId="2">
      <alignment horizontal="right" vertical="center"/>
    </xf>
    <xf numFmtId="0" fontId="70" fillId="0" borderId="0" applyNumberFormat="0" applyFill="0" applyBorder="0" applyAlignment="0" applyProtection="0"/>
    <xf numFmtId="0" fontId="71" fillId="0" borderId="0"/>
    <xf numFmtId="0" fontId="73" fillId="0" borderId="0"/>
    <xf numFmtId="0" fontId="8" fillId="0" borderId="0"/>
    <xf numFmtId="0" fontId="7" fillId="0" borderId="0"/>
    <xf numFmtId="43" fontId="25" fillId="0" borderId="0" applyFont="0" applyFill="0" applyBorder="0" applyAlignment="0" applyProtection="0"/>
    <xf numFmtId="4" fontId="27" fillId="13" borderId="2">
      <alignment horizontal="right" vertical="center"/>
    </xf>
    <xf numFmtId="4" fontId="28" fillId="9" borderId="2">
      <alignment horizontal="right" vertical="center"/>
    </xf>
    <xf numFmtId="4" fontId="49" fillId="11" borderId="2">
      <alignment horizontal="right" vertical="center"/>
    </xf>
    <xf numFmtId="4" fontId="49" fillId="7" borderId="2">
      <alignment horizontal="right" vertical="center"/>
    </xf>
    <xf numFmtId="164" fontId="27" fillId="7" borderId="2">
      <alignment horizontal="right" vertical="center"/>
    </xf>
    <xf numFmtId="4" fontId="27" fillId="2" borderId="2">
      <alignment horizontal="right" vertical="center"/>
    </xf>
    <xf numFmtId="0" fontId="6" fillId="0" borderId="0"/>
    <xf numFmtId="4" fontId="27" fillId="7" borderId="2">
      <alignment horizontal="right" vertical="center"/>
    </xf>
    <xf numFmtId="0" fontId="5" fillId="0" borderId="0"/>
    <xf numFmtId="0" fontId="4" fillId="0" borderId="0"/>
    <xf numFmtId="4" fontId="27" fillId="2" borderId="2">
      <alignment horizontal="right" vertical="center"/>
    </xf>
    <xf numFmtId="0" fontId="3" fillId="0" borderId="0"/>
    <xf numFmtId="0" fontId="28" fillId="3" borderId="2">
      <alignment horizontal="center" wrapText="1"/>
    </xf>
    <xf numFmtId="0" fontId="2" fillId="0" borderId="0"/>
    <xf numFmtId="0" fontId="1" fillId="0" borderId="0"/>
    <xf numFmtId="164" fontId="27" fillId="7" borderId="2">
      <alignment horizontal="right" vertical="center"/>
    </xf>
    <xf numFmtId="169" fontId="27" fillId="2" borderId="2">
      <alignment horizontal="left" vertical="center" wrapText="1"/>
    </xf>
    <xf numFmtId="0" fontId="37" fillId="0" borderId="0"/>
    <xf numFmtId="0" fontId="79" fillId="0" borderId="0"/>
    <xf numFmtId="169" fontId="27" fillId="2" borderId="2">
      <alignment horizontal="right" vertical="center"/>
    </xf>
    <xf numFmtId="0" fontId="61" fillId="2" borderId="0"/>
    <xf numFmtId="0" fontId="61" fillId="2" borderId="0">
      <alignment vertical="top"/>
    </xf>
    <xf numFmtId="170" fontId="27" fillId="2" borderId="2">
      <alignment horizontal="right" vertical="center"/>
    </xf>
  </cellStyleXfs>
  <cellXfs count="260">
    <xf numFmtId="0" fontId="0" fillId="0" borderId="0" xfId="0"/>
    <xf numFmtId="0" fontId="21" fillId="0" borderId="0" xfId="0" applyFont="1"/>
    <xf numFmtId="0" fontId="22" fillId="0" borderId="0" xfId="0" applyFont="1"/>
    <xf numFmtId="0" fontId="20" fillId="0" borderId="0" xfId="0" applyFont="1"/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indent="1"/>
    </xf>
    <xf numFmtId="0" fontId="20" fillId="0" borderId="0" xfId="0" applyFont="1" applyAlignment="1">
      <alignment horizontal="left"/>
    </xf>
    <xf numFmtId="0" fontId="23" fillId="0" borderId="0" xfId="0" applyFont="1"/>
    <xf numFmtId="164" fontId="20" fillId="0" borderId="0" xfId="0" applyNumberFormat="1" applyFont="1" applyAlignment="1">
      <alignment wrapText="1"/>
    </xf>
    <xf numFmtId="0" fontId="21" fillId="5" borderId="0" xfId="0" applyFont="1" applyFill="1" applyAlignment="1">
      <alignment horizontal="left" indent="1"/>
    </xf>
    <xf numFmtId="0" fontId="19" fillId="0" borderId="0" xfId="8" applyFont="1"/>
    <xf numFmtId="0" fontId="19" fillId="0" borderId="0" xfId="0" applyFont="1"/>
    <xf numFmtId="0" fontId="20" fillId="5" borderId="0" xfId="0" applyFont="1" applyFill="1" applyAlignment="1">
      <alignment horizontal="left"/>
    </xf>
    <xf numFmtId="0" fontId="0" fillId="5" borderId="0" xfId="0" applyFill="1"/>
    <xf numFmtId="0" fontId="32" fillId="5" borderId="6" xfId="0" applyFont="1" applyFill="1" applyBorder="1"/>
    <xf numFmtId="0" fontId="33" fillId="5" borderId="5" xfId="0" applyFont="1" applyFill="1" applyBorder="1"/>
    <xf numFmtId="49" fontId="31" fillId="5" borderId="0" xfId="0" applyNumberFormat="1" applyFont="1" applyFill="1"/>
    <xf numFmtId="0" fontId="19" fillId="0" borderId="0" xfId="8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8" applyFont="1" applyAlignment="1">
      <alignment horizontal="left"/>
    </xf>
    <xf numFmtId="0" fontId="16" fillId="0" borderId="0" xfId="4"/>
    <xf numFmtId="0" fontId="17" fillId="0" borderId="0" xfId="4" applyFont="1" applyAlignment="1">
      <alignment horizontal="center" wrapText="1"/>
    </xf>
    <xf numFmtId="0" fontId="34" fillId="0" borderId="0" xfId="4" applyFont="1"/>
    <xf numFmtId="2" fontId="17" fillId="4" borderId="0" xfId="4" applyNumberFormat="1" applyFont="1" applyFill="1"/>
    <xf numFmtId="166" fontId="17" fillId="4" borderId="0" xfId="4" applyNumberFormat="1" applyFont="1" applyFill="1"/>
    <xf numFmtId="0" fontId="16" fillId="4" borderId="0" xfId="4" applyFill="1"/>
    <xf numFmtId="0" fontId="35" fillId="4" borderId="0" xfId="4" applyFont="1" applyFill="1" applyAlignment="1">
      <alignment horizontal="right" wrapText="1"/>
    </xf>
    <xf numFmtId="0" fontId="16" fillId="0" borderId="0" xfId="4" applyAlignment="1">
      <alignment vertical="center" wrapText="1"/>
    </xf>
    <xf numFmtId="0" fontId="16" fillId="0" borderId="0" xfId="11"/>
    <xf numFmtId="166" fontId="16" fillId="0" borderId="0" xfId="11" applyNumberFormat="1"/>
    <xf numFmtId="4" fontId="36" fillId="0" borderId="0" xfId="11" applyNumberFormat="1" applyFont="1"/>
    <xf numFmtId="0" fontId="16" fillId="0" borderId="0" xfId="12"/>
    <xf numFmtId="165" fontId="16" fillId="0" borderId="0" xfId="11" applyNumberFormat="1"/>
    <xf numFmtId="165" fontId="16" fillId="0" borderId="0" xfId="12" applyNumberFormat="1"/>
    <xf numFmtId="2" fontId="16" fillId="0" borderId="0" xfId="11" applyNumberFormat="1"/>
    <xf numFmtId="4" fontId="16" fillId="0" borderId="0" xfId="11" applyNumberFormat="1"/>
    <xf numFmtId="3" fontId="16" fillId="0" borderId="0" xfId="11" applyNumberFormat="1"/>
    <xf numFmtId="3" fontId="16" fillId="0" borderId="0" xfId="4" applyNumberFormat="1"/>
    <xf numFmtId="164" fontId="30" fillId="0" borderId="0" xfId="0" applyNumberFormat="1" applyFont="1" applyAlignment="1">
      <alignment wrapText="1"/>
    </xf>
    <xf numFmtId="3" fontId="18" fillId="6" borderId="0" xfId="0" applyNumberFormat="1" applyFont="1" applyFill="1"/>
    <xf numFmtId="0" fontId="40" fillId="0" borderId="0" xfId="16" applyFont="1" applyAlignment="1">
      <alignment horizontal="center"/>
    </xf>
    <xf numFmtId="0" fontId="40" fillId="0" borderId="0" xfId="16" applyFont="1"/>
    <xf numFmtId="1" fontId="40" fillId="0" borderId="0" xfId="16" applyNumberFormat="1" applyFont="1"/>
    <xf numFmtId="165" fontId="40" fillId="0" borderId="0" xfId="16" applyNumberFormat="1" applyFont="1"/>
    <xf numFmtId="165" fontId="41" fillId="0" borderId="0" xfId="16" applyNumberFormat="1" applyFont="1"/>
    <xf numFmtId="2" fontId="40" fillId="0" borderId="0" xfId="16" applyNumberFormat="1" applyFont="1"/>
    <xf numFmtId="0" fontId="42" fillId="0" borderId="0" xfId="17"/>
    <xf numFmtId="0" fontId="20" fillId="0" borderId="0" xfId="0" applyFont="1" applyAlignment="1">
      <alignment vertical="top" wrapText="1"/>
    </xf>
    <xf numFmtId="164" fontId="30" fillId="0" borderId="0" xfId="0" applyNumberFormat="1" applyFont="1" applyAlignment="1">
      <alignment vertical="top" wrapText="1"/>
    </xf>
    <xf numFmtId="166" fontId="0" fillId="0" borderId="0" xfId="0" applyNumberFormat="1"/>
    <xf numFmtId="0" fontId="43" fillId="0" borderId="0" xfId="0" applyFont="1"/>
    <xf numFmtId="4" fontId="14" fillId="0" borderId="0" xfId="0" applyNumberFormat="1" applyFont="1"/>
    <xf numFmtId="0" fontId="46" fillId="5" borderId="0" xfId="20" applyFont="1" applyFill="1"/>
    <xf numFmtId="0" fontId="47" fillId="5" borderId="9" xfId="20" applyFont="1" applyFill="1" applyBorder="1"/>
    <xf numFmtId="0" fontId="22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44" fillId="0" borderId="0" xfId="20" applyFont="1" applyAlignment="1">
      <alignment wrapText="1"/>
    </xf>
    <xf numFmtId="0" fontId="21" fillId="0" borderId="0" xfId="0" applyFont="1" applyAlignment="1">
      <alignment wrapText="1"/>
    </xf>
    <xf numFmtId="0" fontId="45" fillId="5" borderId="8" xfId="20" applyFont="1" applyFill="1" applyBorder="1" applyAlignment="1">
      <alignment wrapText="1"/>
    </xf>
    <xf numFmtId="17" fontId="47" fillId="5" borderId="8" xfId="20" quotePrefix="1" applyNumberFormat="1" applyFont="1" applyFill="1" applyBorder="1" applyAlignment="1">
      <alignment horizontal="right" wrapText="1"/>
    </xf>
    <xf numFmtId="0" fontId="48" fillId="5" borderId="9" xfId="0" applyFont="1" applyFill="1" applyBorder="1" applyAlignment="1">
      <alignment horizontal="left" vertical="center"/>
    </xf>
    <xf numFmtId="168" fontId="48" fillId="5" borderId="9" xfId="9" applyNumberFormat="1" applyFont="1" applyFill="1" applyBorder="1" applyAlignment="1" applyProtection="1">
      <alignment vertical="center"/>
    </xf>
    <xf numFmtId="4" fontId="0" fillId="0" borderId="0" xfId="0" applyNumberFormat="1"/>
    <xf numFmtId="0" fontId="29" fillId="0" borderId="0" xfId="11" applyFont="1"/>
    <xf numFmtId="0" fontId="12" fillId="0" borderId="0" xfId="26"/>
    <xf numFmtId="168" fontId="16" fillId="0" borderId="0" xfId="9" applyNumberFormat="1" applyFont="1"/>
    <xf numFmtId="0" fontId="50" fillId="0" borderId="0" xfId="11" applyFont="1"/>
    <xf numFmtId="0" fontId="51" fillId="0" borderId="0" xfId="11" applyFont="1"/>
    <xf numFmtId="168" fontId="0" fillId="0" borderId="0" xfId="27" applyNumberFormat="1" applyFont="1" applyFill="1"/>
    <xf numFmtId="0" fontId="52" fillId="0" borderId="0" xfId="0" applyFont="1"/>
    <xf numFmtId="0" fontId="44" fillId="0" borderId="0" xfId="20" applyFont="1" applyAlignment="1">
      <alignment horizontal="center" wrapText="1"/>
    </xf>
    <xf numFmtId="0" fontId="21" fillId="0" borderId="0" xfId="0" quotePrefix="1" applyFont="1"/>
    <xf numFmtId="0" fontId="53" fillId="0" borderId="0" xfId="0" applyFont="1"/>
    <xf numFmtId="0" fontId="54" fillId="0" borderId="0" xfId="0" applyFont="1" applyAlignment="1">
      <alignment horizontal="left" vertical="center" indent="1"/>
    </xf>
    <xf numFmtId="0" fontId="53" fillId="0" borderId="0" xfId="0" applyFont="1" applyAlignment="1">
      <alignment horizontal="left" indent="1"/>
    </xf>
    <xf numFmtId="0" fontId="53" fillId="5" borderId="0" xfId="0" applyFont="1" applyFill="1" applyAlignment="1">
      <alignment horizontal="left" indent="1"/>
    </xf>
    <xf numFmtId="17" fontId="19" fillId="0" borderId="0" xfId="0" applyNumberFormat="1" applyFont="1" applyAlignment="1">
      <alignment horizontal="right"/>
    </xf>
    <xf numFmtId="165" fontId="55" fillId="0" borderId="0" xfId="0" applyNumberFormat="1" applyFont="1"/>
    <xf numFmtId="0" fontId="55" fillId="0" borderId="0" xfId="0" applyFont="1"/>
    <xf numFmtId="164" fontId="55" fillId="0" borderId="0" xfId="0" applyNumberFormat="1" applyFont="1"/>
    <xf numFmtId="170" fontId="55" fillId="0" borderId="0" xfId="0" applyNumberFormat="1" applyFont="1"/>
    <xf numFmtId="166" fontId="31" fillId="5" borderId="5" xfId="0" applyNumberFormat="1" applyFont="1" applyFill="1" applyBorder="1" applyAlignment="1">
      <alignment horizontal="left" vertical="center"/>
    </xf>
    <xf numFmtId="164" fontId="30" fillId="0" borderId="0" xfId="0" applyNumberFormat="1" applyFont="1" applyAlignment="1">
      <alignment horizontal="left"/>
    </xf>
    <xf numFmtId="0" fontId="32" fillId="0" borderId="0" xfId="0" applyFont="1"/>
    <xf numFmtId="3" fontId="30" fillId="5" borderId="1" xfId="0" applyNumberFormat="1" applyFont="1" applyFill="1" applyBorder="1" applyAlignment="1">
      <alignment horizontal="left" vertical="center"/>
    </xf>
    <xf numFmtId="164" fontId="31" fillId="5" borderId="0" xfId="0" applyNumberFormat="1" applyFont="1" applyFill="1" applyAlignment="1">
      <alignment horizontal="left" vertical="center"/>
    </xf>
    <xf numFmtId="164" fontId="31" fillId="5" borderId="3" xfId="0" applyNumberFormat="1" applyFont="1" applyFill="1" applyBorder="1" applyAlignment="1">
      <alignment horizontal="left" vertical="center"/>
    </xf>
    <xf numFmtId="3" fontId="31" fillId="0" borderId="0" xfId="0" applyNumberFormat="1" applyFont="1" applyAlignment="1">
      <alignment horizontal="centerContinuous"/>
    </xf>
    <xf numFmtId="3" fontId="31" fillId="0" borderId="0" xfId="0" applyNumberFormat="1" applyFont="1"/>
    <xf numFmtId="0" fontId="30" fillId="5" borderId="4" xfId="0" applyFont="1" applyFill="1" applyBorder="1" applyAlignment="1">
      <alignment horizontal="right" vertical="center"/>
    </xf>
    <xf numFmtId="4" fontId="31" fillId="5" borderId="0" xfId="0" applyNumberFormat="1" applyFont="1" applyFill="1" applyAlignment="1">
      <alignment horizontal="right" vertical="center"/>
    </xf>
    <xf numFmtId="2" fontId="31" fillId="5" borderId="3" xfId="0" applyNumberFormat="1" applyFont="1" applyFill="1" applyBorder="1" applyAlignment="1">
      <alignment horizontal="right" vertical="center"/>
    </xf>
    <xf numFmtId="0" fontId="14" fillId="0" borderId="0" xfId="0" applyFont="1"/>
    <xf numFmtId="0" fontId="20" fillId="0" borderId="0" xfId="0" applyFont="1" applyAlignment="1">
      <alignment horizontal="right" vertical="center"/>
    </xf>
    <xf numFmtId="0" fontId="57" fillId="0" borderId="0" xfId="0" applyFont="1" applyAlignment="1">
      <alignment horizontal="right"/>
    </xf>
    <xf numFmtId="0" fontId="58" fillId="5" borderId="0" xfId="0" applyFont="1" applyFill="1" applyAlignment="1">
      <alignment horizontal="right" vertical="center"/>
    </xf>
    <xf numFmtId="0" fontId="30" fillId="5" borderId="0" xfId="33" applyFont="1" applyFill="1" applyBorder="1" applyAlignment="1" applyProtection="1">
      <alignment horizontal="left"/>
    </xf>
    <xf numFmtId="164" fontId="20" fillId="0" borderId="0" xfId="0" applyNumberFormat="1" applyFont="1" applyAlignment="1">
      <alignment horizontal="left"/>
    </xf>
    <xf numFmtId="0" fontId="58" fillId="5" borderId="0" xfId="0" applyFont="1" applyFill="1" applyAlignment="1">
      <alignment horizontal="right" vertical="top"/>
    </xf>
    <xf numFmtId="0" fontId="20" fillId="5" borderId="0" xfId="33" applyFont="1" applyFill="1" applyBorder="1" applyAlignment="1" applyProtection="1">
      <alignment horizontal="left"/>
    </xf>
    <xf numFmtId="0" fontId="31" fillId="0" borderId="0" xfId="0" applyFont="1"/>
    <xf numFmtId="3" fontId="20" fillId="0" borderId="0" xfId="0" applyNumberFormat="1" applyFont="1" applyAlignment="1">
      <alignment horizontal="left"/>
    </xf>
    <xf numFmtId="2" fontId="31" fillId="5" borderId="5" xfId="0" applyNumberFormat="1" applyFont="1" applyFill="1" applyBorder="1" applyAlignment="1">
      <alignment horizontal="right" vertical="center"/>
    </xf>
    <xf numFmtId="2" fontId="31" fillId="5" borderId="0" xfId="0" applyNumberFormat="1" applyFont="1" applyFill="1" applyAlignment="1">
      <alignment horizontal="right" vertical="center"/>
    </xf>
    <xf numFmtId="0" fontId="30" fillId="4" borderId="0" xfId="31" applyFont="1" applyFill="1"/>
    <xf numFmtId="0" fontId="31" fillId="5" borderId="0" xfId="0" applyFont="1" applyFill="1"/>
    <xf numFmtId="0" fontId="31" fillId="5" borderId="5" xfId="0" applyFont="1" applyFill="1" applyBorder="1"/>
    <xf numFmtId="4" fontId="31" fillId="5" borderId="5" xfId="0" applyNumberFormat="1" applyFont="1" applyFill="1" applyBorder="1" applyAlignment="1">
      <alignment horizontal="right" vertical="center"/>
    </xf>
    <xf numFmtId="171" fontId="27" fillId="2" borderId="2" xfId="42">
      <alignment horizontal="right" vertical="center"/>
    </xf>
    <xf numFmtId="11" fontId="0" fillId="0" borderId="0" xfId="0" applyNumberFormat="1"/>
    <xf numFmtId="0" fontId="63" fillId="3" borderId="2" xfId="35" applyFont="1" applyAlignment="1">
      <alignment vertical="center"/>
    </xf>
    <xf numFmtId="0" fontId="64" fillId="0" borderId="0" xfId="0" applyFont="1"/>
    <xf numFmtId="0" fontId="47" fillId="4" borderId="0" xfId="31" applyFont="1" applyFill="1"/>
    <xf numFmtId="0" fontId="65" fillId="0" borderId="0" xfId="0" applyFont="1"/>
    <xf numFmtId="0" fontId="66" fillId="15" borderId="0" xfId="0" applyFont="1" applyFill="1"/>
    <xf numFmtId="0" fontId="19" fillId="0" borderId="0" xfId="32" applyFont="1" applyAlignment="1">
      <alignment horizontal="left"/>
    </xf>
    <xf numFmtId="0" fontId="67" fillId="0" borderId="0" xfId="0" applyFont="1"/>
    <xf numFmtId="166" fontId="68" fillId="14" borderId="0" xfId="0" applyNumberFormat="1" applyFont="1" applyFill="1"/>
    <xf numFmtId="164" fontId="31" fillId="5" borderId="3" xfId="0" applyNumberFormat="1" applyFont="1" applyFill="1" applyBorder="1" applyAlignment="1">
      <alignment horizontal="right" vertical="center"/>
    </xf>
    <xf numFmtId="4" fontId="31" fillId="5" borderId="0" xfId="0" applyNumberFormat="1" applyFont="1" applyFill="1" applyAlignment="1">
      <alignment horizontal="left" vertical="center"/>
    </xf>
    <xf numFmtId="0" fontId="28" fillId="3" borderId="2" xfId="46" applyAlignment="1">
      <alignment vertical="center"/>
    </xf>
    <xf numFmtId="0" fontId="30" fillId="0" borderId="0" xfId="31" applyFont="1"/>
    <xf numFmtId="0" fontId="31" fillId="0" borderId="0" xfId="31" applyFont="1"/>
    <xf numFmtId="0" fontId="31" fillId="5" borderId="16" xfId="31" applyFont="1" applyFill="1" applyBorder="1"/>
    <xf numFmtId="0" fontId="31" fillId="5" borderId="17" xfId="31" applyFont="1" applyFill="1" applyBorder="1"/>
    <xf numFmtId="0" fontId="31" fillId="5" borderId="0" xfId="31" applyFont="1" applyFill="1"/>
    <xf numFmtId="166" fontId="31" fillId="5" borderId="0" xfId="31" applyNumberFormat="1" applyFont="1" applyFill="1"/>
    <xf numFmtId="0" fontId="31" fillId="5" borderId="18" xfId="31" applyFont="1" applyFill="1" applyBorder="1"/>
    <xf numFmtId="0" fontId="31" fillId="5" borderId="18" xfId="31" applyFont="1" applyFill="1" applyBorder="1" applyAlignment="1">
      <alignment horizontal="right" wrapText="1"/>
    </xf>
    <xf numFmtId="2" fontId="31" fillId="5" borderId="0" xfId="31" applyNumberFormat="1" applyFont="1" applyFill="1"/>
    <xf numFmtId="2" fontId="31" fillId="5" borderId="17" xfId="31" applyNumberFormat="1" applyFont="1" applyFill="1" applyBorder="1"/>
    <xf numFmtId="0" fontId="31" fillId="5" borderId="16" xfId="31" applyFont="1" applyFill="1" applyBorder="1" applyAlignment="1">
      <alignment wrapText="1"/>
    </xf>
    <xf numFmtId="0" fontId="31" fillId="5" borderId="16" xfId="31" applyFont="1" applyFill="1" applyBorder="1" applyAlignment="1">
      <alignment horizontal="right" wrapText="1"/>
    </xf>
    <xf numFmtId="0" fontId="31" fillId="5" borderId="0" xfId="31" applyFont="1" applyFill="1" applyAlignment="1">
      <alignment wrapText="1"/>
    </xf>
    <xf numFmtId="0" fontId="31" fillId="5" borderId="0" xfId="31" applyFont="1" applyFill="1" applyAlignment="1">
      <alignment horizontal="right" wrapText="1"/>
    </xf>
    <xf numFmtId="0" fontId="31" fillId="5" borderId="17" xfId="31" applyFont="1" applyFill="1" applyBorder="1" applyAlignment="1">
      <alignment horizontal="right" wrapText="1"/>
    </xf>
    <xf numFmtId="17" fontId="31" fillId="5" borderId="0" xfId="31" applyNumberFormat="1" applyFont="1" applyFill="1" applyAlignment="1">
      <alignment horizontal="left"/>
    </xf>
    <xf numFmtId="17" fontId="31" fillId="5" borderId="19" xfId="31" applyNumberFormat="1" applyFont="1" applyFill="1" applyBorder="1" applyAlignment="1">
      <alignment horizontal="left"/>
    </xf>
    <xf numFmtId="166" fontId="31" fillId="5" borderId="19" xfId="31" applyNumberFormat="1" applyFont="1" applyFill="1" applyBorder="1"/>
    <xf numFmtId="2" fontId="31" fillId="5" borderId="19" xfId="31" applyNumberFormat="1" applyFont="1" applyFill="1" applyBorder="1"/>
    <xf numFmtId="0" fontId="28" fillId="3" borderId="12" xfId="61" applyAlignment="1">
      <alignment vertical="center"/>
    </xf>
    <xf numFmtId="0" fontId="27" fillId="2" borderId="2" xfId="58" quotePrefix="1" applyAlignment="1">
      <alignment horizontal="left" vertical="center"/>
    </xf>
    <xf numFmtId="164" fontId="27" fillId="2" borderId="2" xfId="59">
      <alignment horizontal="right" vertical="center"/>
    </xf>
    <xf numFmtId="3" fontId="27" fillId="2" borderId="2" xfId="52">
      <alignment horizontal="right" vertical="center"/>
    </xf>
    <xf numFmtId="0" fontId="69" fillId="0" borderId="0" xfId="0" applyFont="1"/>
    <xf numFmtId="0" fontId="70" fillId="0" borderId="0" xfId="63" applyFill="1" applyBorder="1" applyProtection="1"/>
    <xf numFmtId="0" fontId="20" fillId="5" borderId="9" xfId="0" applyFont="1" applyFill="1" applyBorder="1" applyAlignment="1">
      <alignment horizontal="left" vertical="center" indent="1"/>
    </xf>
    <xf numFmtId="0" fontId="14" fillId="0" borderId="0" xfId="0" applyFont="1" applyAlignment="1">
      <alignment wrapText="1"/>
    </xf>
    <xf numFmtId="4" fontId="31" fillId="5" borderId="3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top"/>
    </xf>
    <xf numFmtId="0" fontId="74" fillId="5" borderId="0" xfId="20" applyFont="1" applyFill="1"/>
    <xf numFmtId="164" fontId="74" fillId="5" borderId="0" xfId="20" applyNumberFormat="1" applyFont="1" applyFill="1"/>
    <xf numFmtId="164" fontId="46" fillId="5" borderId="0" xfId="20" applyNumberFormat="1" applyFont="1" applyFill="1"/>
    <xf numFmtId="164" fontId="46" fillId="5" borderId="0" xfId="20" applyNumberFormat="1" applyFont="1" applyFill="1" applyAlignment="1">
      <alignment horizontal="right"/>
    </xf>
    <xf numFmtId="164" fontId="47" fillId="5" borderId="9" xfId="20" applyNumberFormat="1" applyFont="1" applyFill="1" applyBorder="1"/>
    <xf numFmtId="168" fontId="0" fillId="0" borderId="0" xfId="9" applyNumberFormat="1" applyFont="1"/>
    <xf numFmtId="17" fontId="31" fillId="5" borderId="0" xfId="31" applyNumberFormat="1" applyFont="1" applyFill="1"/>
    <xf numFmtId="17" fontId="31" fillId="5" borderId="17" xfId="31" applyNumberFormat="1" applyFont="1" applyFill="1" applyBorder="1"/>
    <xf numFmtId="4" fontId="30" fillId="5" borderId="0" xfId="0" applyNumberFormat="1" applyFont="1" applyFill="1" applyAlignment="1">
      <alignment horizontal="left" vertical="center"/>
    </xf>
    <xf numFmtId="3" fontId="20" fillId="5" borderId="21" xfId="0" applyNumberFormat="1" applyFont="1" applyFill="1" applyBorder="1" applyAlignment="1">
      <alignment horizontal="left" vertical="center"/>
    </xf>
    <xf numFmtId="0" fontId="30" fillId="5" borderId="4" xfId="0" applyFont="1" applyFill="1" applyBorder="1" applyAlignment="1">
      <alignment horizontal="center" vertical="center"/>
    </xf>
    <xf numFmtId="0" fontId="28" fillId="3" borderId="2" xfId="56" applyAlignment="1">
      <alignment horizontal="center"/>
    </xf>
    <xf numFmtId="0" fontId="0" fillId="0" borderId="7" xfId="0" applyBorder="1"/>
    <xf numFmtId="0" fontId="28" fillId="3" borderId="2" xfId="56" quotePrefix="1" applyAlignment="1">
      <alignment horizontal="center"/>
    </xf>
    <xf numFmtId="9" fontId="0" fillId="0" borderId="0" xfId="9" applyFont="1"/>
    <xf numFmtId="3" fontId="0" fillId="0" borderId="0" xfId="0" applyNumberFormat="1"/>
    <xf numFmtId="0" fontId="28" fillId="3" borderId="2" xfId="56" quotePrefix="1">
      <alignment horizontal="center" wrapText="1"/>
    </xf>
    <xf numFmtId="0" fontId="31" fillId="5" borderId="0" xfId="0" applyFont="1" applyFill="1" applyAlignment="1">
      <alignment horizontal="center" vertical="center"/>
    </xf>
    <xf numFmtId="173" fontId="0" fillId="0" borderId="0" xfId="68" applyNumberFormat="1" applyFont="1"/>
    <xf numFmtId="0" fontId="28" fillId="3" borderId="7" xfId="56" quotePrefix="1" applyBorder="1" applyAlignment="1">
      <alignment horizontal="right"/>
    </xf>
    <xf numFmtId="0" fontId="32" fillId="5" borderId="22" xfId="0" applyFont="1" applyFill="1" applyBorder="1"/>
    <xf numFmtId="0" fontId="75" fillId="0" borderId="0" xfId="0" applyFont="1"/>
    <xf numFmtId="168" fontId="75" fillId="0" borderId="0" xfId="9" applyNumberFormat="1" applyFont="1"/>
    <xf numFmtId="10" fontId="75" fillId="0" borderId="0" xfId="9" applyNumberFormat="1" applyFont="1"/>
    <xf numFmtId="166" fontId="75" fillId="0" borderId="0" xfId="0" applyNumberFormat="1" applyFont="1"/>
    <xf numFmtId="0" fontId="28" fillId="3" borderId="2" xfId="56" quotePrefix="1" applyAlignment="1"/>
    <xf numFmtId="0" fontId="28" fillId="3" borderId="7" xfId="56" quotePrefix="1" applyBorder="1" applyAlignment="1"/>
    <xf numFmtId="4" fontId="76" fillId="0" borderId="0" xfId="0" applyNumberFormat="1" applyFont="1"/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7" fillId="5" borderId="4" xfId="0" applyFont="1" applyFill="1" applyBorder="1" applyAlignment="1">
      <alignment horizontal="center" vertical="center"/>
    </xf>
    <xf numFmtId="2" fontId="76" fillId="0" borderId="0" xfId="0" applyNumberFormat="1" applyFont="1"/>
    <xf numFmtId="171" fontId="0" fillId="0" borderId="0" xfId="0" applyNumberFormat="1" applyAlignment="1">
      <alignment horizontal="left" vertical="center"/>
    </xf>
    <xf numFmtId="171" fontId="0" fillId="0" borderId="0" xfId="0" applyNumberFormat="1"/>
    <xf numFmtId="164" fontId="0" fillId="0" borderId="0" xfId="0" applyNumberFormat="1"/>
    <xf numFmtId="0" fontId="31" fillId="5" borderId="18" xfId="31" applyFont="1" applyFill="1" applyBorder="1" applyAlignment="1">
      <alignment horizontal="center" vertical="center" wrapText="1"/>
    </xf>
    <xf numFmtId="168" fontId="0" fillId="0" borderId="0" xfId="68" applyNumberFormat="1" applyFont="1"/>
    <xf numFmtId="2" fontId="0" fillId="0" borderId="0" xfId="0" applyNumberFormat="1"/>
    <xf numFmtId="168" fontId="0" fillId="0" borderId="0" xfId="0" applyNumberFormat="1"/>
    <xf numFmtId="4" fontId="27" fillId="16" borderId="2" xfId="75" applyNumberFormat="1" applyFont="1" applyFill="1" applyBorder="1" applyAlignment="1">
      <alignment horizontal="right" vertical="center" wrapText="1"/>
    </xf>
    <xf numFmtId="4" fontId="27" fillId="16" borderId="15" xfId="75" applyNumberFormat="1" applyFont="1" applyFill="1" applyBorder="1" applyAlignment="1">
      <alignment horizontal="right" vertical="center" wrapText="1"/>
    </xf>
    <xf numFmtId="174" fontId="0" fillId="0" borderId="0" xfId="9" applyNumberFormat="1" applyFont="1"/>
    <xf numFmtId="0" fontId="28" fillId="3" borderId="2" xfId="56" quotePrefix="1" applyAlignment="1">
      <alignment horizontal="right"/>
    </xf>
    <xf numFmtId="0" fontId="19" fillId="0" borderId="0" xfId="32" applyFont="1" applyAlignment="1">
      <alignment horizontal="right"/>
    </xf>
    <xf numFmtId="164" fontId="30" fillId="0" borderId="0" xfId="0" applyNumberFormat="1" applyFont="1"/>
    <xf numFmtId="4" fontId="27" fillId="16" borderId="15" xfId="77" applyNumberFormat="1" applyFont="1" applyFill="1" applyBorder="1" applyAlignment="1">
      <alignment horizontal="right" vertical="center" wrapText="1"/>
    </xf>
    <xf numFmtId="171" fontId="69" fillId="0" borderId="0" xfId="0" applyNumberFormat="1" applyFont="1"/>
    <xf numFmtId="168" fontId="69" fillId="0" borderId="0" xfId="9" applyNumberFormat="1" applyFont="1"/>
    <xf numFmtId="0" fontId="0" fillId="0" borderId="15" xfId="0" applyBorder="1" applyAlignment="1">
      <alignment horizontal="left" vertical="center"/>
    </xf>
    <xf numFmtId="4" fontId="27" fillId="2" borderId="2" xfId="79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78" fillId="0" borderId="0" xfId="0" applyFont="1"/>
    <xf numFmtId="170" fontId="0" fillId="0" borderId="0" xfId="0" applyNumberFormat="1"/>
    <xf numFmtId="166" fontId="67" fillId="0" borderId="0" xfId="0" applyNumberFormat="1" applyFont="1"/>
    <xf numFmtId="168" fontId="30" fillId="0" borderId="0" xfId="9" applyNumberFormat="1" applyFont="1" applyFill="1" applyBorder="1" applyAlignment="1" applyProtection="1">
      <alignment horizontal="left"/>
    </xf>
    <xf numFmtId="0" fontId="31" fillId="5" borderId="0" xfId="0" applyFont="1" applyFill="1" applyAlignment="1">
      <alignment horizontal="center"/>
    </xf>
    <xf numFmtId="0" fontId="31" fillId="5" borderId="5" xfId="0" applyFont="1" applyFill="1" applyBorder="1" applyAlignment="1">
      <alignment horizontal="center"/>
    </xf>
    <xf numFmtId="0" fontId="0" fillId="14" borderId="0" xfId="0" applyFill="1"/>
    <xf numFmtId="164" fontId="27" fillId="17" borderId="2" xfId="59" applyFill="1">
      <alignment horizontal="right" vertical="center"/>
    </xf>
    <xf numFmtId="164" fontId="75" fillId="0" borderId="0" xfId="0" applyNumberFormat="1" applyFont="1"/>
    <xf numFmtId="4" fontId="27" fillId="16" borderId="2" xfId="77" applyNumberFormat="1" applyFont="1" applyFill="1" applyBorder="1" applyAlignment="1">
      <alignment horizontal="right" vertical="center" wrapText="1"/>
    </xf>
    <xf numFmtId="0" fontId="80" fillId="0" borderId="0" xfId="0" applyFont="1"/>
    <xf numFmtId="3" fontId="81" fillId="2" borderId="2" xfId="52" applyFont="1">
      <alignment horizontal="right" vertical="center"/>
    </xf>
    <xf numFmtId="175" fontId="62" fillId="12" borderId="5" xfId="0" applyNumberFormat="1" applyFont="1" applyFill="1" applyBorder="1" applyAlignment="1">
      <alignment horizontal="right" vertical="center"/>
    </xf>
    <xf numFmtId="0" fontId="27" fillId="2" borderId="2" xfId="51" quotePrefix="1" applyAlignment="1">
      <alignment horizontal="left" vertical="center"/>
    </xf>
    <xf numFmtId="0" fontId="28" fillId="3" borderId="2" xfId="36" quotePrefix="1">
      <alignment horizontal="center"/>
    </xf>
    <xf numFmtId="0" fontId="28" fillId="3" borderId="2" xfId="36">
      <alignment horizontal="center"/>
    </xf>
    <xf numFmtId="4" fontId="49" fillId="7" borderId="2" xfId="72">
      <alignment horizontal="right" vertical="center"/>
    </xf>
    <xf numFmtId="0" fontId="28" fillId="3" borderId="2" xfId="57" quotePrefix="1" applyAlignment="1">
      <alignment horizontal="center"/>
    </xf>
    <xf numFmtId="0" fontId="28" fillId="3" borderId="2" xfId="57" applyAlignment="1">
      <alignment horizontal="center"/>
    </xf>
    <xf numFmtId="4" fontId="27" fillId="10" borderId="2" xfId="38">
      <alignment horizontal="right" vertical="center"/>
    </xf>
    <xf numFmtId="4" fontId="27" fillId="13" borderId="2" xfId="69">
      <alignment horizontal="right" vertical="center"/>
    </xf>
    <xf numFmtId="4" fontId="49" fillId="11" borderId="2" xfId="40">
      <alignment horizontal="right" vertical="center"/>
    </xf>
    <xf numFmtId="4" fontId="49" fillId="0" borderId="2" xfId="72" applyFill="1">
      <alignment horizontal="right" vertical="center"/>
    </xf>
    <xf numFmtId="4" fontId="27" fillId="2" borderId="20" xfId="79" applyBorder="1">
      <alignment horizontal="right" vertical="center"/>
    </xf>
    <xf numFmtId="4" fontId="27" fillId="18" borderId="2" xfId="79" applyFill="1">
      <alignment horizontal="right" vertical="center"/>
    </xf>
    <xf numFmtId="49" fontId="0" fillId="0" borderId="0" xfId="0" applyNumberFormat="1"/>
    <xf numFmtId="170" fontId="27" fillId="2" borderId="2" xfId="91">
      <alignment horizontal="right" vertical="center"/>
    </xf>
    <xf numFmtId="0" fontId="49" fillId="7" borderId="2" xfId="60" quotePrefix="1">
      <alignment horizontal="left" vertical="center"/>
    </xf>
    <xf numFmtId="171" fontId="49" fillId="7" borderId="2" xfId="43">
      <alignment horizontal="right" vertical="center"/>
    </xf>
    <xf numFmtId="164" fontId="49" fillId="7" borderId="2" xfId="62">
      <alignment horizontal="right" vertical="center"/>
    </xf>
    <xf numFmtId="164" fontId="27" fillId="0" borderId="2" xfId="59" applyFill="1">
      <alignment horizontal="right" vertical="center"/>
    </xf>
    <xf numFmtId="0" fontId="27" fillId="2" borderId="13" xfId="51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7" fillId="2" borderId="14" xfId="51" quotePrefix="1" applyBorder="1" applyAlignment="1">
      <alignment horizontal="left" vertical="center"/>
    </xf>
    <xf numFmtId="0" fontId="28" fillId="3" borderId="2" xfId="56" quotePrefix="1" applyAlignment="1">
      <alignment horizontal="center"/>
    </xf>
    <xf numFmtId="0" fontId="0" fillId="0" borderId="7" xfId="0" applyBorder="1" applyAlignment="1">
      <alignment horizontal="center"/>
    </xf>
    <xf numFmtId="169" fontId="27" fillId="2" borderId="14" xfId="85" quotePrefix="1" applyBorder="1" applyAlignment="1">
      <alignment horizontal="left" vertical="center"/>
    </xf>
    <xf numFmtId="169" fontId="27" fillId="2" borderId="13" xfId="85" quotePrefix="1" applyBorder="1" applyAlignment="1">
      <alignment horizontal="left" vertical="center"/>
    </xf>
    <xf numFmtId="0" fontId="28" fillId="3" borderId="24" xfId="56" quotePrefix="1" applyBorder="1" applyAlignment="1">
      <alignment horizontal="center"/>
    </xf>
    <xf numFmtId="0" fontId="0" fillId="0" borderId="25" xfId="0" applyBorder="1" applyAlignment="1">
      <alignment horizontal="center"/>
    </xf>
    <xf numFmtId="0" fontId="28" fillId="3" borderId="11" xfId="56" applyBorder="1" applyAlignment="1">
      <alignment horizontal="center"/>
    </xf>
    <xf numFmtId="0" fontId="0" fillId="0" borderId="10" xfId="0" applyBorder="1" applyAlignment="1">
      <alignment horizontal="center"/>
    </xf>
    <xf numFmtId="3" fontId="30" fillId="5" borderId="6" xfId="0" applyNumberFormat="1" applyFont="1" applyFill="1" applyBorder="1" applyAlignment="1">
      <alignment horizontal="right" wrapText="1"/>
    </xf>
    <xf numFmtId="3" fontId="30" fillId="5" borderId="5" xfId="0" applyNumberFormat="1" applyFont="1" applyFill="1" applyBorder="1" applyAlignment="1">
      <alignment horizontal="right" wrapText="1"/>
    </xf>
    <xf numFmtId="0" fontId="28" fillId="3" borderId="26" xfId="56" quotePrefix="1" applyBorder="1" applyAlignment="1">
      <alignment horizontal="center"/>
    </xf>
    <xf numFmtId="0" fontId="0" fillId="0" borderId="27" xfId="0" applyBorder="1" applyAlignment="1">
      <alignment horizontal="center"/>
    </xf>
    <xf numFmtId="3" fontId="30" fillId="5" borderId="6" xfId="0" applyNumberFormat="1" applyFont="1" applyFill="1" applyBorder="1" applyAlignment="1">
      <alignment horizontal="center" vertical="center" wrapText="1"/>
    </xf>
    <xf numFmtId="3" fontId="30" fillId="5" borderId="5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28" fillId="3" borderId="11" xfId="56" quotePrefix="1" applyBorder="1" applyAlignment="1">
      <alignment horizontal="center"/>
    </xf>
    <xf numFmtId="164" fontId="30" fillId="0" borderId="0" xfId="0" applyNumberFormat="1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9" fillId="0" borderId="0" xfId="8" applyFont="1" applyAlignment="1">
      <alignment horizontal="right"/>
    </xf>
    <xf numFmtId="0" fontId="19" fillId="0" borderId="0" xfId="0" applyFont="1" applyAlignment="1">
      <alignment horizontal="right"/>
    </xf>
    <xf numFmtId="0" fontId="18" fillId="0" borderId="0" xfId="0" applyFont="1" applyAlignment="1">
      <alignment horizontal="left" vertical="top" wrapText="1"/>
    </xf>
    <xf numFmtId="0" fontId="31" fillId="5" borderId="16" xfId="31" applyFont="1" applyFill="1" applyBorder="1" applyAlignment="1">
      <alignment horizontal="center"/>
    </xf>
  </cellXfs>
  <cellStyles count="92">
    <cellStyle name="Euro" xfId="1" xr:uid="{00000000-0005-0000-0000-000000000000}"/>
    <cellStyle name="FUTURA9" xfId="2" xr:uid="{00000000-0005-0000-0000-000001000000}"/>
    <cellStyle name="Hipervínculo" xfId="63" builtinId="8"/>
    <cellStyle name="Hipervínculo 2" xfId="33" xr:uid="{00000000-0005-0000-0000-000002000000}"/>
    <cellStyle name="Millares" xfId="68" builtinId="3"/>
    <cellStyle name="MSTRStyle.All.c11_0c75425b-e4a8-4ede-ad3a-b7e420107163" xfId="28" xr:uid="{00000000-0005-0000-0000-000003000000}"/>
    <cellStyle name="MSTRStyle.All.c12_73f9af77-3b67-4e30-857e-a07fd4a2b3f5" xfId="24" xr:uid="{00000000-0005-0000-0000-000004000000}"/>
    <cellStyle name="MSTRStyle.All.c13_6b657269-c2f6-4112-b642-63cbe2217ce6" xfId="22" xr:uid="{00000000-0005-0000-0000-000005000000}"/>
    <cellStyle name="MSTRStyle.All.c14_299390cd-d429-49fc-85b2-53213256ee02" xfId="3" xr:uid="{00000000-0005-0000-0000-000006000000}"/>
    <cellStyle name="MSTRStyle.All.c15_2f4368de-db71-4a43-a39a-b7b0e4791d74" xfId="25" xr:uid="{00000000-0005-0000-0000-000007000000}"/>
    <cellStyle name="MSTRStyle.All.c2_1198c2cb-65a7-418f-8b21-ef92ba6b70e4" xfId="18" xr:uid="{00000000-0005-0000-0000-000008000000}"/>
    <cellStyle name="MSTRStyle.All.c20_6bd5dc4a-d28f-4b91-a6b3-a27c7bfb9777" xfId="30" xr:uid="{00000000-0005-0000-0000-000009000000}"/>
    <cellStyle name="MSTRStyle.All.c3_9f27800b-f169-4bc7-8559-5d9aa778b6fd" xfId="21" xr:uid="{00000000-0005-0000-0000-00000A000000}"/>
    <cellStyle name="MSTRStyle.All.c6_52bbba20-dd49-44ca-889f-10924ebd6a5c" xfId="29" xr:uid="{00000000-0005-0000-0000-00000B000000}"/>
    <cellStyle name="MSTRStyle.All.c7_67d71c51-d7a9-4ecd-a2d7-840811351f10" xfId="19" xr:uid="{00000000-0005-0000-0000-00000C000000}"/>
    <cellStyle name="MSTRStyle.Todos.c1_02adf14b-ae18-4a2f-b54d-f16150c8c57b" xfId="89" xr:uid="{13F00A3C-8D79-4E91-8321-EB1C4BD4E4EA}"/>
    <cellStyle name="MSTRStyle.Todos.c10_9bc36f20-d62c-4100-864b-2ce3176c08a6" xfId="81" xr:uid="{261B1AE8-29B9-4A71-AA9D-0BA725F68BE1}"/>
    <cellStyle name="MSTRStyle.Todos.c10_de9580a1-3d58-45d3-983d-0121107db173" xfId="56" xr:uid="{61836922-CCE8-44D1-990A-53D4B3E60064}"/>
    <cellStyle name="MSTRStyle.Todos.c11_9aeed9a0-1dcd-4458-8a5a-e22ad423d2a7" xfId="57" xr:uid="{AD04831E-8F0D-44DA-A82B-4C5A049C56B7}"/>
    <cellStyle name="MSTRStyle.Todos.c12_04393f74-caef-4779-a1bc-97cad4e1637e" xfId="42" xr:uid="{00000000-0005-0000-0000-00000E000000}"/>
    <cellStyle name="MSTRStyle.Todos.c13_1f45c18f-f49f-4755-908b-10e38c2e3163" xfId="74" xr:uid="{FCA4B10E-EE33-4397-B99A-F7ACDA67DE9E}"/>
    <cellStyle name="MSTRStyle.Todos.c13_87d7be99-df52-4067-a8d4-177d9bcab94b" xfId="79" xr:uid="{64089B7B-23AC-438D-B3C4-ACDBAA48B765}"/>
    <cellStyle name="MSTRStyle.Todos.c13_d92a60c7-3384-450c-8b0a-9fbe5fb5c7c3" xfId="59" xr:uid="{B6CFFEE3-2AF7-4ACD-B09C-05F462785A20}"/>
    <cellStyle name="MSTRStyle.Todos.c14_0e2f48f7-818c-481b-bed1-c7b256053871" xfId="90" xr:uid="{3F97FFD8-70EF-4F0B-8383-391066C2E238}"/>
    <cellStyle name="MSTRStyle.Todos.c14_b8d3d029-c173-4fcf-ae43-19c2dd645511" xfId="61" xr:uid="{ECA070B7-8A4D-48C9-9D41-34175596A91A}"/>
    <cellStyle name="MSTRStyle.Todos.c15_1869017a-483c-40ce-aa41-b6f875413ed5" xfId="41" xr:uid="{00000000-0005-0000-0000-000013000000}"/>
    <cellStyle name="MSTRStyle.Todos.c16_0aca6bba-6dd1-43cf-8f70-abc091d0aeea" xfId="43" xr:uid="{00000000-0005-0000-0000-000014000000}"/>
    <cellStyle name="MSTRStyle.Todos.c16_7aab6c13-c15e-4cc7-a790-8b1d94ffe91d" xfId="36" xr:uid="{00000000-0005-0000-0000-000015000000}"/>
    <cellStyle name="MSTRStyle.Todos.c17_1a192d30-97a0-4989-9b60-36f9de4cdbd3" xfId="39" xr:uid="{00000000-0005-0000-0000-000017000000}"/>
    <cellStyle name="MSTRStyle.Todos.c18_f36069f7-de38-438b-b3cd-3bacd5cdcd0c" xfId="72" xr:uid="{A0A1DEDF-AF84-431B-A689-3E47D430E622}"/>
    <cellStyle name="MSTRStyle.Todos.c19_7343edcc-569a-472c-8862-ad65001299f7" xfId="38" xr:uid="{00000000-0005-0000-0000-000019000000}"/>
    <cellStyle name="MSTRStyle.Todos.c2_1770ca99-95a1-4c32-8caa-a84928ae86dc" xfId="50" xr:uid="{00000000-0005-0000-0000-00001B000000}"/>
    <cellStyle name="MSTRStyle.Todos.c20_de1d9886-14e4-479c-a87c-a544df53b72f" xfId="49" xr:uid="{00000000-0005-0000-0000-00001C000000}"/>
    <cellStyle name="MSTRStyle.Todos.c21_1034e7df-20b4-4851-ba48-f23813b54d16" xfId="37" xr:uid="{00000000-0005-0000-0000-00001D000000}"/>
    <cellStyle name="MSTRStyle.Todos.c22_05f04fa5-a069-4698-b526-84b47104714b" xfId="71" xr:uid="{D4EBFC2B-A3B7-4888-9720-A4E461323554}"/>
    <cellStyle name="MSTRStyle.Todos.c22FB013911EA85FFC2610080EFD5BAAC_76fdbead-a11a-4d6e-9ddf-e574d99c4833" xfId="73" xr:uid="{9B3BCEA8-B04B-4414-8BCF-053019CD5067}"/>
    <cellStyle name="MSTRStyle.Todos.c23_a434b425-8db0-4990-aa7f-b71a4e2617de" xfId="40" xr:uid="{00000000-0005-0000-0000-000020000000}"/>
    <cellStyle name="MSTRStyle.Todos.c28_47897a3a-9d86-4412-8f6c-bbd876b91d39" xfId="88" xr:uid="{8AB9F752-250F-4591-8DAB-95AC4DEF69FD}"/>
    <cellStyle name="MSTRStyle.Todos.c3_13bf36c8-3f00-44cb-ac7e-4b2798c4bf7a" xfId="51" xr:uid="{13F26237-7327-473B-B5B1-43CFE7AC2674}"/>
    <cellStyle name="MSTRStyle.Todos.c3_c4cc2c21-0e5a-4f1d-aa03-c8d867460512" xfId="58" xr:uid="{2FBEEFC6-4927-43EF-86CC-C2CB4E31433E}"/>
    <cellStyle name="MSTRStyle.Todos.c5E29F72711ED505700000080EF951C6B_c5dce312-fb35-46dd-8e75-db24d903cb28" xfId="84" xr:uid="{DD563A80-118E-42EB-949E-7F1BA88756B3}"/>
    <cellStyle name="MSTRStyle.Todos.c6_14b916b9-3928-4a37-b959-a4d2cc0d87c1" xfId="53" xr:uid="{C37C8868-6122-4FE6-BFB2-63E41E908936}"/>
    <cellStyle name="MSTRStyle.Todos.c6_45a13731-13c9-423a-be63-7c30eaced678" xfId="35" xr:uid="{00000000-0005-0000-0000-000023000000}"/>
    <cellStyle name="MSTRStyle.Todos.c6_61777fd2-1b09-4007-a1d9-90a6e78a2a7c" xfId="46" xr:uid="{00000000-0005-0000-0000-000024000000}"/>
    <cellStyle name="MSTRStyle.Todos.c6_6cb39904-4c30-4369-859d-02cae5e13fb8" xfId="85" xr:uid="{4B017D88-6E71-4CA9-A2EA-F3F4BDA8335E}"/>
    <cellStyle name="MSTRStyle.Todos.c7_43304d09-5b65-4e0e-9784-63a6af05ce89" xfId="47" xr:uid="{00000000-0005-0000-0000-000026000000}"/>
    <cellStyle name="MSTRStyle.Todos.c70D14ACA11EA32D01CD20080EFB5EA00_5fdec2cd-2afd-4a29-b530-7e0802ec361d" xfId="54" xr:uid="{49A4A61C-671E-4773-8499-88853451D819}"/>
    <cellStyle name="MSTRStyle.Todos.c70D153EE11EA32D01CD20080EFB5EA00_5427d19a-25a0-4d8a-94d3-5347b42308a2" xfId="55" xr:uid="{81B106EB-010C-44EF-BA24-2F1B8F78B25C}"/>
    <cellStyle name="MSTRStyle.Todos.c8_84f9e710-4ce8-4dfa-9724-f39923ad69e4" xfId="34" xr:uid="{00000000-0005-0000-0000-000027000000}"/>
    <cellStyle name="MSTRStyle.Todos.c9_78ea82b2-b25c-4386-8e66-cdd346d1bef0" xfId="52" xr:uid="{459C0C5C-EF2A-44AD-B890-04F2D55B19FA}"/>
    <cellStyle name="MSTRStyle.Todos.c9_bf5db937-7097-48b1-8348-2d525256caf0" xfId="91" xr:uid="{1C1D5541-8742-4162-A0EC-57EC966717D4}"/>
    <cellStyle name="MSTRStyle.Todos.c90E4BB7911EAA65AC2610080EFB57AAD_f07eea07-c3ff-41b1-82da-2674436a3628" xfId="70" xr:uid="{642D75E5-BE96-4125-9F15-C402442EDC81}"/>
    <cellStyle name="MSTRStyle.Todos.cB9741C8011EA32D01CD20080EF058B01_45c5b83e-0976-42ec-8a77-fbb7bf985530" xfId="60" xr:uid="{B0ADF679-E4F8-4F3F-80C4-4333BB87D06E}"/>
    <cellStyle name="MSTRStyle.Todos.cB974281A11EA32D01CD20080EF058B01_e3608e4f-70c6-4e85-9df7-bb8af8595dd6" xfId="62" xr:uid="{3C216A56-6C36-4E2A-B160-75D8CE296AE0}"/>
    <cellStyle name="MSTRStyle.Todos.cD8A0D4CD11EA13A48B1B0080EF5575DA_366e978f-114a-4b5d-be20-800c36eeb15d" xfId="76" xr:uid="{13DC4E38-B73E-428C-9BFC-DE142B488BC1}"/>
    <cellStyle name="MSTRStyle.Todos.cFA43056511E9FB678F890080EFF52244_4ec8f762-4808-46be-a038-987e3097519d" xfId="69" xr:uid="{3F137070-9967-44D6-A7BC-3F3EA8CA6293}"/>
    <cellStyle name="Normal" xfId="0" builtinId="0"/>
    <cellStyle name="Normal 10" xfId="44" xr:uid="{00000000-0005-0000-0000-00002A000000}"/>
    <cellStyle name="Normal 11" xfId="48" xr:uid="{00000000-0005-0000-0000-00002B000000}"/>
    <cellStyle name="Normal 12" xfId="64" xr:uid="{70481923-B561-45D9-B815-6F3E40E58E42}"/>
    <cellStyle name="Normal 13" xfId="65" xr:uid="{F4CEF317-9534-4714-A33C-73D10F68157D}"/>
    <cellStyle name="Normal 14" xfId="66" xr:uid="{0C912CB0-5F3F-41CB-933B-8BBF2BD1891F}"/>
    <cellStyle name="Normal 15" xfId="67" xr:uid="{9C14DE39-61F6-4803-9D4C-50C086BDA55C}"/>
    <cellStyle name="Normal 16" xfId="75" xr:uid="{9E8EAD6E-6DBA-41E4-993F-5E886774A5DE}"/>
    <cellStyle name="Normal 17" xfId="77" xr:uid="{6046D703-8906-4AD6-A383-7897179C4955}"/>
    <cellStyle name="Normal 18" xfId="78" xr:uid="{5DF66136-CDFE-4A04-8587-EA9FF02EF8A5}"/>
    <cellStyle name="Normal 19" xfId="80" xr:uid="{CDCAEA77-3CE1-4541-BBAA-62EF90AD1B7C}"/>
    <cellStyle name="Normal 2" xfId="13" xr:uid="{00000000-0005-0000-0000-00002C000000}"/>
    <cellStyle name="Normal 2 2" xfId="86" xr:uid="{43E3660D-E118-4D08-9C85-407EEDF14FE1}"/>
    <cellStyle name="Normal 2 2 2" xfId="4" xr:uid="{00000000-0005-0000-0000-00002D000000}"/>
    <cellStyle name="Normal 20" xfId="82" xr:uid="{A79DDE69-9CF1-4FD9-8E32-07187CCE5DC8}"/>
    <cellStyle name="Normal 21" xfId="83" xr:uid="{ACD0ED57-34DF-4740-9CF0-3282C113B335}"/>
    <cellStyle name="Normal 22" xfId="87" xr:uid="{355B5799-480D-4FC9-B278-543BB6129D1B}"/>
    <cellStyle name="Normal 3" xfId="14" xr:uid="{00000000-0005-0000-0000-00002E000000}"/>
    <cellStyle name="Normal 4" xfId="5" xr:uid="{00000000-0005-0000-0000-00002F000000}"/>
    <cellStyle name="Normal 5" xfId="6" xr:uid="{00000000-0005-0000-0000-000030000000}"/>
    <cellStyle name="Normal 6" xfId="7" xr:uid="{00000000-0005-0000-0000-000031000000}"/>
    <cellStyle name="Normal 7" xfId="17" xr:uid="{00000000-0005-0000-0000-000032000000}"/>
    <cellStyle name="Normal 8" xfId="20" xr:uid="{00000000-0005-0000-0000-000033000000}"/>
    <cellStyle name="Normal 9" xfId="26" xr:uid="{00000000-0005-0000-0000-000034000000}"/>
    <cellStyle name="Normal 9 2" xfId="45" xr:uid="{00000000-0005-0000-0000-000035000000}"/>
    <cellStyle name="Normal_4.1.5" xfId="31" xr:uid="{00000000-0005-0000-0000-000036000000}"/>
    <cellStyle name="Normal_A1 Comparacion Internacional" xfId="8" xr:uid="{00000000-0005-0000-0000-000037000000}"/>
    <cellStyle name="Normal_A1 Comparacion Internacional 2" xfId="32" xr:uid="{00000000-0005-0000-0000-000038000000}"/>
    <cellStyle name="Normal_MAY_3_PAG_10-12" xfId="16" xr:uid="{00000000-0005-0000-0000-000039000000}"/>
    <cellStyle name="Normal_Requerimientos_ ofertas_ asignaci_n y utilizaci_n de Secundaria (Mensual-simple)" xfId="12" xr:uid="{00000000-0005-0000-0000-00003A000000}"/>
    <cellStyle name="Normal_Restricciones T_cnicas de Seguridad (Mensual-simple)" xfId="11" xr:uid="{00000000-0005-0000-0000-00003B000000}"/>
    <cellStyle name="Porcentaje" xfId="9" builtinId="5"/>
    <cellStyle name="Porcentaje 2" xfId="15" xr:uid="{00000000-0005-0000-0000-00003D000000}"/>
    <cellStyle name="Porcentaje 3" xfId="23" xr:uid="{00000000-0005-0000-0000-00003E000000}"/>
    <cellStyle name="Porcentaje 4" xfId="27" xr:uid="{00000000-0005-0000-0000-00003F000000}"/>
    <cellStyle name="Porcentual 2" xfId="10" xr:uid="{00000000-0005-0000-0000-00004000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1" defaultTableStyle="TableStyleMedium2" defaultPivotStyle="PivotStyleLight16">
    <tableStyle name="Invisible" pivot="0" table="0" count="0" xr9:uid="{8CD3BEC6-F677-4A33-A981-6D1D11F1A00A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4563"/>
      <rgbColor rgb="00FFFFFF"/>
      <rgbColor rgb="00DB0705"/>
      <rgbColor rgb="00005463"/>
      <rgbColor rgb="000000D4"/>
      <rgbColor rgb="00FCF305"/>
      <rgbColor rgb="00BB0000"/>
      <rgbColor rgb="0000570B"/>
      <rgbColor rgb="00900000"/>
      <rgbColor rgb="00006411"/>
      <rgbColor rgb="0085FC70"/>
      <rgbColor rgb="0090713A"/>
      <rgbColor rgb="004600A5"/>
      <rgbColor rgb="00008080"/>
      <rgbColor rgb="00C0C0C0"/>
      <rgbColor rgb="00808080"/>
      <rgbColor rgb="00B398B4"/>
      <rgbColor rgb="00802060"/>
      <rgbColor rgb="00FFFFC0"/>
      <rgbColor rgb="00A0E0E0"/>
      <rgbColor rgb="00600080"/>
      <rgbColor rgb="00FF8080"/>
      <rgbColor rgb="000080C0"/>
      <rgbColor rgb="00C0C0FF"/>
      <rgbColor rgb="00081959"/>
      <rgbColor rgb="00FFF9E9"/>
      <rgbColor rgb="00FFFF00"/>
      <rgbColor rgb="0000FFFF"/>
      <rgbColor rgb="00800080"/>
      <rgbColor rgb="00800000"/>
      <rgbColor rgb="00008080"/>
      <rgbColor rgb="00D6DF20"/>
      <rgbColor rgb="0000CFFF"/>
      <rgbColor rgb="0069FFFF"/>
      <rgbColor rgb="00E0FFE0"/>
      <rgbColor rgb="00FFFF80"/>
      <rgbColor rgb="00A6CAF0"/>
      <rgbColor rgb="00EECEDA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DCDEF5"/>
      <rgbColor rgb="00CDF0DB"/>
      <rgbColor rgb="00FFF9E9"/>
      <rgbColor rgb="00F7D2C6"/>
      <rgbColor rgb="00BEF4FF"/>
      <rgbColor rgb="00EECED9"/>
      <rgbColor rgb="004A3285"/>
      <rgbColor rgb="00A6A6A6"/>
    </indexedColors>
    <mruColors>
      <color rgb="FF9999FF"/>
      <color rgb="FF7F7F7F"/>
      <color rgb="FF595959"/>
      <color rgb="FF2C4D75"/>
      <color rgb="FFE5DDB7"/>
      <color rgb="FF0090D1"/>
      <color rgb="FFBA0F16"/>
      <color rgb="FF00B0F0"/>
      <color rgb="FFED7D31"/>
      <color rgb="FF4643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458945069569453E-2"/>
          <c:y val="0.18150286769709345"/>
          <c:w val="0.88441902532453698"/>
          <c:h val="0.66557985807329645"/>
        </c:manualLayout>
      </c:layout>
      <c:areaChart>
        <c:grouping val="stacked"/>
        <c:varyColors val="0"/>
        <c:ser>
          <c:idx val="0"/>
          <c:order val="1"/>
          <c:tx>
            <c:v>Precio mínimo</c:v>
          </c:tx>
          <c:spPr>
            <a:solidFill>
              <a:srgbClr val="F2F2F2"/>
            </a:solidFill>
          </c:spPr>
          <c:cat>
            <c:strLit>
              <c:ptCount val="2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Dat_01!$AA$8:$AA$38</c15:sqref>
                  </c15:fullRef>
                </c:ext>
              </c:extLst>
              <c:f>Dat_01!$AA$8:$AA$35</c:f>
              <c:numCache>
                <c:formatCode>#,##0.00</c:formatCode>
                <c:ptCount val="28"/>
                <c:pt idx="0">
                  <c:v>0.4375602663</c:v>
                </c:pt>
                <c:pt idx="1">
                  <c:v>-0.21702654120000001</c:v>
                </c:pt>
                <c:pt idx="2">
                  <c:v>80.100355331599999</c:v>
                </c:pt>
                <c:pt idx="3">
                  <c:v>76.463422385900003</c:v>
                </c:pt>
                <c:pt idx="4">
                  <c:v>4.5023246744999996</c:v>
                </c:pt>
                <c:pt idx="5">
                  <c:v>1.8293724952999999</c:v>
                </c:pt>
                <c:pt idx="6">
                  <c:v>7.7155818352000001</c:v>
                </c:pt>
                <c:pt idx="7">
                  <c:v>0</c:v>
                </c:pt>
                <c:pt idx="8">
                  <c:v>-0.1050321585</c:v>
                </c:pt>
                <c:pt idx="9">
                  <c:v>23.779136980600001</c:v>
                </c:pt>
                <c:pt idx="10">
                  <c:v>14.827938012000001</c:v>
                </c:pt>
                <c:pt idx="11">
                  <c:v>16.333896703899999</c:v>
                </c:pt>
                <c:pt idx="12">
                  <c:v>29.065465920800001</c:v>
                </c:pt>
                <c:pt idx="13">
                  <c:v>33.395696375500002</c:v>
                </c:pt>
                <c:pt idx="14">
                  <c:v>0.56809386049999999</c:v>
                </c:pt>
                <c:pt idx="15">
                  <c:v>0</c:v>
                </c:pt>
                <c:pt idx="16">
                  <c:v>41.993817596500001</c:v>
                </c:pt>
                <c:pt idx="17">
                  <c:v>0.94510903329999996</c:v>
                </c:pt>
                <c:pt idx="18">
                  <c:v>2.2024285960999999</c:v>
                </c:pt>
                <c:pt idx="19">
                  <c:v>50</c:v>
                </c:pt>
                <c:pt idx="20">
                  <c:v>2</c:v>
                </c:pt>
                <c:pt idx="21">
                  <c:v>-0.01</c:v>
                </c:pt>
                <c:pt idx="22">
                  <c:v>-2.1</c:v>
                </c:pt>
                <c:pt idx="23">
                  <c:v>0.30281073730000002</c:v>
                </c:pt>
                <c:pt idx="24">
                  <c:v>4.1331579678999999</c:v>
                </c:pt>
                <c:pt idx="25">
                  <c:v>0</c:v>
                </c:pt>
                <c:pt idx="26">
                  <c:v>0.51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97-4626-80A4-AD849F207667}"/>
            </c:ext>
          </c:extLst>
        </c:ser>
        <c:ser>
          <c:idx val="2"/>
          <c:order val="2"/>
          <c:tx>
            <c:v>Precio máximo</c:v>
          </c:tx>
          <c:spPr>
            <a:solidFill>
              <a:schemeClr val="tx2">
                <a:lumMod val="40000"/>
                <a:lumOff val="60000"/>
              </a:schemeClr>
            </a:solidFill>
          </c:spPr>
          <c:cat>
            <c:strLit>
              <c:ptCount val="2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Dat_01!$AN$8:$AN$38</c15:sqref>
                  </c15:fullRef>
                </c:ext>
              </c:extLst>
              <c:f>Dat_01!$AN$8:$AN$35</c:f>
              <c:numCache>
                <c:formatCode>#,##0.00</c:formatCode>
                <c:ptCount val="28"/>
                <c:pt idx="0">
                  <c:v>194.02521377709999</c:v>
                </c:pt>
                <c:pt idx="1">
                  <c:v>205.44600384329999</c:v>
                </c:pt>
                <c:pt idx="2">
                  <c:v>132.95284350700001</c:v>
                </c:pt>
                <c:pt idx="3">
                  <c:v>131.99521161620001</c:v>
                </c:pt>
                <c:pt idx="4">
                  <c:v>190.18926252720001</c:v>
                </c:pt>
                <c:pt idx="5">
                  <c:v>204.5340682476</c:v>
                </c:pt>
                <c:pt idx="6">
                  <c:v>207.42563404789999</c:v>
                </c:pt>
                <c:pt idx="7">
                  <c:v>189.49297514060001</c:v>
                </c:pt>
                <c:pt idx="8">
                  <c:v>175.7110635633</c:v>
                </c:pt>
                <c:pt idx="9">
                  <c:v>199.5851280279</c:v>
                </c:pt>
                <c:pt idx="10">
                  <c:v>216.18229375159999</c:v>
                </c:pt>
                <c:pt idx="11">
                  <c:v>213.78744985680001</c:v>
                </c:pt>
                <c:pt idx="12">
                  <c:v>215.32905117350001</c:v>
                </c:pt>
                <c:pt idx="13">
                  <c:v>198.56912001980001</c:v>
                </c:pt>
                <c:pt idx="14">
                  <c:v>202.8781079323</c:v>
                </c:pt>
                <c:pt idx="15">
                  <c:v>211.5327906368</c:v>
                </c:pt>
                <c:pt idx="16">
                  <c:v>192.0748599803</c:v>
                </c:pt>
                <c:pt idx="17">
                  <c:v>241.61120072979998</c:v>
                </c:pt>
                <c:pt idx="18">
                  <c:v>208.5881270463</c:v>
                </c:pt>
                <c:pt idx="19">
                  <c:v>145.6431173691</c:v>
                </c:pt>
                <c:pt idx="20">
                  <c:v>196.67404202309999</c:v>
                </c:pt>
                <c:pt idx="21">
                  <c:v>172.51952833549998</c:v>
                </c:pt>
                <c:pt idx="22">
                  <c:v>166.5259430701</c:v>
                </c:pt>
                <c:pt idx="23">
                  <c:v>189.14918613259999</c:v>
                </c:pt>
                <c:pt idx="24">
                  <c:v>220.28928765450001</c:v>
                </c:pt>
                <c:pt idx="25">
                  <c:v>207.7464517352</c:v>
                </c:pt>
                <c:pt idx="26">
                  <c:v>182.0802277059</c:v>
                </c:pt>
                <c:pt idx="27">
                  <c:v>214.7572262692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97-4626-80A4-AD849F207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4549504"/>
        <c:axId val="404549896"/>
      </c:areaChart>
      <c:lineChart>
        <c:grouping val="standard"/>
        <c:varyColors val="0"/>
        <c:ser>
          <c:idx val="1"/>
          <c:order val="0"/>
          <c:tx>
            <c:v>Precio medio</c:v>
          </c:tx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Dat_01!$AQ$8:$AQ$38</c15:sqref>
                  </c15:fullRef>
                </c:ext>
              </c:extLst>
              <c:f>Dat_01!$AQ$8:$AQ$35</c:f>
              <c:numCache>
                <c:formatCode>General</c:formatCode>
                <c:ptCount val="2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Dat_01!$AC$8:$AC$38</c15:sqref>
                  </c15:fullRef>
                </c:ext>
              </c:extLst>
              <c:f>Dat_01!$AC$8:$AC$35</c:f>
              <c:numCache>
                <c:formatCode>#,##0.00</c:formatCode>
                <c:ptCount val="28"/>
                <c:pt idx="0">
                  <c:v>95.797772352799996</c:v>
                </c:pt>
                <c:pt idx="1">
                  <c:v>90.042371259099994</c:v>
                </c:pt>
                <c:pt idx="2">
                  <c:v>146.4991882464</c:v>
                </c:pt>
                <c:pt idx="3">
                  <c:v>139.64350684249999</c:v>
                </c:pt>
                <c:pt idx="4">
                  <c:v>106.2550668544</c:v>
                </c:pt>
                <c:pt idx="5">
                  <c:v>96.260461631300004</c:v>
                </c:pt>
                <c:pt idx="6">
                  <c:v>108.672210599</c:v>
                </c:pt>
                <c:pt idx="7">
                  <c:v>95.727147237899999</c:v>
                </c:pt>
                <c:pt idx="8">
                  <c:v>80.7267515084</c:v>
                </c:pt>
                <c:pt idx="9">
                  <c:v>116.4802002567</c:v>
                </c:pt>
                <c:pt idx="10">
                  <c:v>117.3206882465</c:v>
                </c:pt>
                <c:pt idx="11">
                  <c:v>125.22120875429999</c:v>
                </c:pt>
                <c:pt idx="12">
                  <c:v>130.1705923616</c:v>
                </c:pt>
                <c:pt idx="13">
                  <c:v>133.14363613699999</c:v>
                </c:pt>
                <c:pt idx="14">
                  <c:v>102.5489149357</c:v>
                </c:pt>
                <c:pt idx="15">
                  <c:v>101.7005967987</c:v>
                </c:pt>
                <c:pt idx="16">
                  <c:v>147.00898587149999</c:v>
                </c:pt>
                <c:pt idx="17">
                  <c:v>112.8322429806</c:v>
                </c:pt>
                <c:pt idx="18">
                  <c:v>112.7797530358</c:v>
                </c:pt>
                <c:pt idx="19">
                  <c:v>128.8975053787</c:v>
                </c:pt>
                <c:pt idx="20">
                  <c:v>92.602093627800002</c:v>
                </c:pt>
                <c:pt idx="21">
                  <c:v>75.972940415699995</c:v>
                </c:pt>
                <c:pt idx="22">
                  <c:v>70.010568364500003</c:v>
                </c:pt>
                <c:pt idx="23">
                  <c:v>75.104390378600002</c:v>
                </c:pt>
                <c:pt idx="24">
                  <c:v>100.6293461643</c:v>
                </c:pt>
                <c:pt idx="25">
                  <c:v>88.3145428638</c:v>
                </c:pt>
                <c:pt idx="26">
                  <c:v>90.678930532699994</c:v>
                </c:pt>
                <c:pt idx="27">
                  <c:v>80.920491553299996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97-4626-80A4-AD849F207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549504"/>
        <c:axId val="404549896"/>
      </c:lineChart>
      <c:catAx>
        <c:axId val="404549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noFill/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s-ES"/>
          </a:p>
        </c:txPr>
        <c:crossAx val="404549896"/>
        <c:crosses val="autoZero"/>
        <c:auto val="1"/>
        <c:lblAlgn val="ctr"/>
        <c:lblOffset val="100"/>
        <c:noMultiLvlLbl val="0"/>
      </c:catAx>
      <c:valAx>
        <c:axId val="404549896"/>
        <c:scaling>
          <c:orientation val="minMax"/>
          <c:max val="280"/>
          <c:min val="-4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4563"/>
                    </a:solidFill>
                    <a:latin typeface="Helv"/>
                    <a:ea typeface="Helv"/>
                    <a:cs typeface="Helv"/>
                  </a:defRPr>
                </a:pPr>
                <a:r>
                  <a:rPr lang="es-ES">
                    <a:solidFill>
                      <a:srgbClr val="004563"/>
                    </a:solidFill>
                  </a:rPr>
                  <a:t>€/MWh</a:t>
                </a:r>
              </a:p>
            </c:rich>
          </c:tx>
          <c:layout>
            <c:manualLayout>
              <c:xMode val="edge"/>
              <c:yMode val="edge"/>
              <c:x val="1.4598496133929178E-2"/>
              <c:y val="9.152542372881879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s-ES"/>
          </a:p>
        </c:txPr>
        <c:crossAx val="404549504"/>
        <c:crosses val="autoZero"/>
        <c:crossBetween val="between"/>
        <c:majorUnit val="40"/>
        <c:minorUnit val="10"/>
      </c:valAx>
      <c:spPr>
        <a:solidFill>
          <a:srgbClr val="F2F2F2"/>
        </a:solidFill>
        <a:ln w="25400">
          <a:noFill/>
        </a:ln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egendEntry>
        <c:idx val="2"/>
        <c:txPr>
          <a:bodyPr/>
          <a:lstStyle/>
          <a:p>
            <a:pPr algn="ctr">
              <a:defRPr lang="en-US"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s-ES"/>
          </a:p>
        </c:txPr>
      </c:legendEntry>
      <c:overlay val="0"/>
    </c:legend>
    <c:plotVisOnly val="1"/>
    <c:dispBlanksAs val="zero"/>
    <c:showDLblsOverMax val="0"/>
  </c:chart>
  <c:spPr>
    <a:solidFill>
      <a:srgbClr val="F2F2F2"/>
    </a:solidFill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Helv"/>
          <a:ea typeface="Helv"/>
          <a:cs typeface="Helv"/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893111346282373E-2"/>
          <c:y val="3.7659765548332613E-2"/>
          <c:w val="0.90234727490582289"/>
          <c:h val="0.8266986520009546"/>
        </c:manualLayout>
      </c:layout>
      <c:barChart>
        <c:barDir val="col"/>
        <c:grouping val="clustered"/>
        <c:varyColors val="0"/>
        <c:ser>
          <c:idx val="0"/>
          <c:order val="0"/>
          <c:tx>
            <c:v>Potencia media a subir</c:v>
          </c:tx>
          <c:spPr>
            <a:solidFill>
              <a:srgbClr val="007AB0"/>
            </a:solidFill>
          </c:spPr>
          <c:invertIfNegative val="0"/>
          <c:val>
            <c:numRef>
              <c:f>Dat_01!#REF!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14-4A22-93AF-AC4A71005C3B}"/>
            </c:ext>
          </c:extLst>
        </c:ser>
        <c:ser>
          <c:idx val="10"/>
          <c:order val="1"/>
          <c:tx>
            <c:v>Potencia media a bajar</c:v>
          </c:tx>
          <c:spPr>
            <a:solidFill>
              <a:srgbClr val="0090D1"/>
            </a:solidFill>
            <a:ln w="25400">
              <a:noFill/>
            </a:ln>
          </c:spPr>
          <c:invertIfNegative val="0"/>
          <c:val>
            <c:numRef>
              <c:f>Dat_01!$B$184:$N$184</c:f>
              <c:numCache>
                <c:formatCode>#,##0</c:formatCode>
                <c:ptCount val="13"/>
                <c:pt idx="0">
                  <c:v>1193.9107638889</c:v>
                </c:pt>
                <c:pt idx="1">
                  <c:v>1186.19756944445</c:v>
                </c:pt>
                <c:pt idx="2">
                  <c:v>1174.1842281879251</c:v>
                </c:pt>
                <c:pt idx="3">
                  <c:v>1169.1361111111</c:v>
                </c:pt>
                <c:pt idx="4">
                  <c:v>1170.0030241935499</c:v>
                </c:pt>
                <c:pt idx="5">
                  <c:v>1185.5510752688249</c:v>
                </c:pt>
                <c:pt idx="6">
                  <c:v>1168.0904017857249</c:v>
                </c:pt>
                <c:pt idx="7">
                  <c:v>1215.6991924629999</c:v>
                </c:pt>
                <c:pt idx="8">
                  <c:v>1220.9909722222251</c:v>
                </c:pt>
                <c:pt idx="9">
                  <c:v>1226.6582661290249</c:v>
                </c:pt>
                <c:pt idx="10">
                  <c:v>1238.0444444444499</c:v>
                </c:pt>
                <c:pt idx="11">
                  <c:v>1239.9375</c:v>
                </c:pt>
                <c:pt idx="12">
                  <c:v>1233.3034274193501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14-4A22-93AF-AC4A71005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3144144"/>
        <c:axId val="403143752"/>
      </c:barChart>
      <c:lineChart>
        <c:grouping val="standard"/>
        <c:varyColors val="0"/>
        <c:ser>
          <c:idx val="1"/>
          <c:order val="2"/>
          <c:tx>
            <c:v>Precio medio</c:v>
          </c:tx>
          <c:spPr>
            <a:ln>
              <a:solidFill>
                <a:srgbClr val="004563"/>
              </a:solidFill>
            </a:ln>
          </c:spPr>
          <c:marker>
            <c:symbol val="none"/>
          </c:marker>
          <c:val>
            <c:numRef>
              <c:f>Dat_01!$C$416:$O$416</c:f>
              <c:numCache>
                <c:formatCode>#,##0.00</c:formatCode>
                <c:ptCount val="13"/>
                <c:pt idx="0">
                  <c:v>18.185907200199999</c:v>
                </c:pt>
                <c:pt idx="1">
                  <c:v>24.3133326757</c:v>
                </c:pt>
                <c:pt idx="2">
                  <c:v>16.621921591100001</c:v>
                </c:pt>
                <c:pt idx="3">
                  <c:v>18.8662189675</c:v>
                </c:pt>
                <c:pt idx="4">
                  <c:v>13.108400383799999</c:v>
                </c:pt>
                <c:pt idx="5">
                  <c:v>10.8123653194</c:v>
                </c:pt>
                <c:pt idx="6">
                  <c:v>15.1023403009</c:v>
                </c:pt>
                <c:pt idx="7">
                  <c:v>10.382563942199999</c:v>
                </c:pt>
                <c:pt idx="8">
                  <c:v>15.5035226809</c:v>
                </c:pt>
                <c:pt idx="9">
                  <c:v>14.389684620000001</c:v>
                </c:pt>
                <c:pt idx="10">
                  <c:v>9.1825881708000008</c:v>
                </c:pt>
                <c:pt idx="11">
                  <c:v>7.5328923777999997</c:v>
                </c:pt>
                <c:pt idx="12">
                  <c:v>11.1345213068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14-4A22-93AF-AC4A71005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0999263"/>
        <c:axId val="1441007903"/>
      </c:lineChart>
      <c:valAx>
        <c:axId val="403143752"/>
        <c:scaling>
          <c:orientation val="maxMin"/>
          <c:max val="1400"/>
          <c:min val="0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rgbClr val="004563"/>
                </a:solidFill>
              </a:defRPr>
            </a:pPr>
            <a:endParaRPr lang="es-ES"/>
          </a:p>
        </c:txPr>
        <c:crossAx val="403144144"/>
        <c:crosses val="autoZero"/>
        <c:crossBetween val="between"/>
      </c:valAx>
      <c:catAx>
        <c:axId val="40314414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03143752"/>
        <c:crosses val="autoZero"/>
        <c:auto val="1"/>
        <c:lblAlgn val="ctr"/>
        <c:lblOffset val="100"/>
        <c:noMultiLvlLbl val="0"/>
      </c:catAx>
      <c:valAx>
        <c:axId val="1441007903"/>
        <c:scaling>
          <c:orientation val="maxMin"/>
          <c:max val="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440999263"/>
        <c:crosses val="max"/>
        <c:crossBetween val="between"/>
        <c:majorUnit val="10"/>
      </c:valAx>
      <c:catAx>
        <c:axId val="1440999263"/>
        <c:scaling>
          <c:orientation val="minMax"/>
        </c:scaling>
        <c:delete val="1"/>
        <c:axPos val="t"/>
        <c:majorTickMark val="out"/>
        <c:minorTickMark val="none"/>
        <c:tickLblPos val="nextTo"/>
        <c:crossAx val="1441007903"/>
        <c:crosses val="autoZero"/>
        <c:auto val="1"/>
        <c:lblAlgn val="ctr"/>
        <c:lblOffset val="100"/>
        <c:noMultiLvlLbl val="0"/>
      </c:catAx>
      <c:spPr>
        <a:solidFill>
          <a:schemeClr val="bg1">
            <a:lumMod val="85000"/>
          </a:schemeClr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8887794862755325"/>
          <c:y val="0.88952543666091277"/>
          <c:w val="0.58006603466381956"/>
          <c:h val="0.11047431432200966"/>
        </c:manualLayout>
      </c:layout>
      <c:overlay val="0"/>
    </c:legend>
    <c:plotVisOnly val="1"/>
    <c:dispBlanksAs val="gap"/>
    <c:showDLblsOverMax val="0"/>
  </c:chart>
  <c:spPr>
    <a:solidFill>
      <a:schemeClr val="bg1">
        <a:lumMod val="85000"/>
      </a:schemeClr>
    </a:solidFill>
    <a:ln w="9525">
      <a:noFill/>
    </a:ln>
  </c:spPr>
  <c:txPr>
    <a:bodyPr/>
    <a:lstStyle/>
    <a:p>
      <a:pPr algn="ctr">
        <a:defRPr lang="en-US" sz="800" b="0" i="0" u="none" strike="noStrike" kern="1200" baseline="0">
          <a:solidFill>
            <a:srgbClr val="004563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55" verticalDpi="355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631025328334913E-2"/>
          <c:y val="0.12454101736471991"/>
          <c:w val="0.89662947963244555"/>
          <c:h val="0.69275413221570525"/>
        </c:manualLayout>
      </c:layout>
      <c:barChart>
        <c:barDir val="col"/>
        <c:grouping val="stacked"/>
        <c:varyColors val="0"/>
        <c:ser>
          <c:idx val="0"/>
          <c:order val="0"/>
          <c:tx>
            <c:v>Energía a subir</c:v>
          </c:tx>
          <c:spPr>
            <a:solidFill>
              <a:srgbClr val="007AB0"/>
            </a:solidFill>
            <a:ln>
              <a:noFill/>
            </a:ln>
            <a:effectLst/>
          </c:spPr>
          <c:invertIfNegative val="0"/>
          <c:cat>
            <c:strRef>
              <c:f>Dat_01!$B$180:$N$180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Dat_01!$B$192:$N$192</c:f>
              <c:numCache>
                <c:formatCode>#,##0;\(#,##0\)</c:formatCode>
                <c:ptCount val="13"/>
                <c:pt idx="0">
                  <c:v>71.704355000000007</c:v>
                </c:pt>
                <c:pt idx="1">
                  <c:v>68.034813999999997</c:v>
                </c:pt>
                <c:pt idx="2">
                  <c:v>89.397965999999997</c:v>
                </c:pt>
                <c:pt idx="3">
                  <c:v>88.275216</c:v>
                </c:pt>
                <c:pt idx="4">
                  <c:v>92.510457000000002</c:v>
                </c:pt>
                <c:pt idx="5">
                  <c:v>92.520251000000002</c:v>
                </c:pt>
                <c:pt idx="6">
                  <c:v>69.668030000000002</c:v>
                </c:pt>
                <c:pt idx="7">
                  <c:v>69.640814000000006</c:v>
                </c:pt>
                <c:pt idx="8">
                  <c:v>74.940298999999996</c:v>
                </c:pt>
                <c:pt idx="9">
                  <c:v>66.951297999999994</c:v>
                </c:pt>
                <c:pt idx="10">
                  <c:v>67.475037999999998</c:v>
                </c:pt>
                <c:pt idx="11">
                  <c:v>75.550709999999995</c:v>
                </c:pt>
                <c:pt idx="12">
                  <c:v>75.352755999999999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5F-4E73-9069-EBA282BB9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3144928"/>
        <c:axId val="403145320"/>
      </c:barChart>
      <c:lineChart>
        <c:grouping val="standard"/>
        <c:varyColors val="0"/>
        <c:ser>
          <c:idx val="2"/>
          <c:order val="1"/>
          <c:tx>
            <c:v>Precio medio</c:v>
          </c:tx>
          <c:spPr>
            <a:ln w="28575" cap="rnd">
              <a:solidFill>
                <a:srgbClr val="004563"/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9525">
                <a:noFill/>
              </a:ln>
              <a:effectLst/>
            </c:spPr>
          </c:marker>
          <c:cat>
            <c:strRef>
              <c:f>Dat_01!$B$181:$N$181</c:f>
              <c:strCache>
                <c:ptCount val="13"/>
                <c:pt idx="0">
                  <c:v>2025 Agosto</c:v>
                </c:pt>
                <c:pt idx="1">
                  <c:v>2025 Septiembre</c:v>
                </c:pt>
                <c:pt idx="2">
                  <c:v>2025 Octubre</c:v>
                </c:pt>
                <c:pt idx="3">
                  <c:v>2025 Noviembre</c:v>
                </c:pt>
                <c:pt idx="4">
                  <c:v>2025 Diciembre</c:v>
                </c:pt>
                <c:pt idx="5">
                  <c:v>2026 Enero</c:v>
                </c:pt>
                <c:pt idx="6">
                  <c:v>2026 Febrero</c:v>
                </c:pt>
                <c:pt idx="7">
                  <c:v>2026 Marzo</c:v>
                </c:pt>
                <c:pt idx="8">
                  <c:v>2026 Abril</c:v>
                </c:pt>
                <c:pt idx="9">
                  <c:v>2026 Mayo</c:v>
                </c:pt>
                <c:pt idx="10">
                  <c:v>2026 Junio</c:v>
                </c:pt>
                <c:pt idx="11">
                  <c:v>2026 Julio</c:v>
                </c:pt>
                <c:pt idx="12">
                  <c:v>2026 Agosto</c:v>
                </c:pt>
              </c:strCache>
            </c:strRef>
          </c:cat>
          <c:val>
            <c:numRef>
              <c:f>Dat_01!$C$413:$O$413</c:f>
              <c:numCache>
                <c:formatCode>#,##0.00</c:formatCode>
                <c:ptCount val="13"/>
                <c:pt idx="0">
                  <c:v>98.521136264800006</c:v>
                </c:pt>
                <c:pt idx="1">
                  <c:v>101.9472367099</c:v>
                </c:pt>
                <c:pt idx="2">
                  <c:v>97.886706690099999</c:v>
                </c:pt>
                <c:pt idx="3">
                  <c:v>88.113274485000005</c:v>
                </c:pt>
                <c:pt idx="4">
                  <c:v>96.135054601199997</c:v>
                </c:pt>
                <c:pt idx="5">
                  <c:v>104.8609944799</c:v>
                </c:pt>
                <c:pt idx="6">
                  <c:v>56.752351668899998</c:v>
                </c:pt>
                <c:pt idx="7">
                  <c:v>85.8452393779</c:v>
                </c:pt>
                <c:pt idx="8">
                  <c:v>101.4215209665</c:v>
                </c:pt>
                <c:pt idx="9">
                  <c:v>93.643971058299996</c:v>
                </c:pt>
                <c:pt idx="10">
                  <c:v>120.4206122228</c:v>
                </c:pt>
                <c:pt idx="11">
                  <c:v>159.0252583937</c:v>
                </c:pt>
                <c:pt idx="12">
                  <c:v>178.46187225150001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5F-4E73-9069-EBA282BB9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767184"/>
        <c:axId val="1990780496"/>
      </c:lineChart>
      <c:catAx>
        <c:axId val="40314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00456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03145320"/>
        <c:crosses val="autoZero"/>
        <c:auto val="1"/>
        <c:lblAlgn val="ctr"/>
        <c:lblOffset val="100"/>
        <c:noMultiLvlLbl val="1"/>
      </c:catAx>
      <c:valAx>
        <c:axId val="403145320"/>
        <c:scaling>
          <c:orientation val="minMax"/>
          <c:max val="350"/>
          <c:min val="0"/>
        </c:scaling>
        <c:delete val="0"/>
        <c:axPos val="l"/>
        <c:majorGridlines>
          <c:spPr>
            <a:ln w="3175" cap="flat" cmpd="sng" algn="ctr">
              <a:solidFill>
                <a:srgbClr val="004563"/>
              </a:solidFill>
              <a:prstDash val="sysDot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800">
                    <a:solidFill>
                      <a:srgbClr val="004563"/>
                    </a:solidFill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2.1914394226280522E-2"/>
              <c:y val="1.143555889398472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03144928"/>
        <c:crosses val="autoZero"/>
        <c:crossBetween val="between"/>
        <c:majorUnit val="50"/>
        <c:minorUnit val="10"/>
      </c:valAx>
      <c:valAx>
        <c:axId val="1990780496"/>
        <c:scaling>
          <c:orientation val="minMax"/>
          <c:max val="200"/>
          <c:min val="-8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0767184"/>
        <c:crosses val="max"/>
        <c:crossBetween val="between"/>
        <c:majorUnit val="40"/>
      </c:valAx>
      <c:catAx>
        <c:axId val="1990767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07804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D9D9D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55" verticalDpi="355"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893111346282373E-2"/>
          <c:y val="3.7659765548332613E-2"/>
          <c:w val="0.90234727490582289"/>
          <c:h val="0.8266986520009546"/>
        </c:manualLayout>
      </c:layout>
      <c:barChart>
        <c:barDir val="col"/>
        <c:grouping val="stacked"/>
        <c:varyColors val="0"/>
        <c:ser>
          <c:idx val="10"/>
          <c:order val="0"/>
          <c:tx>
            <c:v>Energía a subir</c:v>
          </c:tx>
          <c:spPr>
            <a:solidFill>
              <a:srgbClr val="007AB0"/>
            </a:solidFill>
            <a:ln w="25400">
              <a:noFill/>
            </a:ln>
          </c:spPr>
          <c:invertIfNegative val="0"/>
          <c:cat>
            <c:strRef>
              <c:f>Dat_01!$B$187:$N$187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Dat_01!$B$193:$N$193</c:f>
              <c:numCache>
                <c:formatCode>General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0-0D40-469F-A1D4-30CF56672232}"/>
            </c:ext>
          </c:extLst>
        </c:ser>
        <c:ser>
          <c:idx val="1"/>
          <c:order val="1"/>
          <c:tx>
            <c:v>Energía a bajar</c:v>
          </c:tx>
          <c:spPr>
            <a:solidFill>
              <a:srgbClr val="0090D1"/>
            </a:solidFill>
          </c:spPr>
          <c:invertIfNegative val="0"/>
          <c:cat>
            <c:strRef>
              <c:f>Dat_01!$B$187:$N$187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Dat_01!$B$191:$N$191</c:f>
              <c:numCache>
                <c:formatCode>#,##0;\(#,##0\)</c:formatCode>
                <c:ptCount val="13"/>
                <c:pt idx="0">
                  <c:v>71.164877000000004</c:v>
                </c:pt>
                <c:pt idx="1">
                  <c:v>86.558627999999999</c:v>
                </c:pt>
                <c:pt idx="2">
                  <c:v>64.327951999999996</c:v>
                </c:pt>
                <c:pt idx="3">
                  <c:v>78.213511999999994</c:v>
                </c:pt>
                <c:pt idx="4">
                  <c:v>49.694707000000001</c:v>
                </c:pt>
                <c:pt idx="5">
                  <c:v>88.198836999999997</c:v>
                </c:pt>
                <c:pt idx="6">
                  <c:v>96.958464000000006</c:v>
                </c:pt>
                <c:pt idx="7">
                  <c:v>102.83373899999999</c:v>
                </c:pt>
                <c:pt idx="8">
                  <c:v>79.366540000000001</c:v>
                </c:pt>
                <c:pt idx="9">
                  <c:v>79.716402000000002</c:v>
                </c:pt>
                <c:pt idx="10">
                  <c:v>76.561510999999996</c:v>
                </c:pt>
                <c:pt idx="11">
                  <c:v>62.766095</c:v>
                </c:pt>
                <c:pt idx="12">
                  <c:v>76.340557000000004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40-469F-A1D4-30CF56672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3147280"/>
        <c:axId val="403146888"/>
      </c:barChart>
      <c:lineChart>
        <c:grouping val="standard"/>
        <c:varyColors val="0"/>
        <c:ser>
          <c:idx val="0"/>
          <c:order val="2"/>
          <c:tx>
            <c:v>Precio medio subir</c:v>
          </c:tx>
          <c:spPr>
            <a:ln>
              <a:solidFill>
                <a:srgbClr val="004563"/>
              </a:solidFill>
            </a:ln>
          </c:spPr>
          <c:marker>
            <c:symbol val="none"/>
          </c:marker>
          <c:val>
            <c:numRef>
              <c:f>Dat_01!$C$420:$O$420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FB-4F4A-A7D1-CE21C49474DA}"/>
            </c:ext>
          </c:extLst>
        </c:ser>
        <c:ser>
          <c:idx val="2"/>
          <c:order val="3"/>
          <c:tx>
            <c:v>Precio medio bajar</c:v>
          </c:tx>
          <c:spPr>
            <a:ln>
              <a:solidFill>
                <a:srgbClr val="404040"/>
              </a:solidFill>
            </a:ln>
          </c:spPr>
          <c:marker>
            <c:symbol val="circle"/>
            <c:size val="6"/>
            <c:spPr>
              <a:noFill/>
              <a:ln>
                <a:noFill/>
              </a:ln>
            </c:spPr>
          </c:marker>
          <c:val>
            <c:numRef>
              <c:f>Dat_01!$C$417:$O$417</c:f>
              <c:numCache>
                <c:formatCode>#,##0.00</c:formatCode>
                <c:ptCount val="13"/>
                <c:pt idx="0">
                  <c:v>15.0051950839</c:v>
                </c:pt>
                <c:pt idx="1">
                  <c:v>-5.3674323135000002</c:v>
                </c:pt>
                <c:pt idx="2">
                  <c:v>3.3776366820999999</c:v>
                </c:pt>
                <c:pt idx="3">
                  <c:v>-5.9475195433000003</c:v>
                </c:pt>
                <c:pt idx="4">
                  <c:v>20.511905126199999</c:v>
                </c:pt>
                <c:pt idx="5">
                  <c:v>-14.7022421982</c:v>
                </c:pt>
                <c:pt idx="6">
                  <c:v>-27.801700988499999</c:v>
                </c:pt>
                <c:pt idx="7">
                  <c:v>-25.084918421099999</c:v>
                </c:pt>
                <c:pt idx="8">
                  <c:v>-4.6433687562000001</c:v>
                </c:pt>
                <c:pt idx="9">
                  <c:v>5.7439296054</c:v>
                </c:pt>
                <c:pt idx="10">
                  <c:v>9.4156882767999992</c:v>
                </c:pt>
                <c:pt idx="11">
                  <c:v>28.6561094795</c:v>
                </c:pt>
                <c:pt idx="12">
                  <c:v>21.059890067600001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40-469F-A1D4-30CF56672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148064"/>
        <c:axId val="403147672"/>
      </c:lineChart>
      <c:valAx>
        <c:axId val="403146888"/>
        <c:scaling>
          <c:orientation val="maxMin"/>
          <c:max val="35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rgbClr val="004563"/>
                </a:solidFill>
              </a:defRPr>
            </a:pPr>
            <a:endParaRPr lang="es-ES"/>
          </a:p>
        </c:txPr>
        <c:crossAx val="403147280"/>
        <c:crosses val="autoZero"/>
        <c:crossBetween val="between"/>
        <c:majorUnit val="50"/>
      </c:valAx>
      <c:catAx>
        <c:axId val="40314728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03146888"/>
        <c:crosses val="autoZero"/>
        <c:auto val="1"/>
        <c:lblAlgn val="ctr"/>
        <c:lblOffset val="100"/>
        <c:noMultiLvlLbl val="0"/>
      </c:catAx>
      <c:valAx>
        <c:axId val="403147672"/>
        <c:scaling>
          <c:orientation val="maxMin"/>
          <c:max val="200"/>
          <c:min val="-80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403148064"/>
        <c:crosses val="max"/>
        <c:crossBetween val="between"/>
        <c:majorUnit val="40"/>
      </c:valAx>
      <c:catAx>
        <c:axId val="403148064"/>
        <c:scaling>
          <c:orientation val="minMax"/>
        </c:scaling>
        <c:delete val="1"/>
        <c:axPos val="t"/>
        <c:majorTickMark val="out"/>
        <c:minorTickMark val="none"/>
        <c:tickLblPos val="nextTo"/>
        <c:crossAx val="403147672"/>
        <c:crosses val="autoZero"/>
        <c:auto val="1"/>
        <c:lblAlgn val="ctr"/>
        <c:lblOffset val="100"/>
        <c:noMultiLvlLbl val="0"/>
      </c:catAx>
      <c:spPr>
        <a:solidFill>
          <a:schemeClr val="bg1">
            <a:lumMod val="85000"/>
          </a:schemeClr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6329404894622285"/>
          <c:y val="0.87213445124032496"/>
          <c:w val="0.68385161941634542"/>
          <c:h val="0.10943430395315672"/>
        </c:manualLayout>
      </c:layout>
      <c:overlay val="0"/>
      <c:spPr>
        <a:ln>
          <a:noFill/>
        </a:ln>
      </c:spPr>
      <c:txPr>
        <a:bodyPr/>
        <a:lstStyle/>
        <a:p>
          <a:pPr>
            <a:defRPr>
              <a:solidFill>
                <a:srgbClr val="004563"/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>
        <a:lumMod val="85000"/>
      </a:schemeClr>
    </a:solidFill>
    <a:ln w="9525">
      <a:noFill/>
    </a:ln>
  </c:spPr>
  <c:txPr>
    <a:bodyPr/>
    <a:lstStyle/>
    <a:p>
      <a:pPr algn="ctr">
        <a:defRPr lang="en-US" sz="800" b="0" i="0" u="none" strike="noStrike" kern="1200" baseline="0">
          <a:solidFill>
            <a:srgbClr val="004563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s-ES"/>
    </a:p>
  </c:txPr>
  <c:printSettings>
    <c:headerFooter alignWithMargins="0"/>
    <c:pageMargins b="1" l="0.75000000000001465" r="0.75000000000001465" t="1" header="0" footer="0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20764015396735E-2"/>
          <c:y val="9.7142349238217726E-2"/>
          <c:w val="0.90427766318885094"/>
          <c:h val="0.6775415800256631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Dat_01!$B$217</c:f>
              <c:strCache>
                <c:ptCount val="1"/>
                <c:pt idx="0">
                  <c:v>Almacenamiento</c:v>
                </c:pt>
              </c:strCache>
              <c:extLst xmlns:c15="http://schemas.microsoft.com/office/drawing/2012/chart"/>
            </c:strRef>
          </c:tx>
          <c:spPr>
            <a:solidFill>
              <a:srgbClr val="31859C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  <c:extLst xmlns:c15="http://schemas.microsoft.com/office/drawing/2012/chart"/>
            </c:strRef>
          </c:cat>
          <c:val>
            <c:numRef>
              <c:f>Dat_01!$C$217:$O$217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12.2</c:v>
                </c:pt>
                <c:pt idx="8">
                  <c:v>11.317</c:v>
                </c:pt>
                <c:pt idx="9">
                  <c:v>5.25</c:v>
                </c:pt>
                <c:pt idx="10">
                  <c:v>19</c:v>
                </c:pt>
                <c:pt idx="11">
                  <c:v>52.75</c:v>
                </c:pt>
                <c:pt idx="12">
                  <c:v>47.25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B-BED9-452D-8454-5CC367FCBEF2}"/>
            </c:ext>
          </c:extLst>
        </c:ser>
        <c:ser>
          <c:idx val="2"/>
          <c:order val="1"/>
          <c:tx>
            <c:strRef>
              <c:f>Dat_01!$B$218</c:f>
              <c:strCache>
                <c:ptCount val="1"/>
                <c:pt idx="0">
                  <c:v>Carbón</c:v>
                </c:pt>
              </c:strCache>
            </c:strRef>
          </c:tx>
          <c:spPr>
            <a:solidFill>
              <a:srgbClr val="993300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Dat_01!$C$218:$O$218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2.5</c:v>
                </c:pt>
                <c:pt idx="5">
                  <c:v>0</c:v>
                </c:pt>
                <c:pt idx="6">
                  <c:v>0</c:v>
                </c:pt>
                <c:pt idx="7">
                  <c:v>132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15</c:v>
                </c:pt>
                <c:pt idx="12">
                  <c:v>67.25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D9-452D-8454-5CC367FCBEF2}"/>
            </c:ext>
          </c:extLst>
        </c:ser>
        <c:ser>
          <c:idx val="3"/>
          <c:order val="2"/>
          <c:tx>
            <c:strRef>
              <c:f>Dat_01!$B$219</c:f>
              <c:strCache>
                <c:ptCount val="1"/>
                <c:pt idx="0">
                  <c:v>Ciclo Combinado</c:v>
                </c:pt>
              </c:strCache>
            </c:strRef>
          </c:tx>
          <c:spPr>
            <a:solidFill>
              <a:srgbClr val="FFCC66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Dat_01!$C$219:$O$219</c:f>
              <c:numCache>
                <c:formatCode>#,##0.0</c:formatCode>
                <c:ptCount val="13"/>
                <c:pt idx="0">
                  <c:v>23693.05</c:v>
                </c:pt>
                <c:pt idx="1">
                  <c:v>36576.124000000003</c:v>
                </c:pt>
                <c:pt idx="2">
                  <c:v>44677.858999999997</c:v>
                </c:pt>
                <c:pt idx="3">
                  <c:v>15669.689</c:v>
                </c:pt>
                <c:pt idx="4">
                  <c:v>18577.234</c:v>
                </c:pt>
                <c:pt idx="5">
                  <c:v>26667.285</c:v>
                </c:pt>
                <c:pt idx="6">
                  <c:v>6967.4669999999996</c:v>
                </c:pt>
                <c:pt idx="7">
                  <c:v>4851.6670000000004</c:v>
                </c:pt>
                <c:pt idx="8">
                  <c:v>4275.6840000000002</c:v>
                </c:pt>
                <c:pt idx="9">
                  <c:v>8959.4500000000007</c:v>
                </c:pt>
                <c:pt idx="10">
                  <c:v>15232.825000000001</c:v>
                </c:pt>
                <c:pt idx="11">
                  <c:v>14107.09</c:v>
                </c:pt>
                <c:pt idx="12">
                  <c:v>55771.875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D9-452D-8454-5CC367FCBEF2}"/>
            </c:ext>
          </c:extLst>
        </c:ser>
        <c:ser>
          <c:idx val="4"/>
          <c:order val="3"/>
          <c:tx>
            <c:strRef>
              <c:f>Dat_01!$B$220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CFA2CA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Dat_01!$C$220:$O$220</c:f>
              <c:numCache>
                <c:formatCode>#,##0.0</c:formatCode>
                <c:ptCount val="13"/>
                <c:pt idx="0">
                  <c:v>409.5</c:v>
                </c:pt>
                <c:pt idx="1">
                  <c:v>383.58300000000003</c:v>
                </c:pt>
                <c:pt idx="2">
                  <c:v>701.5</c:v>
                </c:pt>
                <c:pt idx="3">
                  <c:v>436.983</c:v>
                </c:pt>
                <c:pt idx="4">
                  <c:v>509.983</c:v>
                </c:pt>
                <c:pt idx="5">
                  <c:v>1312.75</c:v>
                </c:pt>
                <c:pt idx="6">
                  <c:v>1237.567</c:v>
                </c:pt>
                <c:pt idx="7">
                  <c:v>1030.75</c:v>
                </c:pt>
                <c:pt idx="8">
                  <c:v>1191.55</c:v>
                </c:pt>
                <c:pt idx="9">
                  <c:v>1473.2850000000001</c:v>
                </c:pt>
                <c:pt idx="10">
                  <c:v>520.16700000000003</c:v>
                </c:pt>
                <c:pt idx="11">
                  <c:v>725.26300000000003</c:v>
                </c:pt>
                <c:pt idx="12">
                  <c:v>1621.683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D9-452D-8454-5CC367FCBEF2}"/>
            </c:ext>
          </c:extLst>
        </c:ser>
        <c:ser>
          <c:idx val="5"/>
          <c:order val="4"/>
          <c:tx>
            <c:strRef>
              <c:f>Dat_01!$B$221</c:f>
              <c:strCache>
                <c:ptCount val="1"/>
                <c:pt idx="0">
                  <c:v>Consumo Bombeo</c:v>
                </c:pt>
              </c:strCache>
            </c:strRef>
          </c:tx>
          <c:spPr>
            <a:solidFill>
              <a:srgbClr val="2C4D75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Dat_01!$C$221:$O$221</c:f>
              <c:numCache>
                <c:formatCode>#,##0.0</c:formatCode>
                <c:ptCount val="13"/>
                <c:pt idx="0">
                  <c:v>22439.35</c:v>
                </c:pt>
                <c:pt idx="1">
                  <c:v>24097.200000000001</c:v>
                </c:pt>
                <c:pt idx="2">
                  <c:v>24976.831999999999</c:v>
                </c:pt>
                <c:pt idx="3">
                  <c:v>15651.814</c:v>
                </c:pt>
                <c:pt idx="4">
                  <c:v>21209.651000000002</c:v>
                </c:pt>
                <c:pt idx="5">
                  <c:v>65291.366000000002</c:v>
                </c:pt>
                <c:pt idx="6">
                  <c:v>38186.917999999998</c:v>
                </c:pt>
                <c:pt idx="7">
                  <c:v>48358.516000000003</c:v>
                </c:pt>
                <c:pt idx="8">
                  <c:v>50625.148000000001</c:v>
                </c:pt>
                <c:pt idx="9">
                  <c:v>27348.467000000001</c:v>
                </c:pt>
                <c:pt idx="10">
                  <c:v>18306.718000000001</c:v>
                </c:pt>
                <c:pt idx="11">
                  <c:v>18438.8</c:v>
                </c:pt>
                <c:pt idx="12">
                  <c:v>31005.633000000002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D9-452D-8454-5CC367FCBEF2}"/>
            </c:ext>
          </c:extLst>
        </c:ser>
        <c:ser>
          <c:idx val="7"/>
          <c:order val="5"/>
          <c:tx>
            <c:strRef>
              <c:f>Dat_01!$B$223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70AD47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Dat_01!$C$223:$O$223</c:f>
              <c:numCache>
                <c:formatCode>#,##0.0</c:formatCode>
                <c:ptCount val="13"/>
                <c:pt idx="0">
                  <c:v>52735.925999999999</c:v>
                </c:pt>
                <c:pt idx="1">
                  <c:v>63325.637000000002</c:v>
                </c:pt>
                <c:pt idx="2">
                  <c:v>57328.411</c:v>
                </c:pt>
                <c:pt idx="3">
                  <c:v>74208.519</c:v>
                </c:pt>
                <c:pt idx="4">
                  <c:v>31529.169000000002</c:v>
                </c:pt>
                <c:pt idx="5">
                  <c:v>172075.13800000001</c:v>
                </c:pt>
                <c:pt idx="6">
                  <c:v>226398.48300000001</c:v>
                </c:pt>
                <c:pt idx="7">
                  <c:v>166041.867</c:v>
                </c:pt>
                <c:pt idx="8">
                  <c:v>94856.077999999994</c:v>
                </c:pt>
                <c:pt idx="9">
                  <c:v>73842.392999999996</c:v>
                </c:pt>
                <c:pt idx="10">
                  <c:v>70380.335999999996</c:v>
                </c:pt>
                <c:pt idx="11">
                  <c:v>77450.853000000003</c:v>
                </c:pt>
                <c:pt idx="12">
                  <c:v>96700.660999999993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D9-452D-8454-5CC367FCBEF2}"/>
            </c:ext>
          </c:extLst>
        </c:ser>
        <c:ser>
          <c:idx val="8"/>
          <c:order val="6"/>
          <c:tx>
            <c:strRef>
              <c:f>Dat_01!$B$224</c:f>
              <c:strCache>
                <c:ptCount val="1"/>
                <c:pt idx="0">
                  <c:v>Hibridación</c:v>
                </c:pt>
              </c:strCache>
              <c:extLst xmlns:c15="http://schemas.microsoft.com/office/drawing/2012/chart"/>
            </c:strRef>
          </c:tx>
          <c:spPr>
            <a:solidFill>
              <a:srgbClr val="28A064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  <c:extLst xmlns:c15="http://schemas.microsoft.com/office/drawing/2012/chart"/>
            </c:strRef>
          </c:cat>
          <c:val>
            <c:numRef>
              <c:f>Dat_01!$C$224:$O$224</c:f>
              <c:numCache>
                <c:formatCode>#,##0.0</c:formatCode>
                <c:ptCount val="13"/>
                <c:pt idx="0">
                  <c:v>0</c:v>
                </c:pt>
                <c:pt idx="1">
                  <c:v>211.4</c:v>
                </c:pt>
                <c:pt idx="2">
                  <c:v>15.25</c:v>
                </c:pt>
                <c:pt idx="3">
                  <c:v>0</c:v>
                </c:pt>
                <c:pt idx="4">
                  <c:v>0.5</c:v>
                </c:pt>
                <c:pt idx="5">
                  <c:v>25.3</c:v>
                </c:pt>
                <c:pt idx="6">
                  <c:v>20.417000000000002</c:v>
                </c:pt>
                <c:pt idx="7">
                  <c:v>604.35</c:v>
                </c:pt>
                <c:pt idx="8">
                  <c:v>28.25</c:v>
                </c:pt>
                <c:pt idx="9">
                  <c:v>412</c:v>
                </c:pt>
                <c:pt idx="10">
                  <c:v>13.5</c:v>
                </c:pt>
                <c:pt idx="11">
                  <c:v>18.683</c:v>
                </c:pt>
                <c:pt idx="12">
                  <c:v>32.582999999999998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C-BED9-452D-8454-5CC367FCBEF2}"/>
            </c:ext>
          </c:extLst>
        </c:ser>
        <c:ser>
          <c:idx val="10"/>
          <c:order val="8"/>
          <c:tx>
            <c:strRef>
              <c:f>Dat_01!$B$228</c:f>
              <c:strCache>
                <c:ptCount val="1"/>
                <c:pt idx="0">
                  <c:v>Nuclear</c:v>
                </c:pt>
              </c:strCache>
              <c:extLst xmlns:c15="http://schemas.microsoft.com/office/drawing/2012/chart"/>
            </c:strRef>
          </c:tx>
          <c:spPr>
            <a:solidFill>
              <a:srgbClr val="464394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  <c:extLst xmlns:c15="http://schemas.microsoft.com/office/drawing/2012/chart"/>
            </c:strRef>
          </c:cat>
          <c:val>
            <c:numRef>
              <c:f>Dat_01!$C$228:$O$228</c:f>
              <c:numCache>
                <c:formatCode>#,##0.0</c:formatCode>
                <c:ptCount val="13"/>
                <c:pt idx="0">
                  <c:v>8</c:v>
                </c:pt>
                <c:pt idx="1">
                  <c:v>350.21699999999998</c:v>
                </c:pt>
                <c:pt idx="2">
                  <c:v>1195</c:v>
                </c:pt>
                <c:pt idx="3">
                  <c:v>416.85</c:v>
                </c:pt>
                <c:pt idx="4">
                  <c:v>643.25</c:v>
                </c:pt>
                <c:pt idx="5">
                  <c:v>60.75</c:v>
                </c:pt>
                <c:pt idx="6">
                  <c:v>441.5</c:v>
                </c:pt>
                <c:pt idx="7">
                  <c:v>444.93299999999999</c:v>
                </c:pt>
                <c:pt idx="8">
                  <c:v>401.25</c:v>
                </c:pt>
                <c:pt idx="9">
                  <c:v>6337.5</c:v>
                </c:pt>
                <c:pt idx="10">
                  <c:v>2107.75</c:v>
                </c:pt>
                <c:pt idx="11">
                  <c:v>1.75</c:v>
                </c:pt>
                <c:pt idx="12">
                  <c:v>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BED9-452D-8454-5CC367FCBEF2}"/>
            </c:ext>
          </c:extLst>
        </c:ser>
        <c:ser>
          <c:idx val="11"/>
          <c:order val="9"/>
          <c:tx>
            <c:strRef>
              <c:f>Dat_01!$B$229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999FF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54C-4622-B2B4-5566771477CD}"/>
              </c:ext>
            </c:extLst>
          </c:dPt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Dat_01!$C$229:$O$229</c:f>
              <c:numCache>
                <c:formatCode>#,##0.0</c:formatCode>
                <c:ptCount val="13"/>
                <c:pt idx="0">
                  <c:v>2162.36</c:v>
                </c:pt>
                <c:pt idx="1">
                  <c:v>1952.1</c:v>
                </c:pt>
                <c:pt idx="2">
                  <c:v>2307.5140000000001</c:v>
                </c:pt>
                <c:pt idx="3">
                  <c:v>1742.778</c:v>
                </c:pt>
                <c:pt idx="4">
                  <c:v>2462.2339999999999</c:v>
                </c:pt>
                <c:pt idx="5">
                  <c:v>4065.0329999999999</c:v>
                </c:pt>
                <c:pt idx="6">
                  <c:v>3720.0479999999998</c:v>
                </c:pt>
                <c:pt idx="7">
                  <c:v>4124.4660000000003</c:v>
                </c:pt>
                <c:pt idx="8">
                  <c:v>4307.8339999999998</c:v>
                </c:pt>
                <c:pt idx="9">
                  <c:v>7039.6170000000002</c:v>
                </c:pt>
                <c:pt idx="10">
                  <c:v>6951.25</c:v>
                </c:pt>
                <c:pt idx="11">
                  <c:v>6027.9830000000002</c:v>
                </c:pt>
                <c:pt idx="12">
                  <c:v>13395.467000000001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D9-452D-8454-5CC367FCBEF2}"/>
            </c:ext>
          </c:extLst>
        </c:ser>
        <c:ser>
          <c:idx val="12"/>
          <c:order val="10"/>
          <c:tx>
            <c:strRef>
              <c:f>Dat_01!$B$230</c:f>
              <c:strCache>
                <c:ptCount val="1"/>
                <c:pt idx="0">
                  <c:v>Residuos no Renovables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Dat_01!$C$230:$O$230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24</c:v>
                </c:pt>
                <c:pt idx="3">
                  <c:v>11.75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D9-452D-8454-5CC367FCBEF2}"/>
            </c:ext>
          </c:extLst>
        </c:ser>
        <c:ser>
          <c:idx val="13"/>
          <c:order val="11"/>
          <c:tx>
            <c:strRef>
              <c:f>Dat_01!$B$231</c:f>
              <c:strCache>
                <c:ptCount val="1"/>
                <c:pt idx="0">
                  <c:v>Solar fotovoltaica</c:v>
                </c:pt>
              </c:strCache>
              <c:extLst xmlns:c15="http://schemas.microsoft.com/office/drawing/2012/chart"/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  <c:extLst xmlns:c15="http://schemas.microsoft.com/office/drawing/2012/chart"/>
            </c:strRef>
          </c:cat>
          <c:val>
            <c:numRef>
              <c:f>Dat_01!$C$231:$O$231</c:f>
              <c:numCache>
                <c:formatCode>#,##0.0</c:formatCode>
                <c:ptCount val="13"/>
                <c:pt idx="0">
                  <c:v>66270.042000000001</c:v>
                </c:pt>
                <c:pt idx="1">
                  <c:v>79062.11</c:v>
                </c:pt>
                <c:pt idx="2">
                  <c:v>49350.519</c:v>
                </c:pt>
                <c:pt idx="3">
                  <c:v>25768.780999999999</c:v>
                </c:pt>
                <c:pt idx="4">
                  <c:v>6381.4690000000001</c:v>
                </c:pt>
                <c:pt idx="5">
                  <c:v>37857.144999999997</c:v>
                </c:pt>
                <c:pt idx="6">
                  <c:v>244589.13800000001</c:v>
                </c:pt>
                <c:pt idx="7">
                  <c:v>297394.19300000003</c:v>
                </c:pt>
                <c:pt idx="8">
                  <c:v>192102.17</c:v>
                </c:pt>
                <c:pt idx="9">
                  <c:v>112207.73</c:v>
                </c:pt>
                <c:pt idx="10">
                  <c:v>117019.105</c:v>
                </c:pt>
                <c:pt idx="11">
                  <c:v>128951.791</c:v>
                </c:pt>
                <c:pt idx="12">
                  <c:v>181986.78599999999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E-BED9-452D-8454-5CC367FCBEF2}"/>
            </c:ext>
          </c:extLst>
        </c:ser>
        <c:ser>
          <c:idx val="14"/>
          <c:order val="12"/>
          <c:tx>
            <c:strRef>
              <c:f>Dat_01!$B$232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Dat_01!$C$232:$O$232</c:f>
              <c:numCache>
                <c:formatCode>#,##0.0</c:formatCode>
                <c:ptCount val="13"/>
                <c:pt idx="0">
                  <c:v>1365</c:v>
                </c:pt>
                <c:pt idx="1">
                  <c:v>807.75</c:v>
                </c:pt>
                <c:pt idx="2">
                  <c:v>909</c:v>
                </c:pt>
                <c:pt idx="3">
                  <c:v>86.75</c:v>
                </c:pt>
                <c:pt idx="4">
                  <c:v>606.25</c:v>
                </c:pt>
                <c:pt idx="5">
                  <c:v>1893.25</c:v>
                </c:pt>
                <c:pt idx="6">
                  <c:v>2902.5</c:v>
                </c:pt>
                <c:pt idx="7">
                  <c:v>2653.5</c:v>
                </c:pt>
                <c:pt idx="8">
                  <c:v>3265.75</c:v>
                </c:pt>
                <c:pt idx="9">
                  <c:v>1875.75</c:v>
                </c:pt>
                <c:pt idx="10">
                  <c:v>2215.75</c:v>
                </c:pt>
                <c:pt idx="11">
                  <c:v>5234.25</c:v>
                </c:pt>
                <c:pt idx="12">
                  <c:v>6336.25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F-BED9-452D-8454-5CC367FCBEF2}"/>
            </c:ext>
          </c:extLst>
        </c:ser>
        <c:ser>
          <c:idx val="15"/>
          <c:order val="13"/>
          <c:tx>
            <c:strRef>
              <c:f>Dat_01!$B$233</c:f>
              <c:strCache>
                <c:ptCount val="1"/>
                <c:pt idx="0">
                  <c:v>Turbina Vapor, Gas y Fuel</c:v>
                </c:pt>
              </c:strCache>
            </c:strRef>
          </c:tx>
          <c:spPr>
            <a:solidFill>
              <a:srgbClr val="BA0F16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Dat_01!$C$233:$O$233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0-BED9-452D-8454-5CC367FCBEF2}"/>
            </c:ext>
          </c:extLst>
        </c:ser>
        <c:ser>
          <c:idx val="16"/>
          <c:order val="14"/>
          <c:tx>
            <c:strRef>
              <c:f>Dat_01!$B$234</c:f>
              <c:strCache>
                <c:ptCount val="1"/>
                <c:pt idx="0">
                  <c:v>Turbinación bombeo</c:v>
                </c:pt>
              </c:strCache>
            </c:strRef>
          </c:tx>
          <c:spPr>
            <a:solidFill>
              <a:srgbClr val="95B3D7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Dat_01!$C$234:$O$234</c:f>
              <c:numCache>
                <c:formatCode>#,##0.0</c:formatCode>
                <c:ptCount val="13"/>
                <c:pt idx="0">
                  <c:v>10664.65</c:v>
                </c:pt>
                <c:pt idx="1">
                  <c:v>13546.782999999999</c:v>
                </c:pt>
                <c:pt idx="2">
                  <c:v>17828.25</c:v>
                </c:pt>
                <c:pt idx="3">
                  <c:v>8942.5499999999993</c:v>
                </c:pt>
                <c:pt idx="4">
                  <c:v>10255.6</c:v>
                </c:pt>
                <c:pt idx="5">
                  <c:v>30050.967000000001</c:v>
                </c:pt>
                <c:pt idx="6">
                  <c:v>29190.814999999999</c:v>
                </c:pt>
                <c:pt idx="7">
                  <c:v>23030.532999999999</c:v>
                </c:pt>
                <c:pt idx="8">
                  <c:v>23938.75</c:v>
                </c:pt>
                <c:pt idx="9">
                  <c:v>15795.967000000001</c:v>
                </c:pt>
                <c:pt idx="10">
                  <c:v>17496.633000000002</c:v>
                </c:pt>
                <c:pt idx="11">
                  <c:v>18521.275000000001</c:v>
                </c:pt>
                <c:pt idx="12">
                  <c:v>19194.099999999999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ED9-452D-8454-5CC367FCBEF2}"/>
            </c:ext>
          </c:extLst>
        </c:ser>
        <c:ser>
          <c:idx val="6"/>
          <c:order val="15"/>
          <c:tx>
            <c:strRef>
              <c:f>Dat_01!$B$227</c:f>
              <c:strCache>
                <c:ptCount val="1"/>
                <c:pt idx="0">
                  <c:v>Internacionales</c:v>
                </c:pt>
              </c:strCache>
              <c:extLst xmlns:c15="http://schemas.microsoft.com/office/drawing/2012/chart"/>
            </c:strRef>
          </c:tx>
          <c:spPr>
            <a:solidFill>
              <a:srgbClr val="E5DDB7"/>
            </a:solidFill>
            <a:ln>
              <a:noFill/>
            </a:ln>
            <a:effectLst/>
          </c:spPr>
          <c:invertIfNegative val="0"/>
          <c:val>
            <c:numRef>
              <c:f>Dat_01!$C$227:$O$227</c:f>
              <c:numCache>
                <c:formatCode>#,##0.0</c:formatCode>
                <c:ptCount val="13"/>
                <c:pt idx="0">
                  <c:v>35004.25</c:v>
                </c:pt>
                <c:pt idx="1">
                  <c:v>45108.25</c:v>
                </c:pt>
                <c:pt idx="2">
                  <c:v>21705.724999999999</c:v>
                </c:pt>
                <c:pt idx="3">
                  <c:v>6274.25</c:v>
                </c:pt>
                <c:pt idx="4">
                  <c:v>33295.5</c:v>
                </c:pt>
                <c:pt idx="5">
                  <c:v>33967.75</c:v>
                </c:pt>
                <c:pt idx="6">
                  <c:v>12881.5</c:v>
                </c:pt>
                <c:pt idx="7">
                  <c:v>21034.724999999999</c:v>
                </c:pt>
                <c:pt idx="8">
                  <c:v>22465.174999999999</c:v>
                </c:pt>
                <c:pt idx="9">
                  <c:v>28044.25</c:v>
                </c:pt>
                <c:pt idx="10">
                  <c:v>37589.949999999997</c:v>
                </c:pt>
                <c:pt idx="11">
                  <c:v>34594</c:v>
                </c:pt>
                <c:pt idx="12">
                  <c:v>35301.724999999999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658E-41E0-8124-49BFF7EB4A61}"/>
            </c:ext>
          </c:extLst>
        </c:ser>
        <c:ser>
          <c:idx val="18"/>
          <c:order val="16"/>
          <c:tx>
            <c:strRef>
              <c:f>Dat_01!$B$225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Dat_01!$C$225:$O$225</c:f>
              <c:numCache>
                <c:formatCode>#,##0.0</c:formatCode>
                <c:ptCount val="13"/>
                <c:pt idx="0">
                  <c:v>11833.25</c:v>
                </c:pt>
                <c:pt idx="1">
                  <c:v>35547.775999999998</c:v>
                </c:pt>
                <c:pt idx="2">
                  <c:v>21124.741000000002</c:v>
                </c:pt>
                <c:pt idx="3">
                  <c:v>14523.97</c:v>
                </c:pt>
                <c:pt idx="4">
                  <c:v>20973.499</c:v>
                </c:pt>
                <c:pt idx="5">
                  <c:v>50957.332999999999</c:v>
                </c:pt>
                <c:pt idx="6">
                  <c:v>33449.748</c:v>
                </c:pt>
                <c:pt idx="7">
                  <c:v>98937.600000000006</c:v>
                </c:pt>
                <c:pt idx="8">
                  <c:v>32663.774000000001</c:v>
                </c:pt>
                <c:pt idx="9">
                  <c:v>22813.348999999998</c:v>
                </c:pt>
                <c:pt idx="10">
                  <c:v>23070.082999999999</c:v>
                </c:pt>
                <c:pt idx="11">
                  <c:v>26167.082999999999</c:v>
                </c:pt>
                <c:pt idx="12">
                  <c:v>31642.15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00-474D-9580-6BA5FFE9A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3148848"/>
        <c:axId val="403149240"/>
        <c:extLst>
          <c:ext xmlns:c15="http://schemas.microsoft.com/office/drawing/2012/chart" uri="{02D57815-91ED-43cb-92C2-25804820EDAC}">
            <c15:filteredBarSeries>
              <c15:ser>
                <c:idx val="9"/>
                <c:order val="7"/>
                <c:tx>
                  <c:strRef>
                    <c:extLst>
                      <c:ext uri="{02D57815-91ED-43cb-92C2-25804820EDAC}">
                        <c15:formulaRef>
                          <c15:sqref>Dat_01!$B$226</c15:sqref>
                        </c15:formulaRef>
                      </c:ext>
                    </c:extLst>
                    <c:strCache>
                      <c:ptCount val="1"/>
                      <c:pt idx="0">
                        <c:v>Instrumentales DESV</c:v>
                      </c:pt>
                    </c:strCache>
                  </c:strRef>
                </c:tx>
                <c:spPr>
                  <a:solidFill>
                    <a:srgbClr val="0090D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Dat_01!$C$194:$O$194</c15:sqref>
                        </c15:formulaRef>
                      </c:ext>
                    </c:extLst>
                    <c:strCache>
                      <c:ptCount val="13"/>
                      <c:pt idx="0">
                        <c:v>A</c:v>
                      </c:pt>
                      <c:pt idx="1">
                        <c:v>S</c:v>
                      </c:pt>
                      <c:pt idx="2">
                        <c:v>O</c:v>
                      </c:pt>
                      <c:pt idx="3">
                        <c:v>N</c:v>
                      </c:pt>
                      <c:pt idx="4">
                        <c:v>D</c:v>
                      </c:pt>
                      <c:pt idx="5">
                        <c:v>E</c:v>
                      </c:pt>
                      <c:pt idx="6">
                        <c:v>F</c:v>
                      </c:pt>
                      <c:pt idx="7">
                        <c:v>M</c:v>
                      </c:pt>
                      <c:pt idx="8">
                        <c:v>A</c:v>
                      </c:pt>
                      <c:pt idx="9">
                        <c:v>M</c:v>
                      </c:pt>
                      <c:pt idx="10">
                        <c:v>J</c:v>
                      </c:pt>
                      <c:pt idx="11">
                        <c:v>J</c:v>
                      </c:pt>
                      <c:pt idx="12">
                        <c:v>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Dat_01!$C$226:$O$226</c15:sqref>
                        </c15:formulaRef>
                      </c:ext>
                    </c:extLst>
                    <c:numCache>
                      <c:formatCode>#,##0.0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BED9-452D-8454-5CC367FCBEF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7"/>
          <c:order val="17"/>
          <c:tx>
            <c:v>Precio medio subir</c:v>
          </c:tx>
          <c:spPr>
            <a:ln w="28575" cap="rnd">
              <a:solidFill>
                <a:srgbClr val="004563"/>
              </a:solidFill>
              <a:round/>
            </a:ln>
            <a:effectLst/>
          </c:spPr>
          <c:marker>
            <c:symbol val="none"/>
          </c:marker>
          <c:val>
            <c:numRef>
              <c:f>Dat_01!$C$420:$O$420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D9-452D-8454-5CC367FCBEF2}"/>
            </c:ext>
          </c:extLst>
        </c:ser>
        <c:ser>
          <c:idx val="0"/>
          <c:order val="18"/>
          <c:tx>
            <c:v>Precio medio bajar</c:v>
          </c:tx>
          <c:spPr>
            <a:ln w="28575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val>
            <c:numRef>
              <c:f>Dat_01!$C$419:$O$419</c:f>
              <c:numCache>
                <c:formatCode>#,##0.00</c:formatCode>
                <c:ptCount val="13"/>
                <c:pt idx="0">
                  <c:v>15.012926886100001</c:v>
                </c:pt>
                <c:pt idx="1">
                  <c:v>0.25983211550000002</c:v>
                </c:pt>
                <c:pt idx="2">
                  <c:v>32.758575262699999</c:v>
                </c:pt>
                <c:pt idx="3">
                  <c:v>15.736337971199999</c:v>
                </c:pt>
                <c:pt idx="4">
                  <c:v>44.960934410900002</c:v>
                </c:pt>
                <c:pt idx="5">
                  <c:v>25.704341869</c:v>
                </c:pt>
                <c:pt idx="6">
                  <c:v>-4.6515428505000003</c:v>
                </c:pt>
                <c:pt idx="7">
                  <c:v>-3.5963361356000001</c:v>
                </c:pt>
                <c:pt idx="8">
                  <c:v>2.2148005276</c:v>
                </c:pt>
                <c:pt idx="9">
                  <c:v>11.137572520699999</c:v>
                </c:pt>
                <c:pt idx="10">
                  <c:v>18.572375337299999</c:v>
                </c:pt>
                <c:pt idx="11">
                  <c:v>28.812205579800001</c:v>
                </c:pt>
                <c:pt idx="12">
                  <c:v>47.723712989299997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D9-452D-8454-5CC367FCB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370712"/>
        <c:axId val="531370320"/>
      </c:lineChart>
      <c:catAx>
        <c:axId val="40314884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low"/>
        <c:crossAx val="403149240"/>
        <c:crosses val="autoZero"/>
        <c:auto val="1"/>
        <c:lblAlgn val="ctr"/>
        <c:lblOffset val="100"/>
        <c:noMultiLvlLbl val="0"/>
      </c:catAx>
      <c:valAx>
        <c:axId val="403149240"/>
        <c:scaling>
          <c:orientation val="maxMin"/>
          <c:min val="0"/>
        </c:scaling>
        <c:delete val="0"/>
        <c:axPos val="l"/>
        <c:majorGridlines>
          <c:spPr>
            <a:ln w="3175" cap="flat" cmpd="sng" algn="ctr">
              <a:solidFill>
                <a:srgbClr val="004563"/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03148848"/>
        <c:crosses val="autoZero"/>
        <c:crossBetween val="between"/>
        <c:majorUnit val="100000"/>
        <c:dispUnits>
          <c:builtInUnit val="thousands"/>
        </c:dispUnits>
      </c:valAx>
      <c:valAx>
        <c:axId val="531370320"/>
        <c:scaling>
          <c:orientation val="maxMin"/>
          <c:max val="150"/>
          <c:min val="-25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1370712"/>
        <c:crosses val="max"/>
        <c:crossBetween val="between"/>
        <c:majorUnit val="25"/>
      </c:valAx>
      <c:catAx>
        <c:axId val="531370712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5313703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7704912466000155E-2"/>
          <c:y val="0.79297942337670235"/>
          <c:w val="0.94062324098319727"/>
          <c:h val="0.20702057662329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rgbClr val="004563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20764015396735E-2"/>
          <c:y val="0.17775684317079388"/>
          <c:w val="0.90427766318885094"/>
          <c:h val="0.681554009979161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Dat_01!$B$198</c:f>
              <c:strCache>
                <c:ptCount val="1"/>
                <c:pt idx="0">
                  <c:v>Almacenamiento</c:v>
                </c:pt>
              </c:strCache>
              <c:extLst xmlns:c15="http://schemas.microsoft.com/office/drawing/2012/chart"/>
            </c:strRef>
          </c:tx>
          <c:spPr>
            <a:solidFill>
              <a:srgbClr val="31859C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  <c:extLst xmlns:c15="http://schemas.microsoft.com/office/drawing/2012/chart"/>
            </c:strRef>
          </c:cat>
          <c:val>
            <c:numRef>
              <c:f>Dat_01!$C$198:$O$198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16.082999999999998</c:v>
                </c:pt>
                <c:pt idx="8">
                  <c:v>8</c:v>
                </c:pt>
                <c:pt idx="9">
                  <c:v>10.5</c:v>
                </c:pt>
                <c:pt idx="10">
                  <c:v>27.25</c:v>
                </c:pt>
                <c:pt idx="11">
                  <c:v>28.1</c:v>
                </c:pt>
                <c:pt idx="12">
                  <c:v>15.85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A-2655-43B4-8799-F66FBECD481A}"/>
            </c:ext>
          </c:extLst>
        </c:ser>
        <c:ser>
          <c:idx val="2"/>
          <c:order val="1"/>
          <c:tx>
            <c:strRef>
              <c:f>Dat_01!$B$199</c:f>
              <c:strCache>
                <c:ptCount val="1"/>
                <c:pt idx="0">
                  <c:v>Carbón</c:v>
                </c:pt>
              </c:strCache>
            </c:strRef>
          </c:tx>
          <c:spPr>
            <a:solidFill>
              <a:srgbClr val="993300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Dat_01!$C$199:$O$199</c:f>
              <c:numCache>
                <c:formatCode>#,##0.0</c:formatCode>
                <c:ptCount val="13"/>
                <c:pt idx="0">
                  <c:v>0</c:v>
                </c:pt>
                <c:pt idx="1">
                  <c:v>90</c:v>
                </c:pt>
                <c:pt idx="2">
                  <c:v>457.41699999999997</c:v>
                </c:pt>
                <c:pt idx="3">
                  <c:v>20</c:v>
                </c:pt>
                <c:pt idx="4">
                  <c:v>252.51499999999999</c:v>
                </c:pt>
                <c:pt idx="5">
                  <c:v>859</c:v>
                </c:pt>
                <c:pt idx="6">
                  <c:v>0</c:v>
                </c:pt>
                <c:pt idx="7">
                  <c:v>276.5</c:v>
                </c:pt>
                <c:pt idx="8">
                  <c:v>2.5</c:v>
                </c:pt>
                <c:pt idx="9">
                  <c:v>118.5</c:v>
                </c:pt>
                <c:pt idx="10">
                  <c:v>228.75</c:v>
                </c:pt>
                <c:pt idx="11">
                  <c:v>1047.75</c:v>
                </c:pt>
                <c:pt idx="12">
                  <c:v>441.5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55-43B4-8799-F66FBECD481A}"/>
            </c:ext>
          </c:extLst>
        </c:ser>
        <c:ser>
          <c:idx val="3"/>
          <c:order val="2"/>
          <c:tx>
            <c:strRef>
              <c:f>Dat_01!$B$200</c:f>
              <c:strCache>
                <c:ptCount val="1"/>
                <c:pt idx="0">
                  <c:v>Ciclo Combinado</c:v>
                </c:pt>
              </c:strCache>
            </c:strRef>
          </c:tx>
          <c:spPr>
            <a:solidFill>
              <a:srgbClr val="FFCC66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Dat_01!$C$200:$O$200</c:f>
              <c:numCache>
                <c:formatCode>#,##0.0</c:formatCode>
                <c:ptCount val="13"/>
                <c:pt idx="0">
                  <c:v>179282</c:v>
                </c:pt>
                <c:pt idx="1">
                  <c:v>112488.129</c:v>
                </c:pt>
                <c:pt idx="2">
                  <c:v>211916.53700000001</c:v>
                </c:pt>
                <c:pt idx="3">
                  <c:v>207366.633</c:v>
                </c:pt>
                <c:pt idx="4">
                  <c:v>266092.64399999997</c:v>
                </c:pt>
                <c:pt idx="5">
                  <c:v>302103.14199999999</c:v>
                </c:pt>
                <c:pt idx="6">
                  <c:v>51089.714</c:v>
                </c:pt>
                <c:pt idx="7">
                  <c:v>107733.439</c:v>
                </c:pt>
                <c:pt idx="8">
                  <c:v>138822.27600000001</c:v>
                </c:pt>
                <c:pt idx="9">
                  <c:v>237392.67300000001</c:v>
                </c:pt>
                <c:pt idx="10">
                  <c:v>374317.42099999997</c:v>
                </c:pt>
                <c:pt idx="11">
                  <c:v>592534.18000000005</c:v>
                </c:pt>
                <c:pt idx="12">
                  <c:v>437219.95199999999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55-43B4-8799-F66FBECD481A}"/>
            </c:ext>
          </c:extLst>
        </c:ser>
        <c:ser>
          <c:idx val="4"/>
          <c:order val="3"/>
          <c:tx>
            <c:strRef>
              <c:f>Dat_01!$B$201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CFA2CA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Dat_01!$C$201:$O$201</c:f>
              <c:numCache>
                <c:formatCode>#,##0.0</c:formatCode>
                <c:ptCount val="13"/>
                <c:pt idx="0">
                  <c:v>173.25</c:v>
                </c:pt>
                <c:pt idx="1">
                  <c:v>239.75</c:v>
                </c:pt>
                <c:pt idx="2">
                  <c:v>585.11699999999996</c:v>
                </c:pt>
                <c:pt idx="3">
                  <c:v>165.75</c:v>
                </c:pt>
                <c:pt idx="4">
                  <c:v>189.25</c:v>
                </c:pt>
                <c:pt idx="5">
                  <c:v>228</c:v>
                </c:pt>
                <c:pt idx="6">
                  <c:v>295.75</c:v>
                </c:pt>
                <c:pt idx="7">
                  <c:v>316.5</c:v>
                </c:pt>
                <c:pt idx="8">
                  <c:v>453.25</c:v>
                </c:pt>
                <c:pt idx="9">
                  <c:v>688.98299999999995</c:v>
                </c:pt>
                <c:pt idx="10">
                  <c:v>384.75</c:v>
                </c:pt>
                <c:pt idx="11">
                  <c:v>546.75</c:v>
                </c:pt>
                <c:pt idx="12">
                  <c:v>511.75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55-43B4-8799-F66FBECD481A}"/>
            </c:ext>
          </c:extLst>
        </c:ser>
        <c:ser>
          <c:idx val="5"/>
          <c:order val="4"/>
          <c:tx>
            <c:strRef>
              <c:f>Dat_01!$B$202</c:f>
              <c:strCache>
                <c:ptCount val="1"/>
                <c:pt idx="0">
                  <c:v>Consumo Bombeo</c:v>
                </c:pt>
              </c:strCache>
            </c:strRef>
          </c:tx>
          <c:spPr>
            <a:solidFill>
              <a:srgbClr val="2C4D75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Dat_01!$C$202:$O$202</c:f>
              <c:numCache>
                <c:formatCode>#,##0.0</c:formatCode>
                <c:ptCount val="13"/>
                <c:pt idx="0">
                  <c:v>17965.3</c:v>
                </c:pt>
                <c:pt idx="1">
                  <c:v>19717.983</c:v>
                </c:pt>
                <c:pt idx="2">
                  <c:v>20295.434000000001</c:v>
                </c:pt>
                <c:pt idx="3">
                  <c:v>31749.741000000002</c:v>
                </c:pt>
                <c:pt idx="4">
                  <c:v>19420.499</c:v>
                </c:pt>
                <c:pt idx="5">
                  <c:v>21825</c:v>
                </c:pt>
                <c:pt idx="6">
                  <c:v>12831.683999999999</c:v>
                </c:pt>
                <c:pt idx="7">
                  <c:v>12645.133</c:v>
                </c:pt>
                <c:pt idx="8">
                  <c:v>26044.350999999999</c:v>
                </c:pt>
                <c:pt idx="9">
                  <c:v>27490.799999999999</c:v>
                </c:pt>
                <c:pt idx="10">
                  <c:v>22718.749</c:v>
                </c:pt>
                <c:pt idx="11">
                  <c:v>5632.4579999999996</c:v>
                </c:pt>
                <c:pt idx="12">
                  <c:v>9386.5159999999996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55-43B4-8799-F66FBECD481A}"/>
            </c:ext>
          </c:extLst>
        </c:ser>
        <c:ser>
          <c:idx val="6"/>
          <c:order val="5"/>
          <c:tx>
            <c:strRef>
              <c:f>Dat_01!$B$205</c:f>
              <c:strCache>
                <c:ptCount val="1"/>
                <c:pt idx="0">
                  <c:v>Hibridación</c:v>
                </c:pt>
              </c:strCache>
              <c:extLst xmlns:c15="http://schemas.microsoft.com/office/drawing/2012/chart"/>
            </c:strRef>
          </c:tx>
          <c:spPr>
            <a:solidFill>
              <a:srgbClr val="28A064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  <c:extLst xmlns:c15="http://schemas.microsoft.com/office/drawing/2012/chart"/>
            </c:strRef>
          </c:cat>
          <c:val>
            <c:numRef>
              <c:f>Dat_01!$C$205:$O$205</c:f>
              <c:numCache>
                <c:formatCode>#,##0.0</c:formatCode>
                <c:ptCount val="13"/>
                <c:pt idx="0">
                  <c:v>0</c:v>
                </c:pt>
                <c:pt idx="1">
                  <c:v>29.75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297.25</c:v>
                </c:pt>
                <c:pt idx="8">
                  <c:v>251.5</c:v>
                </c:pt>
                <c:pt idx="9">
                  <c:v>475.5</c:v>
                </c:pt>
                <c:pt idx="10">
                  <c:v>1563.2670000000001</c:v>
                </c:pt>
                <c:pt idx="11">
                  <c:v>484.52499999999998</c:v>
                </c:pt>
                <c:pt idx="12">
                  <c:v>510.267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B-2655-43B4-8799-F66FBECD481A}"/>
            </c:ext>
          </c:extLst>
        </c:ser>
        <c:ser>
          <c:idx val="7"/>
          <c:order val="6"/>
          <c:tx>
            <c:strRef>
              <c:f>Dat_01!$B$204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70AD47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Dat_01!$C$204:$O$204</c:f>
              <c:numCache>
                <c:formatCode>#,##0.0</c:formatCode>
                <c:ptCount val="13"/>
                <c:pt idx="0">
                  <c:v>16005.75</c:v>
                </c:pt>
                <c:pt idx="1">
                  <c:v>16576.755000000001</c:v>
                </c:pt>
                <c:pt idx="2">
                  <c:v>26293.483</c:v>
                </c:pt>
                <c:pt idx="3">
                  <c:v>21238.094000000001</c:v>
                </c:pt>
                <c:pt idx="4">
                  <c:v>18071.8</c:v>
                </c:pt>
                <c:pt idx="5">
                  <c:v>31834.75</c:v>
                </c:pt>
                <c:pt idx="6">
                  <c:v>56996.767999999996</c:v>
                </c:pt>
                <c:pt idx="7">
                  <c:v>26623.45</c:v>
                </c:pt>
                <c:pt idx="8">
                  <c:v>32199.156999999999</c:v>
                </c:pt>
                <c:pt idx="9">
                  <c:v>31787.814999999999</c:v>
                </c:pt>
                <c:pt idx="10">
                  <c:v>42538.857000000004</c:v>
                </c:pt>
                <c:pt idx="11">
                  <c:v>17088.772000000001</c:v>
                </c:pt>
                <c:pt idx="12">
                  <c:v>14494.668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55-43B4-8799-F66FBECD481A}"/>
            </c:ext>
          </c:extLst>
        </c:ser>
        <c:ser>
          <c:idx val="8"/>
          <c:order val="7"/>
          <c:tx>
            <c:strRef>
              <c:f>Dat_01!$B$209</c:f>
              <c:strCache>
                <c:ptCount val="1"/>
                <c:pt idx="0">
                  <c:v>Nuclear</c:v>
                </c:pt>
              </c:strCache>
              <c:extLst xmlns:c15="http://schemas.microsoft.com/office/drawing/2012/chart"/>
            </c:strRef>
          </c:tx>
          <c:spPr>
            <a:solidFill>
              <a:srgbClr val="464394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  <c:extLst xmlns:c15="http://schemas.microsoft.com/office/drawing/2012/chart"/>
            </c:strRef>
          </c:cat>
          <c:val>
            <c:numRef>
              <c:f>Dat_01!$C$209:$O$209</c:f>
              <c:numCache>
                <c:formatCode>#,##0.0</c:formatCode>
                <c:ptCount val="13"/>
                <c:pt idx="0">
                  <c:v>632.15</c:v>
                </c:pt>
                <c:pt idx="1">
                  <c:v>153.69999999999999</c:v>
                </c:pt>
                <c:pt idx="2">
                  <c:v>197.75</c:v>
                </c:pt>
                <c:pt idx="3">
                  <c:v>817.75</c:v>
                </c:pt>
                <c:pt idx="4">
                  <c:v>393.5</c:v>
                </c:pt>
                <c:pt idx="5">
                  <c:v>266.25</c:v>
                </c:pt>
                <c:pt idx="6">
                  <c:v>83.75</c:v>
                </c:pt>
                <c:pt idx="7">
                  <c:v>576.75</c:v>
                </c:pt>
                <c:pt idx="8">
                  <c:v>5.25</c:v>
                </c:pt>
                <c:pt idx="9">
                  <c:v>453.25</c:v>
                </c:pt>
                <c:pt idx="10">
                  <c:v>1134</c:v>
                </c:pt>
                <c:pt idx="11">
                  <c:v>683.8</c:v>
                </c:pt>
                <c:pt idx="12">
                  <c:v>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C-2655-43B4-8799-F66FBECD481A}"/>
            </c:ext>
          </c:extLst>
        </c:ser>
        <c:ser>
          <c:idx val="9"/>
          <c:order val="8"/>
          <c:tx>
            <c:strRef>
              <c:f>Dat_01!$B$208</c:f>
              <c:strCache>
                <c:ptCount val="1"/>
                <c:pt idx="0">
                  <c:v>Internacionales</c:v>
                </c:pt>
              </c:strCache>
            </c:strRef>
          </c:tx>
          <c:spPr>
            <a:solidFill>
              <a:srgbClr val="E5DDB7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Dat_01!$C$208:$O$208</c:f>
              <c:numCache>
                <c:formatCode>#,##0.0</c:formatCode>
                <c:ptCount val="13"/>
                <c:pt idx="0">
                  <c:v>39299.75</c:v>
                </c:pt>
                <c:pt idx="1">
                  <c:v>29569.5</c:v>
                </c:pt>
                <c:pt idx="2">
                  <c:v>15003</c:v>
                </c:pt>
                <c:pt idx="3">
                  <c:v>4295.125</c:v>
                </c:pt>
                <c:pt idx="4">
                  <c:v>46489.75</c:v>
                </c:pt>
                <c:pt idx="5">
                  <c:v>46037.25</c:v>
                </c:pt>
                <c:pt idx="6">
                  <c:v>28493.75</c:v>
                </c:pt>
                <c:pt idx="7">
                  <c:v>47083.724999999999</c:v>
                </c:pt>
                <c:pt idx="8">
                  <c:v>34373</c:v>
                </c:pt>
                <c:pt idx="9">
                  <c:v>59999.25</c:v>
                </c:pt>
                <c:pt idx="10">
                  <c:v>63093.474999999999</c:v>
                </c:pt>
                <c:pt idx="11">
                  <c:v>54662.45</c:v>
                </c:pt>
                <c:pt idx="12">
                  <c:v>99943.95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55-43B4-8799-F66FBECD481A}"/>
            </c:ext>
          </c:extLst>
        </c:ser>
        <c:ser>
          <c:idx val="11"/>
          <c:order val="9"/>
          <c:tx>
            <c:strRef>
              <c:f>Dat_01!$B$210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999FF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Dat_01!$C$210:$O$210</c:f>
              <c:numCache>
                <c:formatCode>#,##0.0</c:formatCode>
                <c:ptCount val="13"/>
                <c:pt idx="0">
                  <c:v>547.04999999999995</c:v>
                </c:pt>
                <c:pt idx="1">
                  <c:v>388.13299999999998</c:v>
                </c:pt>
                <c:pt idx="2">
                  <c:v>806.63199999999995</c:v>
                </c:pt>
                <c:pt idx="3">
                  <c:v>592.50099999999998</c:v>
                </c:pt>
                <c:pt idx="4">
                  <c:v>703.6</c:v>
                </c:pt>
                <c:pt idx="5">
                  <c:v>1370.1489999999999</c:v>
                </c:pt>
                <c:pt idx="6">
                  <c:v>1479.4169999999999</c:v>
                </c:pt>
                <c:pt idx="7">
                  <c:v>1455.6669999999999</c:v>
                </c:pt>
                <c:pt idx="8">
                  <c:v>3701.65</c:v>
                </c:pt>
                <c:pt idx="9">
                  <c:v>4671.75</c:v>
                </c:pt>
                <c:pt idx="10">
                  <c:v>9331.75</c:v>
                </c:pt>
                <c:pt idx="11">
                  <c:v>4217.8829999999998</c:v>
                </c:pt>
                <c:pt idx="12">
                  <c:v>3621.25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655-43B4-8799-F66FBECD481A}"/>
            </c:ext>
          </c:extLst>
        </c:ser>
        <c:ser>
          <c:idx val="12"/>
          <c:order val="10"/>
          <c:tx>
            <c:strRef>
              <c:f>Dat_01!$B$211</c:f>
              <c:strCache>
                <c:ptCount val="1"/>
                <c:pt idx="0">
                  <c:v>Residuos no Renovables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Dat_01!$C$211:$O$211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133.5</c:v>
                </c:pt>
                <c:pt idx="3">
                  <c:v>901.5</c:v>
                </c:pt>
                <c:pt idx="4">
                  <c:v>405.25</c:v>
                </c:pt>
                <c:pt idx="5">
                  <c:v>414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366.5</c:v>
                </c:pt>
                <c:pt idx="11">
                  <c:v>7.5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655-43B4-8799-F66FBECD481A}"/>
            </c:ext>
          </c:extLst>
        </c:ser>
        <c:ser>
          <c:idx val="13"/>
          <c:order val="11"/>
          <c:tx>
            <c:strRef>
              <c:f>Dat_01!$B$212</c:f>
              <c:strCache>
                <c:ptCount val="1"/>
                <c:pt idx="0">
                  <c:v>Solar fotovoltaica</c:v>
                </c:pt>
              </c:strCache>
              <c:extLst xmlns:c15="http://schemas.microsoft.com/office/drawing/2012/chart"/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  <c:extLst xmlns:c15="http://schemas.microsoft.com/office/drawing/2012/chart"/>
            </c:strRef>
          </c:cat>
          <c:val>
            <c:numRef>
              <c:f>Dat_01!$C$212:$O$212</c:f>
              <c:numCache>
                <c:formatCode>#,##0.0</c:formatCode>
                <c:ptCount val="13"/>
                <c:pt idx="0">
                  <c:v>22896.5</c:v>
                </c:pt>
                <c:pt idx="1">
                  <c:v>14205.386</c:v>
                </c:pt>
                <c:pt idx="2">
                  <c:v>9987.0589999999993</c:v>
                </c:pt>
                <c:pt idx="3">
                  <c:v>4838.0010000000002</c:v>
                </c:pt>
                <c:pt idx="4">
                  <c:v>4763.4480000000003</c:v>
                </c:pt>
                <c:pt idx="5">
                  <c:v>6277.7669999999998</c:v>
                </c:pt>
                <c:pt idx="6">
                  <c:v>8331.3809999999994</c:v>
                </c:pt>
                <c:pt idx="7">
                  <c:v>8738.0190000000002</c:v>
                </c:pt>
                <c:pt idx="8">
                  <c:v>17272.044999999998</c:v>
                </c:pt>
                <c:pt idx="9">
                  <c:v>27355.185000000001</c:v>
                </c:pt>
                <c:pt idx="10">
                  <c:v>36159.18</c:v>
                </c:pt>
                <c:pt idx="11">
                  <c:v>25420.473000000002</c:v>
                </c:pt>
                <c:pt idx="12">
                  <c:v>11792.266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2655-43B4-8799-F66FBECD481A}"/>
            </c:ext>
          </c:extLst>
        </c:ser>
        <c:ser>
          <c:idx val="14"/>
          <c:order val="12"/>
          <c:tx>
            <c:strRef>
              <c:f>Dat_01!$B$213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Dat_01!$C$213:$O$213</c:f>
              <c:numCache>
                <c:formatCode>#,##0.0</c:formatCode>
                <c:ptCount val="13"/>
                <c:pt idx="0">
                  <c:v>301.75</c:v>
                </c:pt>
                <c:pt idx="1">
                  <c:v>325.25</c:v>
                </c:pt>
                <c:pt idx="2">
                  <c:v>564.75</c:v>
                </c:pt>
                <c:pt idx="3">
                  <c:v>122.25</c:v>
                </c:pt>
                <c:pt idx="4">
                  <c:v>165.25</c:v>
                </c:pt>
                <c:pt idx="5">
                  <c:v>126.25</c:v>
                </c:pt>
                <c:pt idx="6">
                  <c:v>351</c:v>
                </c:pt>
                <c:pt idx="7">
                  <c:v>1182.5</c:v>
                </c:pt>
                <c:pt idx="8">
                  <c:v>1180.5</c:v>
                </c:pt>
                <c:pt idx="9">
                  <c:v>1839</c:v>
                </c:pt>
                <c:pt idx="10">
                  <c:v>2209.75</c:v>
                </c:pt>
                <c:pt idx="11">
                  <c:v>919.85</c:v>
                </c:pt>
                <c:pt idx="12">
                  <c:v>1062.25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E-2655-43B4-8799-F66FBECD481A}"/>
            </c:ext>
          </c:extLst>
        </c:ser>
        <c:ser>
          <c:idx val="15"/>
          <c:order val="13"/>
          <c:tx>
            <c:strRef>
              <c:f>Dat_01!$B$214</c:f>
              <c:strCache>
                <c:ptCount val="1"/>
                <c:pt idx="0">
                  <c:v>Turbina Vapor, Gas y Fuel</c:v>
                </c:pt>
              </c:strCache>
            </c:strRef>
          </c:tx>
          <c:spPr>
            <a:solidFill>
              <a:srgbClr val="BA0F16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Dat_01!$C$214:$O$214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F-2655-43B4-8799-F66FBECD481A}"/>
            </c:ext>
          </c:extLst>
        </c:ser>
        <c:ser>
          <c:idx val="16"/>
          <c:order val="14"/>
          <c:tx>
            <c:strRef>
              <c:f>Dat_01!$B$215</c:f>
              <c:strCache>
                <c:ptCount val="1"/>
                <c:pt idx="0">
                  <c:v>Turbinación bombeo</c:v>
                </c:pt>
              </c:strCache>
            </c:strRef>
          </c:tx>
          <c:spPr>
            <a:solidFill>
              <a:srgbClr val="95B3D7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Dat_01!$C$215:$O$215</c:f>
              <c:numCache>
                <c:formatCode>#,##0.0</c:formatCode>
                <c:ptCount val="13"/>
                <c:pt idx="0">
                  <c:v>20287.816999999999</c:v>
                </c:pt>
                <c:pt idx="1">
                  <c:v>18414.18</c:v>
                </c:pt>
                <c:pt idx="2">
                  <c:v>16800.466</c:v>
                </c:pt>
                <c:pt idx="3">
                  <c:v>17768.901999999998</c:v>
                </c:pt>
                <c:pt idx="4">
                  <c:v>29822.548999999999</c:v>
                </c:pt>
                <c:pt idx="5">
                  <c:v>42487.55</c:v>
                </c:pt>
                <c:pt idx="6">
                  <c:v>18170.684000000001</c:v>
                </c:pt>
                <c:pt idx="7">
                  <c:v>34499.985000000001</c:v>
                </c:pt>
                <c:pt idx="8">
                  <c:v>34189.949999999997</c:v>
                </c:pt>
                <c:pt idx="9">
                  <c:v>42308.567999999999</c:v>
                </c:pt>
                <c:pt idx="10">
                  <c:v>30044.901000000002</c:v>
                </c:pt>
                <c:pt idx="11">
                  <c:v>11144.159</c:v>
                </c:pt>
                <c:pt idx="12">
                  <c:v>16302.637000000001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55-43B4-8799-F66FBECD481A}"/>
            </c:ext>
          </c:extLst>
        </c:ser>
        <c:ser>
          <c:idx val="10"/>
          <c:order val="15"/>
          <c:tx>
            <c:strRef>
              <c:f>Dat_01!$B$206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Dat_01!$C$206:$O$206</c:f>
              <c:numCache>
                <c:formatCode>#,##0.0</c:formatCode>
                <c:ptCount val="13"/>
                <c:pt idx="0">
                  <c:v>54636.866999999998</c:v>
                </c:pt>
                <c:pt idx="1">
                  <c:v>20999.040000000001</c:v>
                </c:pt>
                <c:pt idx="2">
                  <c:v>53616.607000000004</c:v>
                </c:pt>
                <c:pt idx="3">
                  <c:v>43671.635000000002</c:v>
                </c:pt>
                <c:pt idx="4">
                  <c:v>78431.933999999994</c:v>
                </c:pt>
                <c:pt idx="5">
                  <c:v>67707.217999999993</c:v>
                </c:pt>
                <c:pt idx="6">
                  <c:v>34524.767999999996</c:v>
                </c:pt>
                <c:pt idx="7">
                  <c:v>78338.381999999998</c:v>
                </c:pt>
                <c:pt idx="8">
                  <c:v>90073.433999999994</c:v>
                </c:pt>
                <c:pt idx="9">
                  <c:v>57249.152999999998</c:v>
                </c:pt>
                <c:pt idx="10">
                  <c:v>93703.267999999996</c:v>
                </c:pt>
                <c:pt idx="11">
                  <c:v>60243.582000000002</c:v>
                </c:pt>
                <c:pt idx="12">
                  <c:v>40783.667000000001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B-44F0-B5DD-BF0F149D1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1371496"/>
        <c:axId val="531371888"/>
        <c:extLst/>
      </c:barChart>
      <c:lineChart>
        <c:grouping val="standard"/>
        <c:varyColors val="0"/>
        <c:ser>
          <c:idx val="0"/>
          <c:order val="16"/>
          <c:tx>
            <c:v>Precio medio subir</c:v>
          </c:tx>
          <c:spPr>
            <a:ln w="28575" cap="rnd">
              <a:solidFill>
                <a:srgbClr val="004563"/>
              </a:solidFill>
              <a:round/>
            </a:ln>
            <a:effectLst/>
          </c:spPr>
          <c:marker>
            <c:symbol val="none"/>
          </c:marker>
          <c:cat>
            <c:strRef>
              <c:f>Dat_01!$C$194:$O$194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Dat_01!$C$415:$O$415</c:f>
              <c:numCache>
                <c:formatCode>#,##0.00</c:formatCode>
                <c:ptCount val="13"/>
                <c:pt idx="0">
                  <c:v>109.9492029741</c:v>
                </c:pt>
                <c:pt idx="1">
                  <c:v>94.673383029199996</c:v>
                </c:pt>
                <c:pt idx="2">
                  <c:v>107.2113005402</c:v>
                </c:pt>
                <c:pt idx="3">
                  <c:v>96.675296389500005</c:v>
                </c:pt>
                <c:pt idx="4">
                  <c:v>100.82860255590001</c:v>
                </c:pt>
                <c:pt idx="5">
                  <c:v>116.26221271990001</c:v>
                </c:pt>
                <c:pt idx="6">
                  <c:v>53.062662903499998</c:v>
                </c:pt>
                <c:pt idx="7">
                  <c:v>95.202608416299995</c:v>
                </c:pt>
                <c:pt idx="8">
                  <c:v>90.676531800999996</c:v>
                </c:pt>
                <c:pt idx="9">
                  <c:v>105.20790321210001</c:v>
                </c:pt>
                <c:pt idx="10">
                  <c:v>118.6213073962</c:v>
                </c:pt>
                <c:pt idx="11">
                  <c:v>153.96840648060001</c:v>
                </c:pt>
                <c:pt idx="12">
                  <c:v>178.9797034163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55-43B4-8799-F66FBECD4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372672"/>
        <c:axId val="531372280"/>
      </c:lineChart>
      <c:catAx>
        <c:axId val="531371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00456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1371888"/>
        <c:crosses val="autoZero"/>
        <c:auto val="1"/>
        <c:lblAlgn val="ctr"/>
        <c:lblOffset val="100"/>
        <c:noMultiLvlLbl val="0"/>
      </c:catAx>
      <c:valAx>
        <c:axId val="531371888"/>
        <c:scaling>
          <c:orientation val="minMax"/>
          <c:max val="700000"/>
        </c:scaling>
        <c:delete val="0"/>
        <c:axPos val="l"/>
        <c:majorGridlines>
          <c:spPr>
            <a:ln w="3175" cap="flat" cmpd="sng" algn="ctr">
              <a:solidFill>
                <a:srgbClr val="004563"/>
              </a:solidFill>
              <a:prstDash val="sysDot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lang="en-US" sz="800" b="0" i="0" u="none" strike="noStrike" kern="1200" baseline="0">
                    <a:solidFill>
                      <a:srgbClr val="00456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GWh</a:t>
                </a:r>
              </a:p>
            </c:rich>
          </c:tx>
          <c:layout>
            <c:manualLayout>
              <c:xMode val="edge"/>
              <c:yMode val="edge"/>
              <c:x val="1.1883128948346337E-2"/>
              <c:y val="1.04613230396609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lang="en-US" sz="800" b="0" i="0" u="none" strike="noStrike" kern="1200" baseline="0">
                  <a:solidFill>
                    <a:srgbClr val="004563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1371496"/>
        <c:crosses val="autoZero"/>
        <c:crossBetween val="between"/>
        <c:majorUnit val="100000"/>
        <c:dispUnits>
          <c:builtInUnit val="thousands"/>
        </c:dispUnits>
      </c:valAx>
      <c:valAx>
        <c:axId val="531372280"/>
        <c:scaling>
          <c:orientation val="minMax"/>
          <c:max val="150"/>
          <c:min val="-25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1372672"/>
        <c:crosses val="max"/>
        <c:crossBetween val="between"/>
        <c:majorUnit val="25"/>
      </c:valAx>
      <c:catAx>
        <c:axId val="531372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722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algn="ctr" rtl="0">
        <a:defRPr lang="en-US" sz="800" b="0" i="0" u="none" strike="noStrike" kern="1200" baseline="0">
          <a:solidFill>
            <a:srgbClr val="004563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000510755159565E-2"/>
          <c:y val="9.4486551258994314E-2"/>
          <c:w val="0.90045357141064819"/>
          <c:h val="0.66833475448334823"/>
        </c:manualLayout>
      </c:layout>
      <c:barChart>
        <c:barDir val="col"/>
        <c:grouping val="stacked"/>
        <c:varyColors val="0"/>
        <c:ser>
          <c:idx val="13"/>
          <c:order val="0"/>
          <c:tx>
            <c:strRef>
              <c:f>Dat_01!$B$359</c:f>
              <c:strCache>
                <c:ptCount val="1"/>
                <c:pt idx="0">
                  <c:v>Carbón</c:v>
                </c:pt>
              </c:strCache>
            </c:strRef>
          </c:tx>
          <c:spPr>
            <a:solidFill>
              <a:srgbClr val="993300"/>
            </a:solidFill>
            <a:ln>
              <a:noFill/>
            </a:ln>
            <a:effectLst/>
          </c:spPr>
          <c:invertIfNegative val="0"/>
          <c:val>
            <c:numRef>
              <c:f>Dat_01!$C$359:$O$359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A2-4EAD-A708-444D1CD632C6}"/>
            </c:ext>
          </c:extLst>
        </c:ser>
        <c:ser>
          <c:idx val="11"/>
          <c:order val="1"/>
          <c:tx>
            <c:strRef>
              <c:f>Dat_01!$B$360</c:f>
              <c:strCache>
                <c:ptCount val="1"/>
                <c:pt idx="0">
                  <c:v>Ciclo Combinado</c:v>
                </c:pt>
              </c:strCache>
            </c:strRef>
          </c:tx>
          <c:spPr>
            <a:solidFill>
              <a:srgbClr val="FFCC66"/>
            </a:solidFill>
            <a:ln>
              <a:noFill/>
            </a:ln>
            <a:effectLst/>
          </c:spPr>
          <c:invertIfNegative val="0"/>
          <c:val>
            <c:numRef>
              <c:f>Dat_01!$C$360:$O$360</c:f>
              <c:numCache>
                <c:formatCode>#,##0.0</c:formatCode>
                <c:ptCount val="13"/>
                <c:pt idx="0">
                  <c:v>1021.775</c:v>
                </c:pt>
                <c:pt idx="1">
                  <c:v>3133.625</c:v>
                </c:pt>
                <c:pt idx="2">
                  <c:v>12633.041999999999</c:v>
                </c:pt>
                <c:pt idx="3">
                  <c:v>572.625</c:v>
                </c:pt>
                <c:pt idx="4">
                  <c:v>1128.8</c:v>
                </c:pt>
                <c:pt idx="5">
                  <c:v>1669.25</c:v>
                </c:pt>
                <c:pt idx="6">
                  <c:v>4.9000000000000004</c:v>
                </c:pt>
                <c:pt idx="7">
                  <c:v>0</c:v>
                </c:pt>
                <c:pt idx="8">
                  <c:v>0</c:v>
                </c:pt>
                <c:pt idx="9">
                  <c:v>301.49200000000002</c:v>
                </c:pt>
                <c:pt idx="10">
                  <c:v>943</c:v>
                </c:pt>
                <c:pt idx="11">
                  <c:v>1881.75</c:v>
                </c:pt>
                <c:pt idx="12">
                  <c:v>1825.3420000000001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A2-4EAD-A708-444D1CD632C6}"/>
            </c:ext>
          </c:extLst>
        </c:ser>
        <c:ser>
          <c:idx val="10"/>
          <c:order val="2"/>
          <c:tx>
            <c:strRef>
              <c:f>Dat_01!$B$361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CFA2CA"/>
            </a:solidFill>
            <a:ln>
              <a:noFill/>
            </a:ln>
            <a:effectLst/>
          </c:spPr>
          <c:invertIfNegative val="0"/>
          <c:val>
            <c:numRef>
              <c:f>Dat_01!$C$361:$O$361</c:f>
              <c:numCache>
                <c:formatCode>#,##0.0</c:formatCode>
                <c:ptCount val="13"/>
                <c:pt idx="0">
                  <c:v>4302.4539999999997</c:v>
                </c:pt>
                <c:pt idx="1">
                  <c:v>2024.335</c:v>
                </c:pt>
                <c:pt idx="2">
                  <c:v>2029.9390000000001</c:v>
                </c:pt>
                <c:pt idx="3">
                  <c:v>273.53800000000001</c:v>
                </c:pt>
                <c:pt idx="4">
                  <c:v>377.13200000000001</c:v>
                </c:pt>
                <c:pt idx="5">
                  <c:v>786.62800000000004</c:v>
                </c:pt>
                <c:pt idx="6">
                  <c:v>37.953000000000003</c:v>
                </c:pt>
                <c:pt idx="7">
                  <c:v>621.33600000000001</c:v>
                </c:pt>
                <c:pt idx="8">
                  <c:v>2516.587</c:v>
                </c:pt>
                <c:pt idx="9">
                  <c:v>1463.7470000000001</c:v>
                </c:pt>
                <c:pt idx="10">
                  <c:v>4061.3739999999998</c:v>
                </c:pt>
                <c:pt idx="11">
                  <c:v>2002.1210000000001</c:v>
                </c:pt>
                <c:pt idx="12">
                  <c:v>712.63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A2-4EAD-A708-444D1CD632C6}"/>
            </c:ext>
          </c:extLst>
        </c:ser>
        <c:ser>
          <c:idx val="3"/>
          <c:order val="3"/>
          <c:tx>
            <c:strRef>
              <c:f>Dat_01!$B$362</c:f>
              <c:strCache>
                <c:ptCount val="1"/>
                <c:pt idx="0">
                  <c:v>Consumo Bombeo</c:v>
                </c:pt>
              </c:strCache>
            </c:strRef>
          </c:tx>
          <c:spPr>
            <a:solidFill>
              <a:srgbClr val="2C4D75"/>
            </a:solidFill>
            <a:ln>
              <a:noFill/>
            </a:ln>
            <a:effectLst/>
          </c:spPr>
          <c:invertIfNegative val="0"/>
          <c:val>
            <c:numRef>
              <c:f>Dat_01!$C$362:$O$362</c:f>
              <c:numCache>
                <c:formatCode>#,##0.0</c:formatCode>
                <c:ptCount val="13"/>
                <c:pt idx="0">
                  <c:v>6001.4319999999998</c:v>
                </c:pt>
                <c:pt idx="1">
                  <c:v>3894.6080000000002</c:v>
                </c:pt>
                <c:pt idx="2">
                  <c:v>15149.841</c:v>
                </c:pt>
                <c:pt idx="3">
                  <c:v>10963.05</c:v>
                </c:pt>
                <c:pt idx="4">
                  <c:v>25532.89</c:v>
                </c:pt>
                <c:pt idx="5">
                  <c:v>14325.141</c:v>
                </c:pt>
                <c:pt idx="6">
                  <c:v>3178.55</c:v>
                </c:pt>
                <c:pt idx="7">
                  <c:v>16107.041999999999</c:v>
                </c:pt>
                <c:pt idx="8">
                  <c:v>9517.1579999999994</c:v>
                </c:pt>
                <c:pt idx="9">
                  <c:v>21055.325000000001</c:v>
                </c:pt>
                <c:pt idx="10">
                  <c:v>4049.6419999999998</c:v>
                </c:pt>
                <c:pt idx="11">
                  <c:v>21458.416000000001</c:v>
                </c:pt>
                <c:pt idx="12">
                  <c:v>5351.2839999999997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A2-4EAD-A708-444D1CD632C6}"/>
            </c:ext>
          </c:extLst>
        </c:ser>
        <c:ser>
          <c:idx val="4"/>
          <c:order val="4"/>
          <c:tx>
            <c:strRef>
              <c:f>Dat_01!$B$363</c:f>
              <c:strCache>
                <c:ptCount val="1"/>
                <c:pt idx="0">
                  <c:v>Enlace Península Baleares</c:v>
                </c:pt>
              </c:strCache>
            </c:strRef>
          </c:tx>
          <c:spPr>
            <a:solidFill>
              <a:srgbClr val="A99BBD"/>
            </a:solidFill>
            <a:ln>
              <a:noFill/>
            </a:ln>
            <a:effectLst/>
          </c:spPr>
          <c:invertIfNegative val="0"/>
          <c:val>
            <c:numRef>
              <c:f>Dat_01!$C$363:$O$363</c:f>
              <c:numCache>
                <c:formatCode>#,##0.0</c:formatCode>
                <c:ptCount val="13"/>
                <c:pt idx="0">
                  <c:v>13.3</c:v>
                </c:pt>
                <c:pt idx="1">
                  <c:v>0</c:v>
                </c:pt>
                <c:pt idx="2">
                  <c:v>0.1</c:v>
                </c:pt>
                <c:pt idx="3">
                  <c:v>40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0.42499999999999999</c:v>
                </c:pt>
                <c:pt idx="11">
                  <c:v>83.35</c:v>
                </c:pt>
                <c:pt idx="12">
                  <c:v>86.974999999999994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3-4B5E-AA36-7AB943911250}"/>
            </c:ext>
          </c:extLst>
        </c:ser>
        <c:ser>
          <c:idx val="14"/>
          <c:order val="5"/>
          <c:tx>
            <c:strRef>
              <c:f>Dat_01!$B$364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70AD47"/>
            </a:solidFill>
            <a:ln>
              <a:noFill/>
            </a:ln>
            <a:effectLst/>
          </c:spPr>
          <c:invertIfNegative val="0"/>
          <c:val>
            <c:numRef>
              <c:f>Dat_01!$C$364:$O$364</c:f>
              <c:numCache>
                <c:formatCode>#,##0.0</c:formatCode>
                <c:ptCount val="13"/>
                <c:pt idx="0">
                  <c:v>53466.71</c:v>
                </c:pt>
                <c:pt idx="1">
                  <c:v>31702.144</c:v>
                </c:pt>
                <c:pt idx="2">
                  <c:v>78564.706000000006</c:v>
                </c:pt>
                <c:pt idx="3">
                  <c:v>31349.627</c:v>
                </c:pt>
                <c:pt idx="4">
                  <c:v>41919.404000000002</c:v>
                </c:pt>
                <c:pt idx="5">
                  <c:v>19108.333999999999</c:v>
                </c:pt>
                <c:pt idx="6">
                  <c:v>4270.6970000000001</c:v>
                </c:pt>
                <c:pt idx="7">
                  <c:v>62427.396000000001</c:v>
                </c:pt>
                <c:pt idx="8">
                  <c:v>64769.294999999998</c:v>
                </c:pt>
                <c:pt idx="9">
                  <c:v>54505.99</c:v>
                </c:pt>
                <c:pt idx="10">
                  <c:v>77851.764999999999</c:v>
                </c:pt>
                <c:pt idx="11">
                  <c:v>85410.906000000003</c:v>
                </c:pt>
                <c:pt idx="12">
                  <c:v>26238.44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B-4735-838D-9CBE7A91C711}"/>
            </c:ext>
          </c:extLst>
        </c:ser>
        <c:ser>
          <c:idx val="17"/>
          <c:order val="6"/>
          <c:tx>
            <c:strRef>
              <c:f>Dat_01!$B$365</c:f>
              <c:strCache>
                <c:ptCount val="1"/>
                <c:pt idx="0">
                  <c:v>Hibridación</c:v>
                </c:pt>
              </c:strCache>
            </c:strRef>
          </c:tx>
          <c:spPr>
            <a:solidFill>
              <a:srgbClr val="28A064"/>
            </a:solidFill>
            <a:ln>
              <a:noFill/>
            </a:ln>
            <a:effectLst/>
          </c:spPr>
          <c:invertIfNegative val="0"/>
          <c:val>
            <c:numRef>
              <c:f>Dat_01!$C$365:$O$365</c:f>
              <c:numCache>
                <c:formatCode>#,##0.0</c:formatCode>
                <c:ptCount val="13"/>
                <c:pt idx="0">
                  <c:v>1433.252</c:v>
                </c:pt>
                <c:pt idx="1">
                  <c:v>1680.0920000000001</c:v>
                </c:pt>
                <c:pt idx="2">
                  <c:v>3212.7779999999998</c:v>
                </c:pt>
                <c:pt idx="3">
                  <c:v>1972.2629999999999</c:v>
                </c:pt>
                <c:pt idx="4">
                  <c:v>1066.75</c:v>
                </c:pt>
                <c:pt idx="5">
                  <c:v>3413.56</c:v>
                </c:pt>
                <c:pt idx="6">
                  <c:v>10.952999999999999</c:v>
                </c:pt>
                <c:pt idx="7">
                  <c:v>898.26599999999996</c:v>
                </c:pt>
                <c:pt idx="8">
                  <c:v>2585.2570000000001</c:v>
                </c:pt>
                <c:pt idx="9">
                  <c:v>2122.9780000000001</c:v>
                </c:pt>
                <c:pt idx="10">
                  <c:v>5356.3530000000001</c:v>
                </c:pt>
                <c:pt idx="11">
                  <c:v>11072.51</c:v>
                </c:pt>
                <c:pt idx="12">
                  <c:v>3652.0549999999998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55-4192-9351-8648EF4D0195}"/>
            </c:ext>
          </c:extLst>
        </c:ser>
        <c:ser>
          <c:idx val="5"/>
          <c:order val="7"/>
          <c:tx>
            <c:strRef>
              <c:f>Dat_01!$B$366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Dat_01!$C$366:$O$366</c:f>
              <c:numCache>
                <c:formatCode>#,##0.0</c:formatCode>
                <c:ptCount val="13"/>
                <c:pt idx="0">
                  <c:v>5499.3530000000001</c:v>
                </c:pt>
                <c:pt idx="1">
                  <c:v>188.095</c:v>
                </c:pt>
                <c:pt idx="2">
                  <c:v>505.98399999999998</c:v>
                </c:pt>
                <c:pt idx="3">
                  <c:v>150.90899999999999</c:v>
                </c:pt>
                <c:pt idx="4">
                  <c:v>733.23500000000001</c:v>
                </c:pt>
                <c:pt idx="5">
                  <c:v>800.19</c:v>
                </c:pt>
                <c:pt idx="6">
                  <c:v>608.26800000000003</c:v>
                </c:pt>
                <c:pt idx="7">
                  <c:v>2561.46</c:v>
                </c:pt>
                <c:pt idx="8">
                  <c:v>1065.028</c:v>
                </c:pt>
                <c:pt idx="9">
                  <c:v>2612.1779999999999</c:v>
                </c:pt>
                <c:pt idx="10">
                  <c:v>4227.0780000000004</c:v>
                </c:pt>
                <c:pt idx="11">
                  <c:v>2552.4409999999998</c:v>
                </c:pt>
                <c:pt idx="12">
                  <c:v>1430.585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A2-4EAD-A708-444D1CD632C6}"/>
            </c:ext>
          </c:extLst>
        </c:ser>
        <c:ser>
          <c:idx val="15"/>
          <c:order val="8"/>
          <c:tx>
            <c:strRef>
              <c:f>Dat_01!$B$368</c:f>
              <c:strCache>
                <c:ptCount val="1"/>
                <c:pt idx="0">
                  <c:v>Internacionales</c:v>
                </c:pt>
              </c:strCache>
            </c:strRef>
          </c:tx>
          <c:spPr>
            <a:solidFill>
              <a:srgbClr val="E5DDB7"/>
            </a:solidFill>
            <a:ln>
              <a:noFill/>
            </a:ln>
            <a:effectLst/>
          </c:spPr>
          <c:invertIfNegative val="0"/>
          <c:val>
            <c:numRef>
              <c:f>Dat_01!$C$368:$O$368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68-41C2-BE70-A197ABE4FA63}"/>
            </c:ext>
          </c:extLst>
        </c:ser>
        <c:ser>
          <c:idx val="7"/>
          <c:order val="9"/>
          <c:tx>
            <c:strRef>
              <c:f>Dat_01!$B$369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464394"/>
            </a:solidFill>
            <a:ln>
              <a:noFill/>
            </a:ln>
            <a:effectLst/>
          </c:spPr>
          <c:invertIfNegative val="0"/>
          <c:val>
            <c:numRef>
              <c:f>Dat_01!$C$369:$O$369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0D-46DA-917D-F6348224334E}"/>
            </c:ext>
          </c:extLst>
        </c:ser>
        <c:ser>
          <c:idx val="6"/>
          <c:order val="10"/>
          <c:tx>
            <c:strRef>
              <c:f>Dat_01!$B$370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  <a:ln>
              <a:noFill/>
            </a:ln>
            <a:effectLst/>
          </c:spPr>
          <c:invertIfNegative val="0"/>
          <c:val>
            <c:numRef>
              <c:f>Dat_01!$C$370:$O$370</c:f>
              <c:numCache>
                <c:formatCode>#,##0.0</c:formatCode>
                <c:ptCount val="13"/>
                <c:pt idx="0">
                  <c:v>1658.9880000000001</c:v>
                </c:pt>
                <c:pt idx="1">
                  <c:v>1278.7840000000001</c:v>
                </c:pt>
                <c:pt idx="2">
                  <c:v>1742.4670000000001</c:v>
                </c:pt>
                <c:pt idx="3">
                  <c:v>18.949000000000002</c:v>
                </c:pt>
                <c:pt idx="4">
                  <c:v>39.518999999999998</c:v>
                </c:pt>
                <c:pt idx="5">
                  <c:v>262.69600000000003</c:v>
                </c:pt>
                <c:pt idx="6">
                  <c:v>19.006</c:v>
                </c:pt>
                <c:pt idx="7">
                  <c:v>530.85799999999995</c:v>
                </c:pt>
                <c:pt idx="8">
                  <c:v>1598.1</c:v>
                </c:pt>
                <c:pt idx="9">
                  <c:v>628.48400000000004</c:v>
                </c:pt>
                <c:pt idx="10">
                  <c:v>1854.759</c:v>
                </c:pt>
                <c:pt idx="11">
                  <c:v>1547.4829999999999</c:v>
                </c:pt>
                <c:pt idx="12">
                  <c:v>837.52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CA2-4EAD-A708-444D1CD632C6}"/>
            </c:ext>
          </c:extLst>
        </c:ser>
        <c:ser>
          <c:idx val="0"/>
          <c:order val="11"/>
          <c:tx>
            <c:strRef>
              <c:f>Dat_01!$B$371</c:f>
              <c:strCache>
                <c:ptCount val="1"/>
                <c:pt idx="0">
                  <c:v>Residuos no Renovables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val>
            <c:numRef>
              <c:f>Dat_01!$C$371:$O$371</c:f>
              <c:numCache>
                <c:formatCode>#,##0.0</c:formatCode>
                <c:ptCount val="13"/>
                <c:pt idx="0">
                  <c:v>779.20500000000004</c:v>
                </c:pt>
                <c:pt idx="1">
                  <c:v>0</c:v>
                </c:pt>
                <c:pt idx="2">
                  <c:v>0.16800000000000001</c:v>
                </c:pt>
                <c:pt idx="3">
                  <c:v>25.091000000000001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A2-4EAD-A708-444D1CD632C6}"/>
            </c:ext>
          </c:extLst>
        </c:ser>
        <c:ser>
          <c:idx val="8"/>
          <c:order val="12"/>
          <c:tx>
            <c:strRef>
              <c:f>Dat_01!$B$372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val>
            <c:numRef>
              <c:f>Dat_01!$C$372:$O$372</c:f>
              <c:numCache>
                <c:formatCode>#,##0.0</c:formatCode>
                <c:ptCount val="13"/>
                <c:pt idx="0">
                  <c:v>63965.084000000003</c:v>
                </c:pt>
                <c:pt idx="1">
                  <c:v>19560.11</c:v>
                </c:pt>
                <c:pt idx="2">
                  <c:v>61583.904999999999</c:v>
                </c:pt>
                <c:pt idx="3">
                  <c:v>6305.0339999999997</c:v>
                </c:pt>
                <c:pt idx="4">
                  <c:v>1891.778</c:v>
                </c:pt>
                <c:pt idx="5">
                  <c:v>2707.0210000000002</c:v>
                </c:pt>
                <c:pt idx="6">
                  <c:v>3565.0010000000002</c:v>
                </c:pt>
                <c:pt idx="7">
                  <c:v>39701.78</c:v>
                </c:pt>
                <c:pt idx="8">
                  <c:v>80273.923999999999</c:v>
                </c:pt>
                <c:pt idx="9">
                  <c:v>182093.989</c:v>
                </c:pt>
                <c:pt idx="10">
                  <c:v>228735.50899999999</c:v>
                </c:pt>
                <c:pt idx="11">
                  <c:v>219533.73699999999</c:v>
                </c:pt>
                <c:pt idx="12">
                  <c:v>113160.24400000001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CA2-4EAD-A708-444D1CD632C6}"/>
            </c:ext>
          </c:extLst>
        </c:ser>
        <c:ser>
          <c:idx val="9"/>
          <c:order val="13"/>
          <c:tx>
            <c:strRef>
              <c:f>Dat_01!$B$373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Dat_01!$C$373:$O$373</c:f>
              <c:numCache>
                <c:formatCode>#,##0.0</c:formatCode>
                <c:ptCount val="13"/>
                <c:pt idx="0">
                  <c:v>16218.591</c:v>
                </c:pt>
                <c:pt idx="1">
                  <c:v>5669.5519999999997</c:v>
                </c:pt>
                <c:pt idx="2">
                  <c:v>8192.3739999999998</c:v>
                </c:pt>
                <c:pt idx="3">
                  <c:v>221.136</c:v>
                </c:pt>
                <c:pt idx="4">
                  <c:v>6.3490000000000002</c:v>
                </c:pt>
                <c:pt idx="5">
                  <c:v>44.374000000000002</c:v>
                </c:pt>
                <c:pt idx="6">
                  <c:v>454.596</c:v>
                </c:pt>
                <c:pt idx="7">
                  <c:v>4909.5150000000003</c:v>
                </c:pt>
                <c:pt idx="8">
                  <c:v>3210.4679999999998</c:v>
                </c:pt>
                <c:pt idx="9">
                  <c:v>1585.9380000000001</c:v>
                </c:pt>
                <c:pt idx="10">
                  <c:v>7091.69</c:v>
                </c:pt>
                <c:pt idx="11">
                  <c:v>9918.5030000000006</c:v>
                </c:pt>
                <c:pt idx="12">
                  <c:v>7992.8239999999996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A2-4EAD-A708-444D1CD632C6}"/>
            </c:ext>
          </c:extLst>
        </c:ser>
        <c:ser>
          <c:idx val="12"/>
          <c:order val="14"/>
          <c:tx>
            <c:strRef>
              <c:f>Dat_01!$B$375</c:f>
              <c:strCache>
                <c:ptCount val="1"/>
                <c:pt idx="0">
                  <c:v>Turbinación bombeo</c:v>
                </c:pt>
              </c:strCache>
            </c:strRef>
          </c:tx>
          <c:spPr>
            <a:solidFill>
              <a:srgbClr val="95B3D7"/>
            </a:solidFill>
            <a:ln>
              <a:noFill/>
            </a:ln>
            <a:effectLst/>
          </c:spPr>
          <c:invertIfNegative val="0"/>
          <c:val>
            <c:numRef>
              <c:f>Dat_01!$C$375:$O$375</c:f>
              <c:numCache>
                <c:formatCode>#,##0.0</c:formatCode>
                <c:ptCount val="13"/>
                <c:pt idx="0">
                  <c:v>14627.808000000001</c:v>
                </c:pt>
                <c:pt idx="1">
                  <c:v>439.1</c:v>
                </c:pt>
                <c:pt idx="2">
                  <c:v>116.1</c:v>
                </c:pt>
                <c:pt idx="3">
                  <c:v>65.5</c:v>
                </c:pt>
                <c:pt idx="4">
                  <c:v>6874.9160000000002</c:v>
                </c:pt>
                <c:pt idx="5">
                  <c:v>7145.2420000000002</c:v>
                </c:pt>
                <c:pt idx="6">
                  <c:v>116.25</c:v>
                </c:pt>
                <c:pt idx="7">
                  <c:v>522.16700000000003</c:v>
                </c:pt>
                <c:pt idx="8">
                  <c:v>79.099999999999994</c:v>
                </c:pt>
                <c:pt idx="9">
                  <c:v>37.975000000000001</c:v>
                </c:pt>
                <c:pt idx="10">
                  <c:v>4166.1670000000004</c:v>
                </c:pt>
                <c:pt idx="11">
                  <c:v>15612.15</c:v>
                </c:pt>
                <c:pt idx="12">
                  <c:v>3349.6170000000002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A2-4EAD-A708-444D1CD632C6}"/>
            </c:ext>
          </c:extLst>
        </c:ser>
        <c:ser>
          <c:idx val="18"/>
          <c:order val="16"/>
          <c:tx>
            <c:strRef>
              <c:f>Dat_01!$B$374</c:f>
              <c:strCache>
                <c:ptCount val="1"/>
                <c:pt idx="0">
                  <c:v>Turbina Vapor, Gas y Fuel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Dat_01!$C$374:$O$374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B6-4706-AEEA-707E451E4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1374240"/>
        <c:axId val="531373848"/>
        <c:extLst>
          <c:ext xmlns:c15="http://schemas.microsoft.com/office/drawing/2012/chart" uri="{02D57815-91ED-43cb-92C2-25804820EDAC}">
            <c15:filteredBarSeries>
              <c15:ser>
                <c:idx val="16"/>
                <c:order val="15"/>
                <c:tx>
                  <c:strRef>
                    <c:extLst>
                      <c:ext uri="{02D57815-91ED-43cb-92C2-25804820EDAC}">
                        <c15:formulaRef>
                          <c15:sqref>Dat_01!$B$358</c15:sqref>
                        </c15:formulaRef>
                      </c:ext>
                    </c:extLst>
                    <c:strCache>
                      <c:ptCount val="1"/>
                      <c:pt idx="0">
                        <c:v>Almacenamiento</c:v>
                      </c:pt>
                    </c:strCache>
                  </c:strRef>
                </c:tx>
                <c:spPr>
                  <a:solidFill>
                    <a:schemeClr val="tx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Dat_01!$C$358:$O$358</c15:sqref>
                        </c15:formulaRef>
                      </c:ext>
                    </c:extLst>
                    <c:numCache>
                      <c:formatCode>#,##0.0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3CF-437E-92F0-46CFB2AE8070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17"/>
          <c:tx>
            <c:v>Precio medio subir</c:v>
          </c:tx>
          <c:spPr>
            <a:ln w="28575" cap="rnd">
              <a:solidFill>
                <a:srgbClr val="004563"/>
              </a:solidFill>
              <a:round/>
            </a:ln>
            <a:effectLst/>
          </c:spPr>
          <c:marker>
            <c:symbol val="none"/>
          </c:marker>
          <c:val>
            <c:numRef>
              <c:f>Dat_01!$C$408:$O$408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4B-48A2-BC99-84CC8D26AF2E}"/>
            </c:ext>
          </c:extLst>
        </c:ser>
        <c:ser>
          <c:idx val="2"/>
          <c:order val="18"/>
          <c:tx>
            <c:v>Precio medio bajar</c:v>
          </c:tx>
          <c:spPr>
            <a:ln w="28575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val>
            <c:numRef>
              <c:f>Dat_01!$C$405:$O$405</c:f>
              <c:numCache>
                <c:formatCode>#,##0.00</c:formatCode>
                <c:ptCount val="13"/>
                <c:pt idx="0">
                  <c:v>-36.745907028200001</c:v>
                </c:pt>
                <c:pt idx="1">
                  <c:v>-45.205144467899999</c:v>
                </c:pt>
                <c:pt idx="2">
                  <c:v>-56.700768444099999</c:v>
                </c:pt>
                <c:pt idx="3">
                  <c:v>-23.385671125799998</c:v>
                </c:pt>
                <c:pt idx="4">
                  <c:v>14.4702230779</c:v>
                </c:pt>
                <c:pt idx="5">
                  <c:v>16.7039540687</c:v>
                </c:pt>
                <c:pt idx="6">
                  <c:v>-66.725363478899993</c:v>
                </c:pt>
                <c:pt idx="7">
                  <c:v>-76.212094080300005</c:v>
                </c:pt>
                <c:pt idx="8">
                  <c:v>-118.2093170884</c:v>
                </c:pt>
                <c:pt idx="9">
                  <c:v>-130.68465328580001</c:v>
                </c:pt>
                <c:pt idx="10">
                  <c:v>-104.15063570149999</c:v>
                </c:pt>
                <c:pt idx="11">
                  <c:v>-32.700471665000002</c:v>
                </c:pt>
                <c:pt idx="12">
                  <c:v>-58.654238601000003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CA2-4EAD-A708-444D1CD63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373064"/>
        <c:axId val="531373456"/>
      </c:lineChart>
      <c:catAx>
        <c:axId val="531374240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531373848"/>
        <c:crosses val="autoZero"/>
        <c:auto val="1"/>
        <c:lblAlgn val="ctr"/>
        <c:lblOffset val="100"/>
        <c:noMultiLvlLbl val="0"/>
      </c:catAx>
      <c:valAx>
        <c:axId val="531373848"/>
        <c:scaling>
          <c:orientation val="maxMin"/>
          <c:max val="900000"/>
        </c:scaling>
        <c:delete val="0"/>
        <c:axPos val="l"/>
        <c:majorGridlines>
          <c:spPr>
            <a:ln w="3175" cap="flat" cmpd="sng" algn="ctr">
              <a:solidFill>
                <a:srgbClr val="004563"/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1374240"/>
        <c:crosses val="autoZero"/>
        <c:crossBetween val="between"/>
        <c:dispUnits>
          <c:builtInUnit val="thousands"/>
        </c:dispUnits>
      </c:valAx>
      <c:valAx>
        <c:axId val="531373456"/>
        <c:scaling>
          <c:orientation val="maxMin"/>
          <c:max val="360"/>
          <c:min val="-18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1373064"/>
        <c:crosses val="max"/>
        <c:crossBetween val="between"/>
        <c:majorUnit val="60"/>
      </c:valAx>
      <c:catAx>
        <c:axId val="53137306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5313734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875110025633289E-2"/>
          <c:y val="0.79793862450626063"/>
          <c:w val="0.88816895712871868"/>
          <c:h val="0.202061404887011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rgbClr val="004563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121494610413657E-2"/>
          <c:y val="0.18299605926359569"/>
          <c:w val="0.90045357141064819"/>
          <c:h val="0.66833475448334823"/>
        </c:manualLayout>
      </c:layout>
      <c:barChart>
        <c:barDir val="col"/>
        <c:grouping val="stacked"/>
        <c:varyColors val="0"/>
        <c:ser>
          <c:idx val="13"/>
          <c:order val="0"/>
          <c:tx>
            <c:strRef>
              <c:f>Dat_01!$B$340</c:f>
              <c:strCache>
                <c:ptCount val="1"/>
                <c:pt idx="0">
                  <c:v>Carbón</c:v>
                </c:pt>
              </c:strCache>
            </c:strRef>
          </c:tx>
          <c:spPr>
            <a:solidFill>
              <a:srgbClr val="993300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Dat_01!$C$340:$O$340</c:f>
              <c:numCache>
                <c:formatCode>#,##0.0</c:formatCode>
                <c:ptCount val="13"/>
                <c:pt idx="0">
                  <c:v>0</c:v>
                </c:pt>
                <c:pt idx="1">
                  <c:v>3588.75</c:v>
                </c:pt>
                <c:pt idx="2">
                  <c:v>6311.25</c:v>
                </c:pt>
                <c:pt idx="3">
                  <c:v>165</c:v>
                </c:pt>
                <c:pt idx="4">
                  <c:v>421.8</c:v>
                </c:pt>
                <c:pt idx="5">
                  <c:v>1340.95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150</c:v>
                </c:pt>
                <c:pt idx="10">
                  <c:v>330</c:v>
                </c:pt>
                <c:pt idx="11">
                  <c:v>848.4</c:v>
                </c:pt>
                <c:pt idx="12">
                  <c:v>247.5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E-05DA-4902-9FAE-7020D488BF82}"/>
            </c:ext>
          </c:extLst>
        </c:ser>
        <c:ser>
          <c:idx val="11"/>
          <c:order val="1"/>
          <c:tx>
            <c:strRef>
              <c:f>Dat_01!$B$341</c:f>
              <c:strCache>
                <c:ptCount val="1"/>
                <c:pt idx="0">
                  <c:v>Ciclo Combinado</c:v>
                </c:pt>
              </c:strCache>
            </c:strRef>
          </c:tx>
          <c:spPr>
            <a:solidFill>
              <a:srgbClr val="FFCC66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Dat_01!$C$341:$O$341</c:f>
              <c:numCache>
                <c:formatCode>#,##0.0</c:formatCode>
                <c:ptCount val="13"/>
                <c:pt idx="0">
                  <c:v>365321.88400000002</c:v>
                </c:pt>
                <c:pt idx="1">
                  <c:v>477468.94300000003</c:v>
                </c:pt>
                <c:pt idx="2">
                  <c:v>388843.01699999999</c:v>
                </c:pt>
                <c:pt idx="3">
                  <c:v>137334.99900000001</c:v>
                </c:pt>
                <c:pt idx="4">
                  <c:v>144683.02499999999</c:v>
                </c:pt>
                <c:pt idx="5">
                  <c:v>225679.55</c:v>
                </c:pt>
                <c:pt idx="6">
                  <c:v>119868.325</c:v>
                </c:pt>
                <c:pt idx="7">
                  <c:v>100998.25</c:v>
                </c:pt>
                <c:pt idx="8">
                  <c:v>100322.65</c:v>
                </c:pt>
                <c:pt idx="9">
                  <c:v>110317.63</c:v>
                </c:pt>
                <c:pt idx="10">
                  <c:v>179401.96900000001</c:v>
                </c:pt>
                <c:pt idx="11">
                  <c:v>387572.19900000002</c:v>
                </c:pt>
                <c:pt idx="12">
                  <c:v>196551.48199999999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0-05DA-4902-9FAE-7020D488BF82}"/>
            </c:ext>
          </c:extLst>
        </c:ser>
        <c:ser>
          <c:idx val="10"/>
          <c:order val="2"/>
          <c:tx>
            <c:strRef>
              <c:f>Dat_01!$B$342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CFA2CA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Dat_01!$C$342:$O$342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16.5</c:v>
                </c:pt>
                <c:pt idx="5">
                  <c:v>0</c:v>
                </c:pt>
                <c:pt idx="6">
                  <c:v>0.83299999999999996</c:v>
                </c:pt>
                <c:pt idx="7">
                  <c:v>0</c:v>
                </c:pt>
                <c:pt idx="8">
                  <c:v>0</c:v>
                </c:pt>
                <c:pt idx="9">
                  <c:v>51.05</c:v>
                </c:pt>
                <c:pt idx="10">
                  <c:v>0</c:v>
                </c:pt>
                <c:pt idx="11">
                  <c:v>102.925</c:v>
                </c:pt>
                <c:pt idx="12">
                  <c:v>30.306999999999999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2-05DA-4902-9FAE-7020D488BF82}"/>
            </c:ext>
          </c:extLst>
        </c:ser>
        <c:ser>
          <c:idx val="3"/>
          <c:order val="3"/>
          <c:tx>
            <c:strRef>
              <c:f>Dat_01!$B$343</c:f>
              <c:strCache>
                <c:ptCount val="1"/>
                <c:pt idx="0">
                  <c:v>Consumo Bombeo</c:v>
                </c:pt>
              </c:strCache>
            </c:strRef>
          </c:tx>
          <c:spPr>
            <a:solidFill>
              <a:srgbClr val="2C4D75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Dat_01!$C$343:$O$343</c:f>
              <c:numCache>
                <c:formatCode>#,##0.0</c:formatCode>
                <c:ptCount val="13"/>
                <c:pt idx="0">
                  <c:v>7902.0079999999998</c:v>
                </c:pt>
                <c:pt idx="1">
                  <c:v>3616.067</c:v>
                </c:pt>
                <c:pt idx="2">
                  <c:v>10614.259</c:v>
                </c:pt>
                <c:pt idx="3">
                  <c:v>2955</c:v>
                </c:pt>
                <c:pt idx="4">
                  <c:v>596.20000000000005</c:v>
                </c:pt>
                <c:pt idx="5">
                  <c:v>6614.0829999999996</c:v>
                </c:pt>
                <c:pt idx="6">
                  <c:v>0</c:v>
                </c:pt>
                <c:pt idx="7">
                  <c:v>0</c:v>
                </c:pt>
                <c:pt idx="8">
                  <c:v>1070.8330000000001</c:v>
                </c:pt>
                <c:pt idx="9">
                  <c:v>2163.2829999999999</c:v>
                </c:pt>
                <c:pt idx="10">
                  <c:v>1324</c:v>
                </c:pt>
                <c:pt idx="11">
                  <c:v>15967.290999999999</c:v>
                </c:pt>
                <c:pt idx="12">
                  <c:v>3927.7629999999999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4-05DA-4902-9FAE-7020D488BF82}"/>
            </c:ext>
          </c:extLst>
        </c:ser>
        <c:ser>
          <c:idx val="4"/>
          <c:order val="4"/>
          <c:tx>
            <c:strRef>
              <c:f>Dat_01!$B$344</c:f>
              <c:strCache>
                <c:ptCount val="1"/>
                <c:pt idx="0">
                  <c:v>Enlace Península Baleares</c:v>
                </c:pt>
              </c:strCache>
            </c:strRef>
          </c:tx>
          <c:spPr>
            <a:solidFill>
              <a:srgbClr val="A99BBD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Dat_01!$C$344:$O$344</c:f>
              <c:numCache>
                <c:formatCode>#,##0.0</c:formatCode>
                <c:ptCount val="13"/>
                <c:pt idx="0">
                  <c:v>1132.875</c:v>
                </c:pt>
                <c:pt idx="1">
                  <c:v>479.1</c:v>
                </c:pt>
                <c:pt idx="2">
                  <c:v>621.32500000000005</c:v>
                </c:pt>
                <c:pt idx="3">
                  <c:v>399</c:v>
                </c:pt>
                <c:pt idx="4">
                  <c:v>0</c:v>
                </c:pt>
                <c:pt idx="5">
                  <c:v>1193</c:v>
                </c:pt>
                <c:pt idx="6">
                  <c:v>403.75</c:v>
                </c:pt>
                <c:pt idx="7">
                  <c:v>438.6</c:v>
                </c:pt>
                <c:pt idx="8">
                  <c:v>76.025000000000006</c:v>
                </c:pt>
                <c:pt idx="9">
                  <c:v>454.07499999999999</c:v>
                </c:pt>
                <c:pt idx="10">
                  <c:v>264.55</c:v>
                </c:pt>
                <c:pt idx="11">
                  <c:v>942.25</c:v>
                </c:pt>
                <c:pt idx="12">
                  <c:v>1852.35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6-05DA-4902-9FAE-7020D488BF82}"/>
            </c:ext>
          </c:extLst>
        </c:ser>
        <c:ser>
          <c:idx val="14"/>
          <c:order val="5"/>
          <c:tx>
            <c:strRef>
              <c:f>Dat_01!$B$345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70AD47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Dat_01!$C$345:$O$345</c:f>
              <c:numCache>
                <c:formatCode>#,##0.0</c:formatCode>
                <c:ptCount val="13"/>
                <c:pt idx="0">
                  <c:v>137.5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23.925000000000001</c:v>
                </c:pt>
                <c:pt idx="7">
                  <c:v>0.42499999999999999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33.511000000000003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8-05DA-4902-9FAE-7020D488BF82}"/>
            </c:ext>
          </c:extLst>
        </c:ser>
        <c:ser>
          <c:idx val="5"/>
          <c:order val="6"/>
          <c:tx>
            <c:strRef>
              <c:f>Dat_01!$B$347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Dat_01!$C$347:$O$347</c:f>
              <c:numCache>
                <c:formatCode>#,##0.0</c:formatCode>
                <c:ptCount val="13"/>
                <c:pt idx="0">
                  <c:v>455</c:v>
                </c:pt>
                <c:pt idx="1">
                  <c:v>0</c:v>
                </c:pt>
                <c:pt idx="2">
                  <c:v>5425.1909999999998</c:v>
                </c:pt>
                <c:pt idx="3">
                  <c:v>20969.683000000001</c:v>
                </c:pt>
                <c:pt idx="4">
                  <c:v>5425.7330000000002</c:v>
                </c:pt>
                <c:pt idx="5">
                  <c:v>4712.3</c:v>
                </c:pt>
                <c:pt idx="6">
                  <c:v>2.7709999999999999</c:v>
                </c:pt>
                <c:pt idx="7">
                  <c:v>6377.6660000000002</c:v>
                </c:pt>
                <c:pt idx="8">
                  <c:v>15699.883</c:v>
                </c:pt>
                <c:pt idx="9">
                  <c:v>3551.5</c:v>
                </c:pt>
                <c:pt idx="10">
                  <c:v>8718.1650000000009</c:v>
                </c:pt>
                <c:pt idx="11">
                  <c:v>3956.8249999999998</c:v>
                </c:pt>
                <c:pt idx="12">
                  <c:v>1339.86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A-05DA-4902-9FAE-7020D488BF82}"/>
            </c:ext>
          </c:extLst>
        </c:ser>
        <c:ser>
          <c:idx val="15"/>
          <c:order val="7"/>
          <c:tx>
            <c:strRef>
              <c:f>Dat_01!$B$349</c:f>
              <c:strCache>
                <c:ptCount val="1"/>
                <c:pt idx="0">
                  <c:v>Internacionales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Dat_01!$C$349:$O$349</c:f>
              <c:numCache>
                <c:formatCode>#,##0.0</c:formatCode>
                <c:ptCount val="13"/>
                <c:pt idx="0">
                  <c:v>471.21699999999998</c:v>
                </c:pt>
                <c:pt idx="1">
                  <c:v>0</c:v>
                </c:pt>
                <c:pt idx="2">
                  <c:v>71.599999999999994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2302.9</c:v>
                </c:pt>
                <c:pt idx="7">
                  <c:v>171.55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C-05DA-4902-9FAE-7020D488BF82}"/>
            </c:ext>
          </c:extLst>
        </c:ser>
        <c:ser>
          <c:idx val="6"/>
          <c:order val="8"/>
          <c:tx>
            <c:strRef>
              <c:f>Dat_01!$B$350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9A5CBC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Dat_01!$C$350:$O$350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30.216999999999999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E-05DA-4902-9FAE-7020D488BF82}"/>
            </c:ext>
          </c:extLst>
        </c:ser>
        <c:ser>
          <c:idx val="0"/>
          <c:order val="9"/>
          <c:tx>
            <c:strRef>
              <c:f>Dat_01!$B$351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Dat_01!$C$351:$O$351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6.0670000000000002</c:v>
                </c:pt>
                <c:pt idx="7">
                  <c:v>0</c:v>
                </c:pt>
                <c:pt idx="8">
                  <c:v>37.582000000000001</c:v>
                </c:pt>
                <c:pt idx="9">
                  <c:v>0</c:v>
                </c:pt>
                <c:pt idx="10">
                  <c:v>0</c:v>
                </c:pt>
                <c:pt idx="11">
                  <c:v>300.67500000000001</c:v>
                </c:pt>
                <c:pt idx="12">
                  <c:v>30.347000000000001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05DA-4902-9FAE-7020D488BF82}"/>
            </c:ext>
          </c:extLst>
        </c:ser>
        <c:ser>
          <c:idx val="8"/>
          <c:order val="10"/>
          <c:tx>
            <c:strRef>
              <c:f>Dat_01!$B$352</c:f>
              <c:strCache>
                <c:ptCount val="1"/>
                <c:pt idx="0">
                  <c:v>Residuos no Renovables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Dat_01!$C$352:$O$352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2.7749999999999999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2-05DA-4902-9FAE-7020D488BF82}"/>
            </c:ext>
          </c:extLst>
        </c:ser>
        <c:ser>
          <c:idx val="9"/>
          <c:order val="11"/>
          <c:tx>
            <c:strRef>
              <c:f>Dat_01!$B$353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Dat_01!$C$353:$O$353</c:f>
              <c:numCache>
                <c:formatCode>#,##0.0</c:formatCode>
                <c:ptCount val="13"/>
                <c:pt idx="0">
                  <c:v>3.6749999999999998</c:v>
                </c:pt>
                <c:pt idx="1">
                  <c:v>0</c:v>
                </c:pt>
                <c:pt idx="2">
                  <c:v>0.15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0.25</c:v>
                </c:pt>
                <c:pt idx="8">
                  <c:v>0</c:v>
                </c:pt>
                <c:pt idx="9">
                  <c:v>2.65</c:v>
                </c:pt>
                <c:pt idx="10">
                  <c:v>0</c:v>
                </c:pt>
                <c:pt idx="11">
                  <c:v>0</c:v>
                </c:pt>
                <c:pt idx="12">
                  <c:v>19.41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4-05DA-4902-9FAE-7020D488BF82}"/>
            </c:ext>
          </c:extLst>
        </c:ser>
        <c:ser>
          <c:idx val="12"/>
          <c:order val="12"/>
          <c:tx>
            <c:strRef>
              <c:f>Dat_01!$B$354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rgbClr val="95B3D7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Dat_01!$C$354:$O$354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05DA-4902-9FAE-7020D488BF82}"/>
            </c:ext>
          </c:extLst>
        </c:ser>
        <c:ser>
          <c:idx val="7"/>
          <c:order val="13"/>
          <c:tx>
            <c:strRef>
              <c:f>Dat_01!$B$356</c:f>
              <c:strCache>
                <c:ptCount val="1"/>
                <c:pt idx="0">
                  <c:v>Turbinación bombeo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val>
            <c:numRef>
              <c:f>Dat_01!$C$356:$O$356</c:f>
              <c:numCache>
                <c:formatCode>#,##0.0</c:formatCode>
                <c:ptCount val="13"/>
                <c:pt idx="0">
                  <c:v>4850.1750000000002</c:v>
                </c:pt>
                <c:pt idx="1">
                  <c:v>9429.009</c:v>
                </c:pt>
                <c:pt idx="2">
                  <c:v>4580.5249999999996</c:v>
                </c:pt>
                <c:pt idx="3">
                  <c:v>1509.3330000000001</c:v>
                </c:pt>
                <c:pt idx="4">
                  <c:v>2219.7420000000002</c:v>
                </c:pt>
                <c:pt idx="5">
                  <c:v>8314.2829999999994</c:v>
                </c:pt>
                <c:pt idx="6">
                  <c:v>0</c:v>
                </c:pt>
                <c:pt idx="7">
                  <c:v>306.25</c:v>
                </c:pt>
                <c:pt idx="8">
                  <c:v>3970.55</c:v>
                </c:pt>
                <c:pt idx="9">
                  <c:v>2204.3249999999998</c:v>
                </c:pt>
                <c:pt idx="10">
                  <c:v>1535.7270000000001</c:v>
                </c:pt>
                <c:pt idx="11">
                  <c:v>2983.7829999999999</c:v>
                </c:pt>
                <c:pt idx="12">
                  <c:v>767.45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6A-4DA1-8B41-9F54BBC1A5D8}"/>
            </c:ext>
          </c:extLst>
        </c:ser>
        <c:ser>
          <c:idx val="16"/>
          <c:order val="14"/>
          <c:tx>
            <c:strRef>
              <c:f>Dat_01!$B$346</c:f>
              <c:strCache>
                <c:ptCount val="1"/>
                <c:pt idx="0">
                  <c:v>Hibridación</c:v>
                </c:pt>
              </c:strCache>
            </c:strRef>
          </c:tx>
          <c:spPr>
            <a:solidFill>
              <a:srgbClr val="28A064"/>
            </a:solidFill>
            <a:ln>
              <a:noFill/>
            </a:ln>
          </c:spPr>
          <c:invertIfNegative val="0"/>
          <c:val>
            <c:numRef>
              <c:f>Dat_01!$C$346:$O$346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7.4999999999999997E-2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C350-4BF4-A327-BEF16DBD47D3}"/>
            </c:ext>
          </c:extLst>
        </c:ser>
        <c:ser>
          <c:idx val="17"/>
          <c:order val="15"/>
          <c:tx>
            <c:strRef>
              <c:f>Dat_01!$B$355</c:f>
              <c:strCache>
                <c:ptCount val="1"/>
                <c:pt idx="0">
                  <c:v>Turbina Vapor, Gas y Fuel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val>
            <c:numRef>
              <c:f>Dat_01!$C$355:$O$355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1007.875</c:v>
                </c:pt>
                <c:pt idx="5">
                  <c:v>222.07499999999999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03-4243-8359-67B7EC5AE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1374240"/>
        <c:axId val="531373848"/>
      </c:barChart>
      <c:lineChart>
        <c:grouping val="standard"/>
        <c:varyColors val="0"/>
        <c:ser>
          <c:idx val="1"/>
          <c:order val="16"/>
          <c:tx>
            <c:v>Precio medio subir</c:v>
          </c:tx>
          <c:spPr>
            <a:ln w="28575" cap="rnd">
              <a:solidFill>
                <a:srgbClr val="004563"/>
              </a:solidFill>
              <a:round/>
            </a:ln>
            <a:effectLst/>
          </c:spPr>
          <c:marker>
            <c:symbol val="none"/>
          </c:marker>
          <c:cat>
            <c:multiLvlStrRef>
              <c:f>Dat_01!$C$311:$O$311</c:f>
            </c:multiLvlStrRef>
          </c:cat>
          <c:val>
            <c:numRef>
              <c:f>Dat_01!$C$403:$O$403</c:f>
              <c:numCache>
                <c:formatCode>#,##0.00</c:formatCode>
                <c:ptCount val="13"/>
                <c:pt idx="0">
                  <c:v>210.14936945490001</c:v>
                </c:pt>
                <c:pt idx="1">
                  <c:v>232.59996176300001</c:v>
                </c:pt>
                <c:pt idx="2">
                  <c:v>244.1453660576</c:v>
                </c:pt>
                <c:pt idx="3">
                  <c:v>203.0076708007</c:v>
                </c:pt>
                <c:pt idx="4">
                  <c:v>212.75769545259999</c:v>
                </c:pt>
                <c:pt idx="5">
                  <c:v>221.4334733087</c:v>
                </c:pt>
                <c:pt idx="6">
                  <c:v>242.9232967364</c:v>
                </c:pt>
                <c:pt idx="7">
                  <c:v>288.07185545369998</c:v>
                </c:pt>
                <c:pt idx="8">
                  <c:v>217.4622782973</c:v>
                </c:pt>
                <c:pt idx="9">
                  <c:v>235.293847833</c:v>
                </c:pt>
                <c:pt idx="10">
                  <c:v>229.24076378859999</c:v>
                </c:pt>
                <c:pt idx="11">
                  <c:v>264.94740235220002</c:v>
                </c:pt>
                <c:pt idx="12">
                  <c:v>340.4885887918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78-05DA-4902-9FAE-7020D488BF82}"/>
            </c:ext>
          </c:extLst>
        </c:ser>
        <c:ser>
          <c:idx val="2"/>
          <c:order val="17"/>
          <c:tx>
            <c:v>Precio medio a bajar</c:v>
          </c:tx>
          <c:spPr>
            <a:ln w="28575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val>
            <c:numRef>
              <c:f>Dat_01!$C$408:$O$408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7A-05DA-4902-9FAE-7020D488B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373064"/>
        <c:axId val="531373456"/>
      </c:lineChart>
      <c:catAx>
        <c:axId val="53137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31373848"/>
        <c:crosses val="autoZero"/>
        <c:auto val="1"/>
        <c:lblAlgn val="ctr"/>
        <c:lblOffset val="100"/>
        <c:noMultiLvlLbl val="0"/>
      </c:catAx>
      <c:valAx>
        <c:axId val="531373848"/>
        <c:scaling>
          <c:orientation val="minMax"/>
          <c:max val="900000"/>
        </c:scaling>
        <c:delete val="0"/>
        <c:axPos val="l"/>
        <c:majorGridlines>
          <c:spPr>
            <a:ln w="3175" cap="flat" cmpd="sng" algn="ctr">
              <a:solidFill>
                <a:srgbClr val="004563"/>
              </a:solidFill>
              <a:prstDash val="sysDot"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 b="0"/>
                  <a:t>GWh</a:t>
                </a:r>
              </a:p>
            </c:rich>
          </c:tx>
          <c:layout>
            <c:manualLayout>
              <c:xMode val="edge"/>
              <c:yMode val="edge"/>
              <c:x val="1.7026379089783182E-2"/>
              <c:y val="6.7816441752756543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1374240"/>
        <c:crosses val="autoZero"/>
        <c:crossBetween val="between"/>
        <c:dispUnits>
          <c:builtInUnit val="thousands"/>
        </c:dispUnits>
      </c:valAx>
      <c:valAx>
        <c:axId val="531373456"/>
        <c:scaling>
          <c:orientation val="minMax"/>
          <c:max val="360"/>
          <c:min val="-18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 b="0"/>
                  <a:t>€/MWh</a:t>
                </a:r>
              </a:p>
            </c:rich>
          </c:tx>
          <c:layout>
            <c:manualLayout>
              <c:xMode val="edge"/>
              <c:yMode val="edge"/>
              <c:x val="0.93655971151146789"/>
              <c:y val="6.7816441752756543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1373064"/>
        <c:crosses val="max"/>
        <c:crossBetween val="between"/>
        <c:majorUnit val="60"/>
      </c:valAx>
      <c:catAx>
        <c:axId val="531373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7345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D9D9D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rgbClr val="004563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770070622615472E-2"/>
          <c:y val="0.11426663578817353"/>
          <c:w val="0.88879948318315882"/>
          <c:h val="0.68212212444032727"/>
        </c:manualLayout>
      </c:layout>
      <c:areaChart>
        <c:grouping val="standard"/>
        <c:varyColors val="0"/>
        <c:ser>
          <c:idx val="0"/>
          <c:order val="4"/>
          <c:tx>
            <c:strRef>
              <c:f>Dat_01!$F$471</c:f>
              <c:strCache>
                <c:ptCount val="1"/>
                <c:pt idx="0">
                  <c:v>OMIE</c:v>
                </c:pt>
              </c:strCache>
            </c:strRef>
          </c:tx>
          <c:spPr>
            <a:solidFill>
              <a:srgbClr val="D7EECA"/>
            </a:solidFill>
            <a:ln>
              <a:noFill/>
            </a:ln>
          </c:spPr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Dat_01!$F$474:$F$486</c:f>
              <c:numCache>
                <c:formatCode>0.00</c:formatCode>
                <c:ptCount val="13"/>
                <c:pt idx="0">
                  <c:v>68.444690860199998</c:v>
                </c:pt>
                <c:pt idx="1">
                  <c:v>61.0423333333</c:v>
                </c:pt>
                <c:pt idx="2">
                  <c:v>75.748020134200004</c:v>
                </c:pt>
                <c:pt idx="3">
                  <c:v>58.649345833300004</c:v>
                </c:pt>
                <c:pt idx="4">
                  <c:v>77.905099462400003</c:v>
                </c:pt>
                <c:pt idx="5">
                  <c:v>71.672103494599995</c:v>
                </c:pt>
                <c:pt idx="6">
                  <c:v>16.409894345200001</c:v>
                </c:pt>
                <c:pt idx="7">
                  <c:v>41.766621803500001</c:v>
                </c:pt>
                <c:pt idx="8">
                  <c:v>42.444170833299999</c:v>
                </c:pt>
                <c:pt idx="9">
                  <c:v>54.225541666700003</c:v>
                </c:pt>
                <c:pt idx="10">
                  <c:v>69.592775000000003</c:v>
                </c:pt>
                <c:pt idx="11">
                  <c:v>104.7467755376</c:v>
                </c:pt>
                <c:pt idx="12">
                  <c:v>118.24515725809999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0D8-8CBF-CFFB6BFFB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384824"/>
        <c:axId val="531385216"/>
      </c:areaChart>
      <c:lineChart>
        <c:grouping val="standard"/>
        <c:varyColors val="0"/>
        <c:ser>
          <c:idx val="1"/>
          <c:order val="0"/>
          <c:tx>
            <c:strRef>
              <c:f>Dat_01!$B$471:$B$472</c:f>
              <c:strCache>
                <c:ptCount val="2"/>
                <c:pt idx="0">
                  <c:v>APX</c:v>
                </c:pt>
                <c:pt idx="1">
                  <c:v>Netherlands</c:v>
                </c:pt>
              </c:strCache>
            </c:strRef>
          </c:tx>
          <c:spPr>
            <a:ln w="19050">
              <a:solidFill>
                <a:srgbClr val="3B64AD"/>
              </a:solidFill>
            </a:ln>
          </c:spPr>
          <c:marker>
            <c:symbol val="none"/>
          </c:marker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Dat_01!$B$474:$B$486</c:f>
              <c:numCache>
                <c:formatCode>0.00</c:formatCode>
                <c:ptCount val="13"/>
                <c:pt idx="0">
                  <c:v>74.582688172000005</c:v>
                </c:pt>
                <c:pt idx="1">
                  <c:v>77.6496527778</c:v>
                </c:pt>
                <c:pt idx="2">
                  <c:v>82.445254032299999</c:v>
                </c:pt>
                <c:pt idx="3">
                  <c:v>93.733074999999999</c:v>
                </c:pt>
                <c:pt idx="4">
                  <c:v>87.699244623699997</c:v>
                </c:pt>
                <c:pt idx="5">
                  <c:v>107.5919986559</c:v>
                </c:pt>
                <c:pt idx="6">
                  <c:v>92.947516368999999</c:v>
                </c:pt>
                <c:pt idx="7">
                  <c:v>98.900441453599996</c:v>
                </c:pt>
                <c:pt idx="8">
                  <c:v>84.589972222200004</c:v>
                </c:pt>
                <c:pt idx="9">
                  <c:v>94.911931451599997</c:v>
                </c:pt>
                <c:pt idx="10">
                  <c:v>110.0845875</c:v>
                </c:pt>
                <c:pt idx="11">
                  <c:v>105.8621518817</c:v>
                </c:pt>
                <c:pt idx="12">
                  <c:v>125.4113037634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12-40D8-8CBF-CFFB6BFFBAC4}"/>
            </c:ext>
          </c:extLst>
        </c:ser>
        <c:ser>
          <c:idx val="2"/>
          <c:order val="1"/>
          <c:tx>
            <c:strRef>
              <c:f>Dat_01!$C$471:$C$472</c:f>
              <c:strCache>
                <c:ptCount val="2"/>
                <c:pt idx="0">
                  <c:v>IPEX</c:v>
                </c:pt>
                <c:pt idx="1">
                  <c:v>Italy (PUN)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Dat_01!$C$474:$C$486</c:f>
              <c:numCache>
                <c:formatCode>0.00</c:formatCode>
                <c:ptCount val="13"/>
                <c:pt idx="0">
                  <c:v>108.78899922580645</c:v>
                </c:pt>
                <c:pt idx="1">
                  <c:v>109.07591293333333</c:v>
                </c:pt>
                <c:pt idx="2">
                  <c:v>111.04</c:v>
                </c:pt>
                <c:pt idx="3">
                  <c:v>117.08504656666666</c:v>
                </c:pt>
                <c:pt idx="4">
                  <c:v>115.489526</c:v>
                </c:pt>
                <c:pt idx="5">
                  <c:v>132.664908</c:v>
                </c:pt>
                <c:pt idx="6">
                  <c:v>114.40511824999999</c:v>
                </c:pt>
                <c:pt idx="7">
                  <c:v>143.4</c:v>
                </c:pt>
                <c:pt idx="8">
                  <c:v>119.46565373333334</c:v>
                </c:pt>
                <c:pt idx="9">
                  <c:v>119.35125796774193</c:v>
                </c:pt>
                <c:pt idx="10">
                  <c:v>132.50458610000001</c:v>
                </c:pt>
                <c:pt idx="11">
                  <c:v>157.03839312903227</c:v>
                </c:pt>
                <c:pt idx="12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12-40D8-8CBF-CFFB6BFFBAC4}"/>
            </c:ext>
          </c:extLst>
        </c:ser>
        <c:ser>
          <c:idx val="3"/>
          <c:order val="2"/>
          <c:tx>
            <c:strRef>
              <c:f>Dat_01!$D$471:$D$472</c:f>
              <c:strCache>
                <c:ptCount val="2"/>
                <c:pt idx="0">
                  <c:v>EPEX</c:v>
                </c:pt>
                <c:pt idx="1">
                  <c:v>Germany</c:v>
                </c:pt>
              </c:strCache>
            </c:strRef>
          </c:tx>
          <c:spPr>
            <a:ln w="1905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Dat_01!$D$474:$D$486</c:f>
              <c:numCache>
                <c:formatCode>0.00</c:formatCode>
                <c:ptCount val="13"/>
                <c:pt idx="0">
                  <c:v>76.990255376299999</c:v>
                </c:pt>
                <c:pt idx="1">
                  <c:v>83.511083333299993</c:v>
                </c:pt>
                <c:pt idx="2">
                  <c:v>84.508893817200004</c:v>
                </c:pt>
                <c:pt idx="3">
                  <c:v>101.8817375</c:v>
                </c:pt>
                <c:pt idx="4">
                  <c:v>93.469694892500002</c:v>
                </c:pt>
                <c:pt idx="5">
                  <c:v>110.09061962369999</c:v>
                </c:pt>
                <c:pt idx="6">
                  <c:v>96.576650297599997</c:v>
                </c:pt>
                <c:pt idx="7">
                  <c:v>99.287811574700001</c:v>
                </c:pt>
                <c:pt idx="8">
                  <c:v>78.5157097222</c:v>
                </c:pt>
                <c:pt idx="9">
                  <c:v>97.536033602200007</c:v>
                </c:pt>
                <c:pt idx="10">
                  <c:v>109.51600000000001</c:v>
                </c:pt>
                <c:pt idx="11">
                  <c:v>105.44709139779999</c:v>
                </c:pt>
                <c:pt idx="12">
                  <c:v>126.89439112902902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12-40D8-8CBF-CFFB6BFFBAC4}"/>
            </c:ext>
          </c:extLst>
        </c:ser>
        <c:ser>
          <c:idx val="4"/>
          <c:order val="3"/>
          <c:tx>
            <c:strRef>
              <c:f>Dat_01!$E$471</c:f>
              <c:strCache>
                <c:ptCount val="1"/>
                <c:pt idx="0">
                  <c:v>NordPool</c:v>
                </c:pt>
              </c:strCache>
            </c:strRef>
          </c:tx>
          <c:spPr>
            <a:ln w="19050">
              <a:solidFill>
                <a:srgbClr val="FF66CC"/>
              </a:solidFill>
            </a:ln>
          </c:spPr>
          <c:marker>
            <c:symbol val="none"/>
          </c:marker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Dat_01!$E$474:$E$486</c:f>
              <c:numCache>
                <c:formatCode>0.00</c:formatCode>
                <c:ptCount val="13"/>
                <c:pt idx="0">
                  <c:v>36.467580645200002</c:v>
                </c:pt>
                <c:pt idx="1">
                  <c:v>39.348402777799997</c:v>
                </c:pt>
                <c:pt idx="2">
                  <c:v>39.047491935499998</c:v>
                </c:pt>
                <c:pt idx="3">
                  <c:v>60.5770777778</c:v>
                </c:pt>
                <c:pt idx="4">
                  <c:v>52.992161290299997</c:v>
                </c:pt>
                <c:pt idx="5">
                  <c:v>103.3727822581</c:v>
                </c:pt>
                <c:pt idx="6">
                  <c:v>104.3786235119</c:v>
                </c:pt>
                <c:pt idx="7">
                  <c:v>63.7653216689</c:v>
                </c:pt>
                <c:pt idx="8">
                  <c:v>63.334976388900003</c:v>
                </c:pt>
                <c:pt idx="9">
                  <c:v>76.153911290300002</c:v>
                </c:pt>
                <c:pt idx="10">
                  <c:v>64.776052777800004</c:v>
                </c:pt>
                <c:pt idx="11">
                  <c:v>51.263922043000001</c:v>
                </c:pt>
                <c:pt idx="12">
                  <c:v>77.016336021499995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12-40D8-8CBF-CFFB6BFFBAC4}"/>
            </c:ext>
          </c:extLst>
        </c:ser>
        <c:ser>
          <c:idx val="5"/>
          <c:order val="5"/>
          <c:tx>
            <c:strRef>
              <c:f>Dat_01!$G$471:$G$472</c:f>
              <c:strCache>
                <c:ptCount val="2"/>
                <c:pt idx="0">
                  <c:v>EPEX</c:v>
                </c:pt>
                <c:pt idx="1">
                  <c:v>France</c:v>
                </c:pt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Dat_01!$G$474:$G$486</c:f>
              <c:numCache>
                <c:formatCode>0.00</c:formatCode>
                <c:ptCount val="13"/>
                <c:pt idx="0">
                  <c:v>54.439758064499998</c:v>
                </c:pt>
                <c:pt idx="1">
                  <c:v>34.808055555599999</c:v>
                </c:pt>
                <c:pt idx="2">
                  <c:v>57.4709020134</c:v>
                </c:pt>
                <c:pt idx="3">
                  <c:v>59.127286111099998</c:v>
                </c:pt>
                <c:pt idx="4">
                  <c:v>68.731865591399995</c:v>
                </c:pt>
                <c:pt idx="5">
                  <c:v>100.65052016129999</c:v>
                </c:pt>
                <c:pt idx="6">
                  <c:v>46.020644345199997</c:v>
                </c:pt>
                <c:pt idx="7">
                  <c:v>63.850882907100001</c:v>
                </c:pt>
                <c:pt idx="8">
                  <c:v>39.798891666700001</c:v>
                </c:pt>
                <c:pt idx="9">
                  <c:v>52.202379032300001</c:v>
                </c:pt>
                <c:pt idx="10">
                  <c:v>66.072679166699999</c:v>
                </c:pt>
                <c:pt idx="11">
                  <c:v>95.233424731200003</c:v>
                </c:pt>
                <c:pt idx="12">
                  <c:v>122.80202284950001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12-40D8-8CBF-CFFB6BFFBAC4}"/>
            </c:ext>
          </c:extLst>
        </c:ser>
        <c:ser>
          <c:idx val="6"/>
          <c:order val="6"/>
          <c:tx>
            <c:strRef>
              <c:f>Dat_01!$H$471:$H$472</c:f>
              <c:strCache>
                <c:ptCount val="2"/>
                <c:pt idx="0">
                  <c:v>N2EX</c:v>
                </c:pt>
                <c:pt idx="1">
                  <c:v>Reino Unido</c:v>
                </c:pt>
              </c:strCache>
            </c:strRef>
          </c:tx>
          <c:spPr>
            <a:ln w="19050">
              <a:solidFill>
                <a:srgbClr val="6600CC"/>
              </a:solidFill>
            </a:ln>
          </c:spPr>
          <c:marker>
            <c:symbol val="none"/>
          </c:marker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Dat_01!$H$474:$H$486</c:f>
              <c:numCache>
                <c:formatCode>0.00</c:formatCode>
                <c:ptCount val="13"/>
                <c:pt idx="0">
                  <c:v>82.500147849499996</c:v>
                </c:pt>
                <c:pt idx="1">
                  <c:v>77.024888888899994</c:v>
                </c:pt>
                <c:pt idx="2">
                  <c:v>80.786680107500004</c:v>
                </c:pt>
                <c:pt idx="3">
                  <c:v>88.232763888899996</c:v>
                </c:pt>
                <c:pt idx="4">
                  <c:v>86.262016129000003</c:v>
                </c:pt>
                <c:pt idx="5">
                  <c:v>107.6122177419</c:v>
                </c:pt>
                <c:pt idx="6">
                  <c:v>92.584702381</c:v>
                </c:pt>
                <c:pt idx="7">
                  <c:v>110.3645625841</c:v>
                </c:pt>
                <c:pt idx="8">
                  <c:v>95.724319444399995</c:v>
                </c:pt>
                <c:pt idx="9">
                  <c:v>120.7447177419</c:v>
                </c:pt>
                <c:pt idx="10">
                  <c:v>114.8787222222</c:v>
                </c:pt>
                <c:pt idx="11">
                  <c:v>125.3962365591</c:v>
                </c:pt>
                <c:pt idx="12">
                  <c:v>149.8766666667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B12-40D8-8CBF-CFFB6BFFB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384824"/>
        <c:axId val="531385216"/>
      </c:lineChart>
      <c:catAx>
        <c:axId val="531384824"/>
        <c:scaling>
          <c:orientation val="minMax"/>
          <c:max val="13"/>
        </c:scaling>
        <c:delete val="0"/>
        <c:axPos val="b"/>
        <c:majorGridlines>
          <c:spPr>
            <a:ln w="3175">
              <a:solidFill>
                <a:srgbClr val="C6E1AE"/>
              </a:solidFill>
            </a:ln>
          </c:spPr>
        </c:majorGridlines>
        <c:numFmt formatCode="[$-C0A]mmm\-\y\y;@" sourceLinked="0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rgbClr val="004563"/>
                </a:solidFill>
              </a:defRPr>
            </a:pPr>
            <a:endParaRPr lang="es-ES"/>
          </a:p>
        </c:txPr>
        <c:crossAx val="531385216"/>
        <c:crosses val="autoZero"/>
        <c:auto val="1"/>
        <c:lblAlgn val="ctr"/>
        <c:lblOffset val="100"/>
        <c:noMultiLvlLbl val="0"/>
      </c:catAx>
      <c:valAx>
        <c:axId val="531385216"/>
        <c:scaling>
          <c:orientation val="minMax"/>
        </c:scaling>
        <c:delete val="0"/>
        <c:axPos val="l"/>
        <c:majorGridlines>
          <c:spPr>
            <a:ln>
              <a:solidFill>
                <a:srgbClr val="C6E1AE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rgbClr val="C6E1AE"/>
            </a:solidFill>
          </a:ln>
        </c:spPr>
        <c:txPr>
          <a:bodyPr/>
          <a:lstStyle/>
          <a:p>
            <a:pPr>
              <a:defRPr>
                <a:solidFill>
                  <a:srgbClr val="004563"/>
                </a:solidFill>
              </a:defRPr>
            </a:pPr>
            <a:endParaRPr lang="es-ES"/>
          </a:p>
        </c:txPr>
        <c:crossAx val="531384824"/>
        <c:crosses val="autoZero"/>
        <c:crossBetween val="midCat"/>
        <c:minorUnit val="0.5"/>
      </c:valAx>
      <c:spPr>
        <a:solidFill>
          <a:srgbClr val="F5F5F5"/>
        </a:solidFill>
        <a:ln>
          <a:noFill/>
        </a:ln>
      </c:spPr>
    </c:plotArea>
    <c:legend>
      <c:legendPos val="b"/>
      <c:layout>
        <c:manualLayout>
          <c:xMode val="edge"/>
          <c:yMode val="edge"/>
          <c:x val="2.1842108751557572E-2"/>
          <c:y val="0.90252894858730892"/>
          <c:w val="0.95051542881464157"/>
          <c:h val="7.9529216742644016E-2"/>
        </c:manualLayout>
      </c:layout>
      <c:overlay val="0"/>
      <c:txPr>
        <a:bodyPr/>
        <a:lstStyle/>
        <a:p>
          <a:pPr>
            <a:defRPr>
              <a:solidFill>
                <a:srgbClr val="004563"/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>
      <a:noFill/>
    </a:ln>
  </c:spPr>
  <c:txPr>
    <a:bodyPr/>
    <a:lstStyle/>
    <a:p>
      <a:pPr>
        <a:defRPr sz="800">
          <a:solidFill>
            <a:srgbClr val="292929"/>
          </a:solidFill>
          <a:latin typeface="Geogrotesque Cond Regular" pitchFamily="50" charset="0"/>
          <a:cs typeface="Arial" panose="020B0604020202020204" pitchFamily="34" charset="0"/>
        </a:defRPr>
      </a:pPr>
      <a:endParaRPr lang="es-ES"/>
    </a:p>
  </c:txPr>
  <c:printSettings>
    <c:headerFooter/>
    <c:pageMargins b="0.75000000000001388" l="0.70000000000000062" r="0.70000000000000062" t="0.750000000000013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893958282278312E-2"/>
          <c:y val="9.0012922696589517E-2"/>
          <c:w val="0.91010501218688988"/>
          <c:h val="0.7384910778770102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Dat_01!$B$493</c:f>
              <c:strCache>
                <c:ptCount val="1"/>
                <c:pt idx="0">
                  <c:v>Te coste energía</c:v>
                </c:pt>
              </c:strCache>
            </c:strRef>
          </c:tx>
          <c:spPr>
            <a:solidFill>
              <a:srgbClr val="83BE28"/>
            </a:solidFill>
          </c:spPr>
          <c:invertIfNegative val="0"/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Dat_01!$B$494:$B$506</c:f>
              <c:numCache>
                <c:formatCode>0.00</c:formatCode>
                <c:ptCount val="13"/>
                <c:pt idx="0">
                  <c:v>33.982108926282621</c:v>
                </c:pt>
                <c:pt idx="1">
                  <c:v>30.953398432508514</c:v>
                </c:pt>
                <c:pt idx="2">
                  <c:v>38.845886561838952</c:v>
                </c:pt>
                <c:pt idx="3">
                  <c:v>31.962466494863026</c:v>
                </c:pt>
                <c:pt idx="4">
                  <c:v>40.723071146627149</c:v>
                </c:pt>
                <c:pt idx="5">
                  <c:v>38.540996661928141</c:v>
                </c:pt>
                <c:pt idx="6">
                  <c:v>18.044945201992526</c:v>
                </c:pt>
                <c:pt idx="7">
                  <c:v>31.636893219086918</c:v>
                </c:pt>
                <c:pt idx="8">
                  <c:v>27.244573794534087</c:v>
                </c:pt>
                <c:pt idx="9">
                  <c:v>31.022369677920643</c:v>
                </c:pt>
                <c:pt idx="10">
                  <c:v>33.958947411608634</c:v>
                </c:pt>
                <c:pt idx="11">
                  <c:v>48.753372336741108</c:v>
                </c:pt>
                <c:pt idx="12">
                  <c:v>53.460100218631332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05-45D9-A347-0E5C74E853A6}"/>
            </c:ext>
          </c:extLst>
        </c:ser>
        <c:ser>
          <c:idx val="1"/>
          <c:order val="1"/>
          <c:tx>
            <c:strRef>
              <c:f>Dat_01!$C$493</c:f>
              <c:strCache>
                <c:ptCount val="1"/>
                <c:pt idx="0">
                  <c:v>Te ajuste con futuros</c:v>
                </c:pt>
              </c:strCache>
            </c:strRef>
          </c:tx>
          <c:spPr>
            <a:solidFill>
              <a:srgbClr val="97B9E0"/>
            </a:solidFill>
          </c:spPr>
          <c:invertIfNegative val="0"/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Dat_01!$C$494:$C$506</c:f>
              <c:numCache>
                <c:formatCode>0.00</c:formatCode>
                <c:ptCount val="13"/>
                <c:pt idx="0">
                  <c:v>0.45837908115469161</c:v>
                </c:pt>
                <c:pt idx="1">
                  <c:v>1.900069856177921</c:v>
                </c:pt>
                <c:pt idx="2">
                  <c:v>-0.7241756311536014</c:v>
                </c:pt>
                <c:pt idx="3">
                  <c:v>2.457004808219176</c:v>
                </c:pt>
                <c:pt idx="4">
                  <c:v>-0.86264325745366688</c:v>
                </c:pt>
                <c:pt idx="5">
                  <c:v>-1.659115594278239</c:v>
                </c:pt>
                <c:pt idx="6">
                  <c:v>7.7245187151930264</c:v>
                </c:pt>
                <c:pt idx="7">
                  <c:v>3.7048841957353842</c:v>
                </c:pt>
                <c:pt idx="8">
                  <c:v>1.3355846395987854</c:v>
                </c:pt>
                <c:pt idx="9">
                  <c:v>-1.5648728685577673</c:v>
                </c:pt>
                <c:pt idx="10">
                  <c:v>-3.5113131617169322</c:v>
                </c:pt>
                <c:pt idx="11">
                  <c:v>-6.9578264226933442</c:v>
                </c:pt>
                <c:pt idx="12">
                  <c:v>-9.6282364244560839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05-45D9-A347-0E5C74E853A6}"/>
            </c:ext>
          </c:extLst>
        </c:ser>
        <c:ser>
          <c:idx val="2"/>
          <c:order val="2"/>
          <c:tx>
            <c:strRef>
              <c:f>Dat_01!$D$493</c:f>
              <c:strCache>
                <c:ptCount val="1"/>
                <c:pt idx="0">
                  <c:v>Te peajes y cargos</c:v>
                </c:pt>
              </c:strCache>
            </c:strRef>
          </c:tx>
          <c:spPr>
            <a:solidFill>
              <a:srgbClr val="929292"/>
            </a:solidFill>
          </c:spPr>
          <c:invertIfNegative val="0"/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Dat_01!$D$494:$D$506</c:f>
              <c:numCache>
                <c:formatCode>0.00</c:formatCode>
                <c:ptCount val="13"/>
                <c:pt idx="0">
                  <c:v>11.764023789041095</c:v>
                </c:pt>
                <c:pt idx="1">
                  <c:v>11.384539150684931</c:v>
                </c:pt>
                <c:pt idx="2">
                  <c:v>11.764023789041095</c:v>
                </c:pt>
                <c:pt idx="3">
                  <c:v>11.384539150684931</c:v>
                </c:pt>
                <c:pt idx="4">
                  <c:v>11.764023789041095</c:v>
                </c:pt>
                <c:pt idx="5">
                  <c:v>12.381879098630138</c:v>
                </c:pt>
                <c:pt idx="6">
                  <c:v>11.183632734246576</c:v>
                </c:pt>
                <c:pt idx="7">
                  <c:v>12.381879098630138</c:v>
                </c:pt>
                <c:pt idx="8">
                  <c:v>11.982463643835615</c:v>
                </c:pt>
                <c:pt idx="9">
                  <c:v>12.381879098630138</c:v>
                </c:pt>
                <c:pt idx="10">
                  <c:v>11.982463643835615</c:v>
                </c:pt>
                <c:pt idx="11">
                  <c:v>12.381879098630138</c:v>
                </c:pt>
                <c:pt idx="12">
                  <c:v>12.381879098630138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05-45D9-A347-0E5C74E853A6}"/>
            </c:ext>
          </c:extLst>
        </c:ser>
        <c:ser>
          <c:idx val="3"/>
          <c:order val="3"/>
          <c:tx>
            <c:strRef>
              <c:f>Dat_01!$E$493</c:f>
              <c:strCache>
                <c:ptCount val="1"/>
                <c:pt idx="0">
                  <c:v>Término potencia</c:v>
                </c:pt>
              </c:strCache>
            </c:strRef>
          </c:tx>
          <c:spPr>
            <a:solidFill>
              <a:srgbClr val="C6E1AE"/>
            </a:solidFill>
          </c:spPr>
          <c:invertIfNegative val="0"/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Dat_01!$E$494:$E$506</c:f>
              <c:numCache>
                <c:formatCode>0.00</c:formatCode>
                <c:ptCount val="13"/>
                <c:pt idx="0">
                  <c:v>12.010099393972602</c:v>
                </c:pt>
                <c:pt idx="1">
                  <c:v>11.622676832876714</c:v>
                </c:pt>
                <c:pt idx="2">
                  <c:v>12.010099393972602</c:v>
                </c:pt>
                <c:pt idx="3">
                  <c:v>11.622676832876714</c:v>
                </c:pt>
                <c:pt idx="4">
                  <c:v>12.010099393972602</c:v>
                </c:pt>
                <c:pt idx="5">
                  <c:v>12.323310722191778</c:v>
                </c:pt>
                <c:pt idx="6">
                  <c:v>11.130732265205479</c:v>
                </c:pt>
                <c:pt idx="7">
                  <c:v>12.323310722191778</c:v>
                </c:pt>
                <c:pt idx="8">
                  <c:v>11.925784569863014</c:v>
                </c:pt>
                <c:pt idx="9">
                  <c:v>12.323310722191778</c:v>
                </c:pt>
                <c:pt idx="10">
                  <c:v>11.925784569863014</c:v>
                </c:pt>
                <c:pt idx="11">
                  <c:v>12.323310722191778</c:v>
                </c:pt>
                <c:pt idx="12">
                  <c:v>12.323310722191778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05-45D9-A347-0E5C74E853A6}"/>
            </c:ext>
          </c:extLst>
        </c:ser>
        <c:ser>
          <c:idx val="4"/>
          <c:order val="4"/>
          <c:tx>
            <c:strRef>
              <c:f>Dat_01!$F$493</c:f>
              <c:strCache>
                <c:ptCount val="1"/>
                <c:pt idx="0">
                  <c:v>Impuesto de electricidad</c:v>
                </c:pt>
              </c:strCache>
            </c:strRef>
          </c:tx>
          <c:spPr>
            <a:solidFill>
              <a:srgbClr val="E2161A"/>
            </a:solidFill>
          </c:spPr>
          <c:invertIfNegative val="0"/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Dat_01!$F$494:$F$506</c:f>
              <c:numCache>
                <c:formatCode>0.00</c:formatCode>
                <c:ptCount val="13"/>
                <c:pt idx="0">
                  <c:v>2.9763363422511082</c:v>
                </c:pt>
                <c:pt idx="1">
                  <c:v>2.8559872049747308</c:v>
                </c:pt>
                <c:pt idx="2">
                  <c:v>3.16454609486023</c:v>
                </c:pt>
                <c:pt idx="3">
                  <c:v>2.936052185028835</c:v>
                </c:pt>
                <c:pt idx="4">
                  <c:v>3.2534414145507853</c:v>
                </c:pt>
                <c:pt idx="5">
                  <c:v>3.1487599684977607</c:v>
                </c:pt>
                <c:pt idx="6">
                  <c:v>2.4583801996198562</c:v>
                </c:pt>
                <c:pt idx="7">
                  <c:v>0.30023483617822111</c:v>
                </c:pt>
                <c:pt idx="8">
                  <c:v>0.26244203323915749</c:v>
                </c:pt>
                <c:pt idx="9">
                  <c:v>0.27081343315092399</c:v>
                </c:pt>
                <c:pt idx="10">
                  <c:v>2.7790512567753907</c:v>
                </c:pt>
                <c:pt idx="11">
                  <c:v>3.3999807351903426</c:v>
                </c:pt>
                <c:pt idx="12">
                  <c:v>3.5040914865474404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05-45D9-A347-0E5C74E853A6}"/>
            </c:ext>
          </c:extLst>
        </c:ser>
        <c:ser>
          <c:idx val="5"/>
          <c:order val="5"/>
          <c:tx>
            <c:strRef>
              <c:f>Dat_01!$G$493</c:f>
              <c:strCache>
                <c:ptCount val="1"/>
                <c:pt idx="0">
                  <c:v>IVA</c:v>
                </c:pt>
              </c:strCache>
            </c:strRef>
          </c:tx>
          <c:spPr>
            <a:solidFill>
              <a:srgbClr val="62993E"/>
            </a:solidFill>
          </c:spPr>
          <c:invertIfNegative val="0"/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Dat_01!$G$494:$G$506</c:f>
              <c:numCache>
                <c:formatCode>0.00</c:formatCode>
                <c:ptCount val="13"/>
                <c:pt idx="0">
                  <c:v>12.850098981867445</c:v>
                </c:pt>
                <c:pt idx="1">
                  <c:v>12.330501010216789</c:v>
                </c:pt>
                <c:pt idx="2">
                  <c:v>13.662679843797449</c:v>
                </c:pt>
                <c:pt idx="3">
                  <c:v>12.676175289051264</c:v>
                </c:pt>
                <c:pt idx="4">
                  <c:v>14.046478422214973</c:v>
                </c:pt>
                <c:pt idx="5">
                  <c:v>13.59452447996361</c:v>
                </c:pt>
                <c:pt idx="6">
                  <c:v>10.613863914414068</c:v>
                </c:pt>
                <c:pt idx="7">
                  <c:v>6.0347202071822439</c:v>
                </c:pt>
                <c:pt idx="8">
                  <c:v>5.2750848681070659</c:v>
                </c:pt>
                <c:pt idx="9">
                  <c:v>5.4433500063335725</c:v>
                </c:pt>
                <c:pt idx="10">
                  <c:v>11.998336081276801</c:v>
                </c:pt>
                <c:pt idx="11">
                  <c:v>14.679150458712604</c:v>
                </c:pt>
                <c:pt idx="12">
                  <c:v>15.128640471324365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05-45D9-A347-0E5C74E85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0"/>
        <c:overlap val="100"/>
        <c:serLines>
          <c:spPr>
            <a:ln>
              <a:noFill/>
            </a:ln>
          </c:spPr>
        </c:serLines>
        <c:axId val="531383648"/>
        <c:axId val="531384040"/>
      </c:barChart>
      <c:catAx>
        <c:axId val="531383648"/>
        <c:scaling>
          <c:orientation val="minMax"/>
        </c:scaling>
        <c:delete val="0"/>
        <c:axPos val="b"/>
        <c:majorGridlines>
          <c:spPr>
            <a:ln>
              <a:solidFill>
                <a:srgbClr val="C6E1AE"/>
              </a:solidFill>
            </a:ln>
          </c:spPr>
        </c:majorGridlines>
        <c:numFmt formatCode="General" sourceLinked="1"/>
        <c:majorTickMark val="none"/>
        <c:minorTickMark val="none"/>
        <c:tickLblPos val="low"/>
        <c:spPr>
          <a:ln>
            <a:solidFill>
              <a:srgbClr val="C6E1AE"/>
            </a:solidFill>
          </a:ln>
        </c:spPr>
        <c:txPr>
          <a:bodyPr/>
          <a:lstStyle/>
          <a:p>
            <a:pPr>
              <a:defRPr>
                <a:solidFill>
                  <a:srgbClr val="004563"/>
                </a:solidFill>
              </a:defRPr>
            </a:pPr>
            <a:endParaRPr lang="es-ES"/>
          </a:p>
        </c:txPr>
        <c:crossAx val="531384040"/>
        <c:crosses val="autoZero"/>
        <c:auto val="1"/>
        <c:lblAlgn val="ctr"/>
        <c:lblOffset val="100"/>
        <c:noMultiLvlLbl val="0"/>
      </c:catAx>
      <c:valAx>
        <c:axId val="531384040"/>
        <c:scaling>
          <c:orientation val="minMax"/>
        </c:scaling>
        <c:delete val="0"/>
        <c:axPos val="l"/>
        <c:majorGridlines>
          <c:spPr>
            <a:ln>
              <a:solidFill>
                <a:srgbClr val="C6E1AE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rgbClr val="C6E1AE"/>
            </a:solidFill>
          </a:ln>
        </c:spPr>
        <c:txPr>
          <a:bodyPr/>
          <a:lstStyle/>
          <a:p>
            <a:pPr>
              <a:defRPr>
                <a:solidFill>
                  <a:srgbClr val="004563"/>
                </a:solidFill>
              </a:defRPr>
            </a:pPr>
            <a:endParaRPr lang="es-ES"/>
          </a:p>
        </c:txPr>
        <c:crossAx val="531383648"/>
        <c:crosses val="autoZero"/>
        <c:crossBetween val="between"/>
      </c:valAx>
      <c:spPr>
        <a:solidFill>
          <a:srgbClr val="F5F5F5"/>
        </a:solidFill>
      </c:spPr>
    </c:plotArea>
    <c:legend>
      <c:legendPos val="b"/>
      <c:layout>
        <c:manualLayout>
          <c:xMode val="edge"/>
          <c:yMode val="edge"/>
          <c:x val="0.10331467929401636"/>
          <c:y val="0.92386960889148118"/>
          <c:w val="0.75647895581544267"/>
          <c:h val="6.7061663588347739E-2"/>
        </c:manualLayout>
      </c:layout>
      <c:overlay val="0"/>
      <c:txPr>
        <a:bodyPr/>
        <a:lstStyle/>
        <a:p>
          <a:pPr>
            <a:defRPr>
              <a:solidFill>
                <a:srgbClr val="004563"/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>
      <a:noFill/>
    </a:ln>
  </c:spPr>
  <c:txPr>
    <a:bodyPr/>
    <a:lstStyle/>
    <a:p>
      <a:pPr>
        <a:defRPr sz="800">
          <a:solidFill>
            <a:srgbClr val="292929"/>
          </a:solidFill>
          <a:latin typeface="Geogrotesque Cond Regular" pitchFamily="50" charset="0"/>
        </a:defRPr>
      </a:pPr>
      <a:endParaRPr lang="es-ES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693813070936983E-2"/>
          <c:y val="0.20901159094243654"/>
          <c:w val="0.87712252783722078"/>
          <c:h val="0.6673859245855137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Dat_01!$C$424</c:f>
              <c:strCache>
                <c:ptCount val="1"/>
                <c:pt idx="0">
                  <c:v>%h con p=&lt;0</c:v>
                </c:pt>
              </c:strCache>
            </c:strRef>
          </c:tx>
          <c:spPr>
            <a:solidFill>
              <a:srgbClr val="0090D1"/>
            </a:solidFill>
            <a:ln>
              <a:noFill/>
            </a:ln>
          </c:spPr>
          <c:invertIfNegative val="0"/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Dat_01!$C$425:$C$437</c:f>
              <c:numCache>
                <c:formatCode>#,##0.00</c:formatCode>
                <c:ptCount val="13"/>
                <c:pt idx="0">
                  <c:v>7.661290322580645</c:v>
                </c:pt>
                <c:pt idx="1">
                  <c:v>9.1666666666666661</c:v>
                </c:pt>
                <c:pt idx="2">
                  <c:v>3.5906040268456376</c:v>
                </c:pt>
                <c:pt idx="3">
                  <c:v>2.5</c:v>
                </c:pt>
                <c:pt idx="5">
                  <c:v>2.8561827956989245</c:v>
                </c:pt>
                <c:pt idx="6">
                  <c:v>31.659226190476193</c:v>
                </c:pt>
                <c:pt idx="7">
                  <c:v>20.861372812920592</c:v>
                </c:pt>
                <c:pt idx="8">
                  <c:v>24.930555555555557</c:v>
                </c:pt>
                <c:pt idx="9">
                  <c:v>19.959677419354836</c:v>
                </c:pt>
                <c:pt idx="10">
                  <c:v>16.909722222222221</c:v>
                </c:pt>
                <c:pt idx="11">
                  <c:v>10.786290322580646</c:v>
                </c:pt>
                <c:pt idx="12">
                  <c:v>8.6693548387096779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98-4846-8912-87805C30CFB4}"/>
            </c:ext>
          </c:extLst>
        </c:ser>
        <c:ser>
          <c:idx val="1"/>
          <c:order val="1"/>
          <c:tx>
            <c:strRef>
              <c:f>Dat_01!$D$424</c:f>
              <c:strCache>
                <c:ptCount val="1"/>
                <c:pt idx="0">
                  <c:v>%h con 0&lt;p=&lt;50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</c:spPr>
          <c:invertIfNegative val="0"/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Dat_01!$D$425:$D$437</c:f>
              <c:numCache>
                <c:formatCode>#,##0.00</c:formatCode>
                <c:ptCount val="13"/>
                <c:pt idx="0">
                  <c:v>25.537634408602152</c:v>
                </c:pt>
                <c:pt idx="1">
                  <c:v>31.25</c:v>
                </c:pt>
                <c:pt idx="2">
                  <c:v>27.114093959731544</c:v>
                </c:pt>
                <c:pt idx="3">
                  <c:v>39.340277777777779</c:v>
                </c:pt>
                <c:pt idx="4">
                  <c:v>15.32258064516129</c:v>
                </c:pt>
                <c:pt idx="5">
                  <c:v>26.512096774193552</c:v>
                </c:pt>
                <c:pt idx="6">
                  <c:v>58.816964285714292</c:v>
                </c:pt>
                <c:pt idx="7">
                  <c:v>45.289367429340508</c:v>
                </c:pt>
                <c:pt idx="8">
                  <c:v>32.708333333333336</c:v>
                </c:pt>
                <c:pt idx="9">
                  <c:v>28.931451612903224</c:v>
                </c:pt>
                <c:pt idx="10">
                  <c:v>21.25</c:v>
                </c:pt>
                <c:pt idx="11">
                  <c:v>12.936827956989246</c:v>
                </c:pt>
                <c:pt idx="12">
                  <c:v>19.489247311827956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98-4846-8912-87805C30CFB4}"/>
            </c:ext>
          </c:extLst>
        </c:ser>
        <c:ser>
          <c:idx val="2"/>
          <c:order val="2"/>
          <c:tx>
            <c:strRef>
              <c:f>Dat_01!$E$424</c:f>
              <c:strCache>
                <c:ptCount val="1"/>
                <c:pt idx="0">
                  <c:v>%h con 50&lt;p=&lt;100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</c:spPr>
          <c:invertIfNegative val="0"/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Dat_01!$E$425:$E$437</c:f>
              <c:numCache>
                <c:formatCode>#,##0.00</c:formatCode>
                <c:ptCount val="13"/>
                <c:pt idx="0">
                  <c:v>37.365591397849464</c:v>
                </c:pt>
                <c:pt idx="1">
                  <c:v>39.305555555555557</c:v>
                </c:pt>
                <c:pt idx="2">
                  <c:v>31.006711409395969</c:v>
                </c:pt>
                <c:pt idx="3">
                  <c:v>43.402777777777779</c:v>
                </c:pt>
                <c:pt idx="4">
                  <c:v>64.4489247311828</c:v>
                </c:pt>
                <c:pt idx="5">
                  <c:v>43.346774193548384</c:v>
                </c:pt>
                <c:pt idx="6">
                  <c:v>6.510416666666667</c:v>
                </c:pt>
                <c:pt idx="7">
                  <c:v>20.928667563930013</c:v>
                </c:pt>
                <c:pt idx="8">
                  <c:v>33.333333333333329</c:v>
                </c:pt>
                <c:pt idx="9">
                  <c:v>26.948924731182792</c:v>
                </c:pt>
                <c:pt idx="10">
                  <c:v>25.381944444444443</c:v>
                </c:pt>
                <c:pt idx="11">
                  <c:v>20.530913978494624</c:v>
                </c:pt>
                <c:pt idx="12">
                  <c:v>8.702956989247312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98-4846-8912-87805C30CFB4}"/>
            </c:ext>
          </c:extLst>
        </c:ser>
        <c:ser>
          <c:idx val="4"/>
          <c:order val="3"/>
          <c:tx>
            <c:strRef>
              <c:f>Dat_01!$F$424</c:f>
              <c:strCache>
                <c:ptCount val="1"/>
                <c:pt idx="0">
                  <c:v>%h con 100&lt;p=&lt;150</c:v>
                </c:pt>
              </c:strCache>
            </c:strRef>
          </c:tx>
          <c:spPr>
            <a:solidFill>
              <a:srgbClr val="9999FF"/>
            </a:solidFill>
            <a:ln>
              <a:noFill/>
            </a:ln>
          </c:spPr>
          <c:invertIfNegative val="0"/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Dat_01!$F$425:$F$437</c:f>
              <c:numCache>
                <c:formatCode>#,##0.00</c:formatCode>
                <c:ptCount val="13"/>
                <c:pt idx="0">
                  <c:v>28.62903225806452</c:v>
                </c:pt>
                <c:pt idx="1">
                  <c:v>18.888888888888889</c:v>
                </c:pt>
                <c:pt idx="2">
                  <c:v>34.161073825503358</c:v>
                </c:pt>
                <c:pt idx="3">
                  <c:v>14.131944444444445</c:v>
                </c:pt>
                <c:pt idx="4">
                  <c:v>19.959677419354836</c:v>
                </c:pt>
                <c:pt idx="5">
                  <c:v>25.60483870967742</c:v>
                </c:pt>
                <c:pt idx="6">
                  <c:v>2.864583333333333</c:v>
                </c:pt>
                <c:pt idx="7">
                  <c:v>9.4549125168236881</c:v>
                </c:pt>
                <c:pt idx="8">
                  <c:v>8.9236111111111107</c:v>
                </c:pt>
                <c:pt idx="9">
                  <c:v>23.084677419354836</c:v>
                </c:pt>
                <c:pt idx="10">
                  <c:v>34.583333333333336</c:v>
                </c:pt>
                <c:pt idx="11">
                  <c:v>21.63978494623656</c:v>
                </c:pt>
                <c:pt idx="12">
                  <c:v>8.8037634408602159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98-4846-8912-87805C30CFB4}"/>
            </c:ext>
          </c:extLst>
        </c:ser>
        <c:ser>
          <c:idx val="3"/>
          <c:order val="4"/>
          <c:tx>
            <c:strRef>
              <c:f>Dat_01!$G$424</c:f>
              <c:strCache>
                <c:ptCount val="1"/>
                <c:pt idx="0">
                  <c:v>%h con p&gt;150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Dat_01!$G$425:$G$437</c:f>
              <c:numCache>
                <c:formatCode>#,##0.00</c:formatCode>
                <c:ptCount val="13"/>
                <c:pt idx="0">
                  <c:v>0.80645161290322576</c:v>
                </c:pt>
                <c:pt idx="1">
                  <c:v>1.3888888888888888</c:v>
                </c:pt>
                <c:pt idx="2">
                  <c:v>4.1275167785234901</c:v>
                </c:pt>
                <c:pt idx="3">
                  <c:v>0.625</c:v>
                </c:pt>
                <c:pt idx="4">
                  <c:v>0.26881720430107531</c:v>
                </c:pt>
                <c:pt idx="5">
                  <c:v>1.6801075268817203</c:v>
                </c:pt>
                <c:pt idx="6">
                  <c:v>0.14880952380952381</c:v>
                </c:pt>
                <c:pt idx="7">
                  <c:v>3.4656796769851947</c:v>
                </c:pt>
                <c:pt idx="8">
                  <c:v>0.10416666666666667</c:v>
                </c:pt>
                <c:pt idx="9">
                  <c:v>1.0752688172043012</c:v>
                </c:pt>
                <c:pt idx="10">
                  <c:v>1.875</c:v>
                </c:pt>
                <c:pt idx="11">
                  <c:v>34.106182795698928</c:v>
                </c:pt>
                <c:pt idx="12">
                  <c:v>54.33467741935484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98-4846-8912-87805C30C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404552248"/>
        <c:axId val="404552640"/>
      </c:barChart>
      <c:catAx>
        <c:axId val="404552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65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04552640"/>
        <c:crosses val="autoZero"/>
        <c:auto val="1"/>
        <c:lblAlgn val="ctr"/>
        <c:lblOffset val="100"/>
        <c:noMultiLvlLbl val="0"/>
      </c:catAx>
      <c:valAx>
        <c:axId val="4045526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04552248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3.8673141565806292E-2"/>
          <c:y val="2.5990903183885639E-2"/>
          <c:w val="0.93344979650823001"/>
          <c:h val="0.15543583367868491"/>
        </c:manualLayout>
      </c:layout>
      <c:overlay val="0"/>
    </c:legend>
    <c:plotVisOnly val="1"/>
    <c:dispBlanksAs val="gap"/>
    <c:showDLblsOverMax val="0"/>
  </c:chart>
  <c:spPr>
    <a:solidFill>
      <a:schemeClr val="bg1">
        <a:lumMod val="95000"/>
      </a:schemeClr>
    </a:solidFill>
    <a:ln>
      <a:noFill/>
    </a:ln>
  </c:spPr>
  <c:txPr>
    <a:bodyPr/>
    <a:lstStyle/>
    <a:p>
      <a:pPr>
        <a:defRPr sz="800" b="0" i="0" u="none" strike="noStrike" baseline="0">
          <a:solidFill>
            <a:srgbClr val="004563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55" verticalDpi="355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693853339453519E-2"/>
          <c:y val="0.15240642593607068"/>
          <c:w val="0.87712252783722078"/>
          <c:h val="0.68808986767279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Dat_01!$D$451</c:f>
              <c:strCache>
                <c:ptCount val="1"/>
                <c:pt idx="0">
                  <c:v>Mercados Diario e Intradiario 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Dat_01!$D$453:$D$465</c:f>
              <c:numCache>
                <c:formatCode>0.00</c:formatCode>
                <c:ptCount val="13"/>
                <c:pt idx="0">
                  <c:v>67.86735214330001</c:v>
                </c:pt>
                <c:pt idx="1">
                  <c:v>60.696760837500001</c:v>
                </c:pt>
                <c:pt idx="2">
                  <c:v>76.415345546300003</c:v>
                </c:pt>
                <c:pt idx="3">
                  <c:v>60.305761306500003</c:v>
                </c:pt>
                <c:pt idx="4">
                  <c:v>79.995139508499989</c:v>
                </c:pt>
                <c:pt idx="5">
                  <c:v>73.350788696699993</c:v>
                </c:pt>
                <c:pt idx="6">
                  <c:v>17.765695705999999</c:v>
                </c:pt>
                <c:pt idx="7">
                  <c:v>43.939310489600004</c:v>
                </c:pt>
                <c:pt idx="8">
                  <c:v>42.869546662600001</c:v>
                </c:pt>
                <c:pt idx="9">
                  <c:v>53.490480308899997</c:v>
                </c:pt>
                <c:pt idx="10">
                  <c:v>69.47499980309999</c:v>
                </c:pt>
                <c:pt idx="11">
                  <c:v>104.3839295492</c:v>
                </c:pt>
                <c:pt idx="12">
                  <c:v>116.94215965799999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BE-4212-B443-BEBAB3D3ACF8}"/>
            </c:ext>
          </c:extLst>
        </c:ser>
        <c:ser>
          <c:idx val="1"/>
          <c:order val="1"/>
          <c:tx>
            <c:strRef>
              <c:f>Dat_01!$E$451</c:f>
              <c:strCache>
                <c:ptCount val="1"/>
                <c:pt idx="0">
                  <c:v>Servicios de ajuste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Dat_01!$E$453:$E$465</c:f>
              <c:numCache>
                <c:formatCode>0.00</c:formatCode>
                <c:ptCount val="13"/>
                <c:pt idx="0">
                  <c:v>13.070550368200001</c:v>
                </c:pt>
                <c:pt idx="1">
                  <c:v>16.371915236299998</c:v>
                </c:pt>
                <c:pt idx="2">
                  <c:v>17.298976390300002</c:v>
                </c:pt>
                <c:pt idx="3">
                  <c:v>16.011915831199996</c:v>
                </c:pt>
                <c:pt idx="4">
                  <c:v>13.648843053900002</c:v>
                </c:pt>
                <c:pt idx="5">
                  <c:v>14.338369997300003</c:v>
                </c:pt>
                <c:pt idx="6">
                  <c:v>23.911267803699996</c:v>
                </c:pt>
                <c:pt idx="7">
                  <c:v>27.300125441199999</c:v>
                </c:pt>
                <c:pt idx="8">
                  <c:v>20.636702039900005</c:v>
                </c:pt>
                <c:pt idx="9">
                  <c:v>20.261777813300004</c:v>
                </c:pt>
                <c:pt idx="10">
                  <c:v>17.4370919196</c:v>
                </c:pt>
                <c:pt idx="11">
                  <c:v>17.781368195899997</c:v>
                </c:pt>
                <c:pt idx="12">
                  <c:v>17.563023739400002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BE-4212-B443-BEBAB3D3ACF8}"/>
            </c:ext>
          </c:extLst>
        </c:ser>
        <c:ser>
          <c:idx val="2"/>
          <c:order val="2"/>
          <c:tx>
            <c:strRef>
              <c:f>Dat_01!$F$451</c:f>
              <c:strCache>
                <c:ptCount val="1"/>
                <c:pt idx="0">
                  <c:v>Pagos por capacidad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cat>
            <c:strRef>
              <c:f>Dat_01!$A$425:$A$437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Dat_01!$F$453:$F$465</c:f>
              <c:numCache>
                <c:formatCode>0.00</c:formatCode>
                <c:ptCount val="13"/>
                <c:pt idx="0">
                  <c:v>0.1428973409</c:v>
                </c:pt>
                <c:pt idx="1">
                  <c:v>0.15202778519999999</c:v>
                </c:pt>
                <c:pt idx="2">
                  <c:v>0.1437232759</c:v>
                </c:pt>
                <c:pt idx="3">
                  <c:v>0.1762569182</c:v>
                </c:pt>
                <c:pt idx="4">
                  <c:v>0.26816459869999998</c:v>
                </c:pt>
                <c:pt idx="5">
                  <c:v>0.24420658989999999</c:v>
                </c:pt>
                <c:pt idx="6">
                  <c:v>0.25911674759999997</c:v>
                </c:pt>
                <c:pt idx="7">
                  <c:v>0.17325188799999999</c:v>
                </c:pt>
                <c:pt idx="8">
                  <c:v>0.13393517329999999</c:v>
                </c:pt>
                <c:pt idx="9">
                  <c:v>0.117391838</c:v>
                </c:pt>
                <c:pt idx="10">
                  <c:v>0.14573198609999999</c:v>
                </c:pt>
                <c:pt idx="11">
                  <c:v>0.2639183175</c:v>
                </c:pt>
                <c:pt idx="12">
                  <c:v>0.14158742299999999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BE-4212-B443-BEBAB3D3A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3133952"/>
        <c:axId val="403134344"/>
        <c:extLst>
          <c:ext xmlns:c15="http://schemas.microsoft.com/office/drawing/2012/chart" uri="{02D57815-91ED-43cb-92C2-25804820EDAC}">
            <c15:filteredBarSeries>
              <c15:ser>
                <c:idx val="4"/>
                <c:order val="3"/>
                <c:tx>
                  <c:strRef>
                    <c:extLst>
                      <c:ext uri="{02D57815-91ED-43cb-92C2-25804820EDAC}">
                        <c15:formulaRef>
                          <c15:sqref>Dat_01!$G$451</c15:sqref>
                        </c15:formulaRef>
                      </c:ext>
                    </c:extLst>
                    <c:strCache>
                      <c:ptCount val="1"/>
                      <c:pt idx="0">
                        <c:v>Mecanismo ajuste RD-L 10/2022</c:v>
                      </c:pt>
                    </c:strCache>
                  </c:strRef>
                </c:tx>
                <c:spPr>
                  <a:solidFill>
                    <a:srgbClr val="9999FF"/>
                  </a:solidFill>
                  <a:ln>
                    <a:noFill/>
                  </a:ln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Dat_01!$A$425:$A$437</c15:sqref>
                        </c15:formulaRef>
                      </c:ext>
                    </c:extLst>
                    <c:strCache>
                      <c:ptCount val="13"/>
                      <c:pt idx="0">
                        <c:v>A</c:v>
                      </c:pt>
                      <c:pt idx="1">
                        <c:v>S</c:v>
                      </c:pt>
                      <c:pt idx="2">
                        <c:v>O</c:v>
                      </c:pt>
                      <c:pt idx="3">
                        <c:v>N</c:v>
                      </c:pt>
                      <c:pt idx="4">
                        <c:v>D</c:v>
                      </c:pt>
                      <c:pt idx="5">
                        <c:v>E</c:v>
                      </c:pt>
                      <c:pt idx="6">
                        <c:v>F</c:v>
                      </c:pt>
                      <c:pt idx="7">
                        <c:v>M</c:v>
                      </c:pt>
                      <c:pt idx="8">
                        <c:v>A</c:v>
                      </c:pt>
                      <c:pt idx="9">
                        <c:v>M</c:v>
                      </c:pt>
                      <c:pt idx="10">
                        <c:v>J</c:v>
                      </c:pt>
                      <c:pt idx="11">
                        <c:v>J</c:v>
                      </c:pt>
                      <c:pt idx="12">
                        <c:v>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Dat_01!$G$453:$G$465</c15:sqref>
                        </c15:formulaRef>
                      </c:ext>
                    </c:extLst>
                    <c:numCache>
                      <c:formatCode>0.00</c:formatCode>
                      <c:ptCount val="1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84BE-4212-B443-BEBAB3D3ACF8}"/>
                  </c:ext>
                </c:extLst>
              </c15:ser>
            </c15:filteredBarSeries>
          </c:ext>
        </c:extLst>
      </c:barChart>
      <c:catAx>
        <c:axId val="40313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65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03134344"/>
        <c:crosses val="autoZero"/>
        <c:auto val="1"/>
        <c:lblAlgn val="ctr"/>
        <c:lblOffset val="100"/>
        <c:noMultiLvlLbl val="0"/>
      </c:catAx>
      <c:valAx>
        <c:axId val="403134344"/>
        <c:scaling>
          <c:orientation val="minMax"/>
          <c:min val="-2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03133952"/>
        <c:crosses val="autoZero"/>
        <c:crossBetween val="between"/>
        <c:minorUnit val="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1373867458450214"/>
          <c:y val="4.1666693738641951E-2"/>
          <c:w val="0.81427070604028751"/>
          <c:h val="6.287840131800551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4563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55" verticalDpi="355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78568794603154"/>
          <c:y val="0.18243889337663954"/>
          <c:w val="0.47563523567818483"/>
          <c:h val="0.64574311408405372"/>
        </c:manualLayout>
      </c:layout>
      <c:doughnutChart>
        <c:varyColors val="1"/>
        <c:ser>
          <c:idx val="0"/>
          <c:order val="0"/>
          <c:spPr>
            <a:ln>
              <a:noFill/>
            </a:ln>
          </c:spPr>
          <c:explosion val="4"/>
          <c:dPt>
            <c:idx val="0"/>
            <c:bubble3D val="0"/>
            <c:explosion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56-4F53-B839-2C55EC8A8294}"/>
              </c:ext>
            </c:extLst>
          </c:dPt>
          <c:dPt>
            <c:idx val="1"/>
            <c:bubble3D val="0"/>
            <c:explosion val="0"/>
            <c:spPr>
              <a:solidFill>
                <a:srgbClr val="C00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A56-4F53-B839-2C55EC8A8294}"/>
              </c:ext>
            </c:extLst>
          </c:dPt>
          <c:dPt>
            <c:idx val="2"/>
            <c:bubble3D val="0"/>
            <c:explosion val="0"/>
            <c:spPr>
              <a:solidFill>
                <a:srgbClr val="9999F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A56-4F53-B839-2C55EC8A8294}"/>
              </c:ext>
            </c:extLst>
          </c:dPt>
          <c:dPt>
            <c:idx val="3"/>
            <c:bubble3D val="0"/>
            <c:explosion val="0"/>
            <c:spPr>
              <a:solidFill>
                <a:srgbClr val="FFC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56-4F53-B839-2C55EC8A8294}"/>
              </c:ext>
            </c:extLst>
          </c:dPt>
          <c:dLbls>
            <c:dLbl>
              <c:idx val="0"/>
              <c:layout>
                <c:manualLayout>
                  <c:x val="0.15336316158036253"/>
                  <c:y val="-9.754825493578131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56-4F53-B839-2C55EC8A8294}"/>
                </c:ext>
              </c:extLst>
            </c:dLbl>
            <c:dLbl>
              <c:idx val="1"/>
              <c:layout>
                <c:manualLayout>
                  <c:x val="-3.4424469853691915E-2"/>
                  <c:y val="0.1606649423102351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marL="0" marR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900" b="0" i="0" u="none" strike="noStrike" kern="1200" baseline="0">
                      <a:solidFill>
                        <a:srgbClr val="00456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1317467699429629"/>
                      <c:h val="0.1553360860603658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DA56-4F53-B839-2C55EC8A82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56-4F53-B839-2C55EC8A8294}"/>
                </c:ext>
              </c:extLst>
            </c:dLbl>
            <c:dLbl>
              <c:idx val="3"/>
              <c:layout>
                <c:manualLayout>
                  <c:x val="-0.17198539591919645"/>
                  <c:y val="7.276723279076870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marL="0" marR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900" b="0" i="0" u="none" strike="noStrike" kern="1200" baseline="0">
                      <a:solidFill>
                        <a:srgbClr val="00456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56-4F53-B839-2C55EC8A829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456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Dat_01!$D$93:$G$93</c:f>
              <c:strCache>
                <c:ptCount val="4"/>
                <c:pt idx="0">
                  <c:v>Mercado diario e intradiario</c:v>
                </c:pt>
                <c:pt idx="1">
                  <c:v>Pagos  por capacidad</c:v>
                </c:pt>
                <c:pt idx="3">
                  <c:v>Servicios de ajuste</c:v>
                </c:pt>
              </c:strCache>
            </c:strRef>
          </c:cat>
          <c:val>
            <c:numRef>
              <c:f>Dat_01!$D$94:$G$94</c:f>
              <c:numCache>
                <c:formatCode>0.00</c:formatCode>
                <c:ptCount val="4"/>
                <c:pt idx="0">
                  <c:v>116.94215965799999</c:v>
                </c:pt>
                <c:pt idx="1">
                  <c:v>0.14158742299999999</c:v>
                </c:pt>
                <c:pt idx="3">
                  <c:v>17.563023739400002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A56-4F53-B839-2C55EC8A8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64"/>
        <c:holeSize val="59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55371026226564E-2"/>
          <c:y val="0.22047244094488189"/>
          <c:w val="0.89127868066858906"/>
          <c:h val="0.649606299212598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Dat_01!$A$81</c:f>
              <c:strCache>
                <c:ptCount val="1"/>
                <c:pt idx="0">
                  <c:v>Restricciones técnicas PDBF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</c:spPr>
          <c:invertIfNegative val="0"/>
          <c:cat>
            <c:strRef>
              <c:f>Dat_01!$B$80:$N$80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Dat_01!$B$81:$N$81</c:f>
              <c:numCache>
                <c:formatCode>#,##0.00</c:formatCode>
                <c:ptCount val="13"/>
                <c:pt idx="0">
                  <c:v>8.3172733096000009</c:v>
                </c:pt>
                <c:pt idx="1">
                  <c:v>10.013033700999999</c:v>
                </c:pt>
                <c:pt idx="2">
                  <c:v>11.0648208413</c:v>
                </c:pt>
                <c:pt idx="3">
                  <c:v>13.1341028947</c:v>
                </c:pt>
                <c:pt idx="4">
                  <c:v>11.4145450111</c:v>
                </c:pt>
                <c:pt idx="5">
                  <c:v>11.970237106700001</c:v>
                </c:pt>
                <c:pt idx="6">
                  <c:v>21.6334626845</c:v>
                </c:pt>
                <c:pt idx="7">
                  <c:v>24.597781079600001</c:v>
                </c:pt>
                <c:pt idx="8">
                  <c:v>17.4964251064</c:v>
                </c:pt>
                <c:pt idx="9">
                  <c:v>16.0017990174</c:v>
                </c:pt>
                <c:pt idx="10">
                  <c:v>12.7360501905</c:v>
                </c:pt>
                <c:pt idx="11">
                  <c:v>12.7829078407</c:v>
                </c:pt>
                <c:pt idx="12">
                  <c:v>13.1621093911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17-4434-B940-F43E72455419}"/>
            </c:ext>
          </c:extLst>
        </c:ser>
        <c:ser>
          <c:idx val="6"/>
          <c:order val="1"/>
          <c:tx>
            <c:strRef>
              <c:f>Dat_01!$A$82</c:f>
              <c:strCache>
                <c:ptCount val="1"/>
                <c:pt idx="0">
                  <c:v>Restricciones técnicas en tiempo real</c:v>
                </c:pt>
              </c:strCache>
            </c:strRef>
          </c:tx>
          <c:spPr>
            <a:solidFill>
              <a:srgbClr val="CC6600"/>
            </a:solidFill>
          </c:spPr>
          <c:invertIfNegative val="0"/>
          <c:cat>
            <c:strRef>
              <c:f>Dat_01!$B$80:$N$80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Dat_01!$B$82:$N$82</c:f>
              <c:numCache>
                <c:formatCode>#,##0.00</c:formatCode>
                <c:ptCount val="13"/>
                <c:pt idx="0">
                  <c:v>3.0296625466</c:v>
                </c:pt>
                <c:pt idx="1">
                  <c:v>4.4346407675000004</c:v>
                </c:pt>
                <c:pt idx="2">
                  <c:v>4.7822336275000001</c:v>
                </c:pt>
                <c:pt idx="3">
                  <c:v>1.2714298793000001</c:v>
                </c:pt>
                <c:pt idx="4">
                  <c:v>1.2625617999000001</c:v>
                </c:pt>
                <c:pt idx="5">
                  <c:v>1.8598326861000001</c:v>
                </c:pt>
                <c:pt idx="6">
                  <c:v>1.4358494881999999</c:v>
                </c:pt>
                <c:pt idx="7">
                  <c:v>1.9075089032999999</c:v>
                </c:pt>
                <c:pt idx="8">
                  <c:v>2.4546829225</c:v>
                </c:pt>
                <c:pt idx="9">
                  <c:v>3.4046782386999999</c:v>
                </c:pt>
                <c:pt idx="10">
                  <c:v>4.0053070122000003</c:v>
                </c:pt>
                <c:pt idx="11">
                  <c:v>4.5318259035999997</c:v>
                </c:pt>
                <c:pt idx="12">
                  <c:v>2.6655073215999998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17-4434-B940-F43E72455419}"/>
            </c:ext>
          </c:extLst>
        </c:ser>
        <c:ser>
          <c:idx val="2"/>
          <c:order val="2"/>
          <c:tx>
            <c:strRef>
              <c:f>Dat_01!$A$83</c:f>
              <c:strCache>
                <c:ptCount val="1"/>
                <c:pt idx="0">
                  <c:v>Reserva secundaria y SRAD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invertIfNegative val="0"/>
          <c:cat>
            <c:strRef>
              <c:f>Dat_01!$B$80:$N$80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Dat_01!$B$83:$N$83</c:f>
              <c:numCache>
                <c:formatCode>#,##0.00</c:formatCode>
                <c:ptCount val="13"/>
                <c:pt idx="0">
                  <c:v>3.0643609133999998</c:v>
                </c:pt>
                <c:pt idx="1">
                  <c:v>3.4183796629000001</c:v>
                </c:pt>
                <c:pt idx="2">
                  <c:v>3.5003681948000001</c:v>
                </c:pt>
                <c:pt idx="3">
                  <c:v>2.8457156008000002</c:v>
                </c:pt>
                <c:pt idx="4">
                  <c:v>2.1806151651999999</c:v>
                </c:pt>
                <c:pt idx="5">
                  <c:v>2.9064976129</c:v>
                </c:pt>
                <c:pt idx="6">
                  <c:v>3.0122198654000001</c:v>
                </c:pt>
                <c:pt idx="7">
                  <c:v>3.0886704305000001</c:v>
                </c:pt>
                <c:pt idx="8">
                  <c:v>3.3760902361</c:v>
                </c:pt>
                <c:pt idx="9">
                  <c:v>3.5880910248000002</c:v>
                </c:pt>
                <c:pt idx="10">
                  <c:v>3.3604573068999999</c:v>
                </c:pt>
                <c:pt idx="11">
                  <c:v>2.6099082342000002</c:v>
                </c:pt>
                <c:pt idx="12">
                  <c:v>3.3836886223999998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17-4434-B940-F43E72455419}"/>
            </c:ext>
          </c:extLst>
        </c:ser>
        <c:ser>
          <c:idx val="1"/>
          <c:order val="3"/>
          <c:tx>
            <c:strRef>
              <c:f>Dat_01!$A$84</c:f>
              <c:strCache>
                <c:ptCount val="1"/>
                <c:pt idx="0">
                  <c:v>Incumplimiento energía de balance</c:v>
                </c:pt>
              </c:strCache>
            </c:strRef>
          </c:tx>
          <c:spPr>
            <a:solidFill>
              <a:srgbClr val="FFFF99"/>
            </a:solidFill>
            <a:ln w="25400">
              <a:noFill/>
            </a:ln>
          </c:spPr>
          <c:invertIfNegative val="0"/>
          <c:cat>
            <c:strRef>
              <c:f>Dat_01!$B$80:$N$80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Dat_01!$B$84:$N$84</c:f>
              <c:numCache>
                <c:formatCode>#,##0.00</c:formatCode>
                <c:ptCount val="13"/>
                <c:pt idx="0">
                  <c:v>-0.40278040170000001</c:v>
                </c:pt>
                <c:pt idx="1">
                  <c:v>-0.3920110389</c:v>
                </c:pt>
                <c:pt idx="2">
                  <c:v>-0.4217273413</c:v>
                </c:pt>
                <c:pt idx="3">
                  <c:v>-0.2591310188</c:v>
                </c:pt>
                <c:pt idx="4">
                  <c:v>-0.27214773840000001</c:v>
                </c:pt>
                <c:pt idx="5">
                  <c:v>-0.35893515259999997</c:v>
                </c:pt>
                <c:pt idx="6">
                  <c:v>-0.16065442690000001</c:v>
                </c:pt>
                <c:pt idx="7">
                  <c:v>-0.26395337099999999</c:v>
                </c:pt>
                <c:pt idx="8">
                  <c:v>-0.37278463680000001</c:v>
                </c:pt>
                <c:pt idx="9">
                  <c:v>-0.3418519444</c:v>
                </c:pt>
                <c:pt idx="10">
                  <c:v>-0.41104431609999997</c:v>
                </c:pt>
                <c:pt idx="11">
                  <c:v>-0.51788736059999996</c:v>
                </c:pt>
                <c:pt idx="12">
                  <c:v>-0.63182217200000002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17-4434-B940-F43E72455419}"/>
            </c:ext>
          </c:extLst>
        </c:ser>
        <c:ser>
          <c:idx val="3"/>
          <c:order val="4"/>
          <c:tx>
            <c:strRef>
              <c:f>Dat_01!$A$85</c:f>
              <c:strCache>
                <c:ptCount val="1"/>
                <c:pt idx="0">
                  <c:v>Coste desvíos</c:v>
                </c:pt>
              </c:strCache>
            </c:strRef>
          </c:tx>
          <c:spPr>
            <a:solidFill>
              <a:srgbClr val="7030A0"/>
            </a:solidFill>
            <a:ln w="25400">
              <a:noFill/>
            </a:ln>
          </c:spPr>
          <c:invertIfNegative val="0"/>
          <c:cat>
            <c:strRef>
              <c:f>Dat_01!$B$80:$N$80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Dat_01!$B$85:$N$85</c:f>
              <c:numCache>
                <c:formatCode>#,##0.00</c:formatCode>
                <c:ptCount val="13"/>
                <c:pt idx="0">
                  <c:v>0.45057550540000002</c:v>
                </c:pt>
                <c:pt idx="1">
                  <c:v>0.50400812340000001</c:v>
                </c:pt>
                <c:pt idx="2">
                  <c:v>0.24539827189999999</c:v>
                </c:pt>
                <c:pt idx="3">
                  <c:v>0.38107416049999998</c:v>
                </c:pt>
                <c:pt idx="4">
                  <c:v>0.25541812660000002</c:v>
                </c:pt>
                <c:pt idx="5">
                  <c:v>0.40723766010000001</c:v>
                </c:pt>
                <c:pt idx="6">
                  <c:v>0.40600740839999999</c:v>
                </c:pt>
                <c:pt idx="7">
                  <c:v>0.55703470430000002</c:v>
                </c:pt>
                <c:pt idx="8">
                  <c:v>0.50838588620000003</c:v>
                </c:pt>
                <c:pt idx="9">
                  <c:v>0.40169608849999999</c:v>
                </c:pt>
                <c:pt idx="10">
                  <c:v>0.37758129699999998</c:v>
                </c:pt>
                <c:pt idx="11">
                  <c:v>0.38929480529999999</c:v>
                </c:pt>
                <c:pt idx="12">
                  <c:v>0.71142052879999995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17-4434-B940-F43E72455419}"/>
            </c:ext>
          </c:extLst>
        </c:ser>
        <c:ser>
          <c:idx val="5"/>
          <c:order val="5"/>
          <c:tx>
            <c:strRef>
              <c:f>Dat_01!$A$86</c:f>
              <c:strCache>
                <c:ptCount val="1"/>
                <c:pt idx="0">
                  <c:v>Saldo desvíos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cat>
            <c:strRef>
              <c:f>Dat_01!$B$80:$N$80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Dat_01!$B$86:$N$86</c:f>
              <c:numCache>
                <c:formatCode>#,##0.00</c:formatCode>
                <c:ptCount val="13"/>
                <c:pt idx="0">
                  <c:v>-0.3003998624</c:v>
                </c:pt>
                <c:pt idx="1">
                  <c:v>-0.33396459890000002</c:v>
                </c:pt>
                <c:pt idx="2">
                  <c:v>-0.53516769490000005</c:v>
                </c:pt>
                <c:pt idx="3">
                  <c:v>-0.25310388439999998</c:v>
                </c:pt>
                <c:pt idx="4">
                  <c:v>-0.248547658</c:v>
                </c:pt>
                <c:pt idx="5">
                  <c:v>-0.63929019080000005</c:v>
                </c:pt>
                <c:pt idx="6">
                  <c:v>-0.39624519879999998</c:v>
                </c:pt>
                <c:pt idx="7">
                  <c:v>-0.47887055569999998</c:v>
                </c:pt>
                <c:pt idx="8">
                  <c:v>-0.70663214409999997</c:v>
                </c:pt>
                <c:pt idx="9">
                  <c:v>-0.67484169670000005</c:v>
                </c:pt>
                <c:pt idx="10">
                  <c:v>-0.541069719</c:v>
                </c:pt>
                <c:pt idx="11">
                  <c:v>-0.73091203339999999</c:v>
                </c:pt>
                <c:pt idx="12">
                  <c:v>-0.52908874689999996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17-4434-B940-F43E72455419}"/>
            </c:ext>
          </c:extLst>
        </c:ser>
        <c:ser>
          <c:idx val="7"/>
          <c:order val="6"/>
          <c:tx>
            <c:strRef>
              <c:f>Dat_01!$A$87</c:f>
              <c:strCache>
                <c:ptCount val="1"/>
                <c:pt idx="0">
                  <c:v>Control factor de potencia</c:v>
                </c:pt>
              </c:strCache>
            </c:strRef>
          </c:tx>
          <c:spPr>
            <a:solidFill>
              <a:srgbClr val="D39695"/>
            </a:solidFill>
            <a:ln>
              <a:noFill/>
            </a:ln>
          </c:spPr>
          <c:invertIfNegative val="0"/>
          <c:cat>
            <c:strRef>
              <c:f>Dat_01!$B$80:$N$80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Dat_01!$B$87:$N$87</c:f>
              <c:numCache>
                <c:formatCode>#,##0.00</c:formatCode>
                <c:ptCount val="13"/>
                <c:pt idx="0">
                  <c:v>-9.2217392800000006E-2</c:v>
                </c:pt>
                <c:pt idx="1">
                  <c:v>-0.105220197</c:v>
                </c:pt>
                <c:pt idx="2">
                  <c:v>-0.10065099299999999</c:v>
                </c:pt>
                <c:pt idx="3">
                  <c:v>-2.19189337E-2</c:v>
                </c:pt>
                <c:pt idx="4">
                  <c:v>-2.3110223900000001E-2</c:v>
                </c:pt>
                <c:pt idx="5">
                  <c:v>-1.2980321499999999E-2</c:v>
                </c:pt>
                <c:pt idx="6">
                  <c:v>-9.1083589000000003E-3</c:v>
                </c:pt>
                <c:pt idx="7">
                  <c:v>-1.07512891E-2</c:v>
                </c:pt>
                <c:pt idx="8">
                  <c:v>-1.3438166E-2</c:v>
                </c:pt>
                <c:pt idx="9">
                  <c:v>-1.39425381E-2</c:v>
                </c:pt>
                <c:pt idx="10">
                  <c:v>-1.28734986E-2</c:v>
                </c:pt>
                <c:pt idx="11">
                  <c:v>-1.18789668E-2</c:v>
                </c:pt>
                <c:pt idx="12">
                  <c:v>-1.24192347E-2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217-4434-B940-F43E72455419}"/>
            </c:ext>
          </c:extLst>
        </c:ser>
        <c:ser>
          <c:idx val="8"/>
          <c:order val="7"/>
          <c:tx>
            <c:strRef>
              <c:f>Dat_01!$A$88</c:f>
              <c:strCache>
                <c:ptCount val="1"/>
                <c:pt idx="0">
                  <c:v>Servicio RAD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cat>
            <c:strRef>
              <c:f>Dat_01!$B$80:$N$80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Dat_01!$B$88:$N$88</c:f>
              <c:numCache>
                <c:formatCode>#,##0.00</c:formatCode>
                <c:ptCount val="13"/>
                <c:pt idx="0">
                  <c:v>-1.0346112711</c:v>
                </c:pt>
                <c:pt idx="1">
                  <c:v>-1.2037416037999999</c:v>
                </c:pt>
                <c:pt idx="2">
                  <c:v>-1.2846020227999999</c:v>
                </c:pt>
                <c:pt idx="3">
                  <c:v>-1.1152159369000001</c:v>
                </c:pt>
                <c:pt idx="4">
                  <c:v>-0.96148799370000004</c:v>
                </c:pt>
                <c:pt idx="5">
                  <c:v>-1.8345580468</c:v>
                </c:pt>
                <c:pt idx="6">
                  <c:v>-2.0537877611000002</c:v>
                </c:pt>
                <c:pt idx="7">
                  <c:v>-2.1581527162</c:v>
                </c:pt>
                <c:pt idx="8">
                  <c:v>-2.2361829282999999</c:v>
                </c:pt>
                <c:pt idx="9">
                  <c:v>-2.1509008767000002</c:v>
                </c:pt>
                <c:pt idx="10">
                  <c:v>-2.1074881346000001</c:v>
                </c:pt>
                <c:pt idx="11">
                  <c:v>-1.2953741562000001</c:v>
                </c:pt>
                <c:pt idx="12">
                  <c:v>-1.2535146162999999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8-49BA-9780-24CD76831033}"/>
            </c:ext>
          </c:extLst>
        </c:ser>
        <c:ser>
          <c:idx val="4"/>
          <c:order val="8"/>
          <c:tx>
            <c:strRef>
              <c:f>Dat_01!$A$89</c:f>
              <c:strCache>
                <c:ptCount val="1"/>
                <c:pt idx="0">
                  <c:v>Ingreso control de tensión</c:v>
                </c:pt>
              </c:strCache>
            </c:strRef>
          </c:tx>
          <c:invertIfNegative val="0"/>
          <c:cat>
            <c:strRef>
              <c:f>Dat_01!$B$80:$N$80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Dat_01!$B$89:$N$89</c:f>
              <c:numCache>
                <c:formatCode>#,##0.00</c:formatCode>
                <c:ptCount val="13"/>
                <c:pt idx="0">
                  <c:v>-7.1994994E-3</c:v>
                </c:pt>
                <c:pt idx="1">
                  <c:v>-9.0481981999999996E-3</c:v>
                </c:pt>
                <c:pt idx="2">
                  <c:v>-9.3650743999999994E-3</c:v>
                </c:pt>
                <c:pt idx="3">
                  <c:v>-9.6264314999999993E-3</c:v>
                </c:pt>
                <c:pt idx="4">
                  <c:v>-6.0686467999999999E-3</c:v>
                </c:pt>
                <c:pt idx="5">
                  <c:v>-7.8761326999999999E-3</c:v>
                </c:pt>
                <c:pt idx="6">
                  <c:v>-7.9624767000000003E-3</c:v>
                </c:pt>
                <c:pt idx="7">
                  <c:v>-8.9332396000000001E-3</c:v>
                </c:pt>
                <c:pt idx="8">
                  <c:v>-9.3682056999999999E-3</c:v>
                </c:pt>
                <c:pt idx="9">
                  <c:v>-1.4168355699999999E-2</c:v>
                </c:pt>
                <c:pt idx="10">
                  <c:v>-1.0402473400000001E-2</c:v>
                </c:pt>
                <c:pt idx="11">
                  <c:v>-7.9975652000000008E-3</c:v>
                </c:pt>
                <c:pt idx="12">
                  <c:v>-9.1797436E-3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91-40D9-83C6-6A44B088ED6F}"/>
            </c:ext>
          </c:extLst>
        </c:ser>
        <c:ser>
          <c:idx val="9"/>
          <c:order val="9"/>
          <c:tx>
            <c:strRef>
              <c:f>Dat_01!$A$90</c:f>
              <c:strCache>
                <c:ptCount val="1"/>
                <c:pt idx="0">
                  <c:v>Saldo desvío sistemas</c:v>
                </c:pt>
              </c:strCache>
            </c:strRef>
          </c:tx>
          <c:invertIfNegative val="0"/>
          <c:cat>
            <c:strRef>
              <c:f>Dat_01!$B$80:$N$80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Dat_01!$B$90:$N$90</c:f>
              <c:numCache>
                <c:formatCode>0.00</c:formatCode>
                <c:ptCount val="13"/>
                <c:pt idx="0">
                  <c:v>4.5886520600000001E-2</c:v>
                </c:pt>
                <c:pt idx="1">
                  <c:v>4.5838618300000002E-2</c:v>
                </c:pt>
                <c:pt idx="2">
                  <c:v>5.7668581199999999E-2</c:v>
                </c:pt>
                <c:pt idx="3">
                  <c:v>3.8589501200000001E-2</c:v>
                </c:pt>
                <c:pt idx="4">
                  <c:v>4.7065211900000001E-2</c:v>
                </c:pt>
                <c:pt idx="5">
                  <c:v>4.8204775900000003E-2</c:v>
                </c:pt>
                <c:pt idx="6">
                  <c:v>5.1486579599999999E-2</c:v>
                </c:pt>
                <c:pt idx="7">
                  <c:v>6.9791495100000003E-2</c:v>
                </c:pt>
                <c:pt idx="8">
                  <c:v>0.13952396959999999</c:v>
                </c:pt>
                <c:pt idx="9">
                  <c:v>6.1218855500000002E-2</c:v>
                </c:pt>
                <c:pt idx="10">
                  <c:v>4.05742547E-2</c:v>
                </c:pt>
                <c:pt idx="11">
                  <c:v>3.1481494300000003E-2</c:v>
                </c:pt>
                <c:pt idx="12">
                  <c:v>7.6322389000000004E-2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1-4B3E-B840-2882CB948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3135520"/>
        <c:axId val="403135912"/>
      </c:barChart>
      <c:catAx>
        <c:axId val="40313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6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03135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5912"/>
        <c:scaling>
          <c:orientation val="minMax"/>
          <c:min val="-4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03135520"/>
        <c:crosses val="autoZero"/>
        <c:crossBetween val="between"/>
        <c:majorUnit val="4"/>
        <c:minorUnit val="2.8000000000000001E-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9355830280075326E-2"/>
          <c:y val="4.0938186763776426E-4"/>
          <c:w val="0.89372132381258595"/>
          <c:h val="0.18657056184663767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4563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es-ES"/>
    </a:p>
  </c:txPr>
  <c:printSettings>
    <c:headerFooter alignWithMargins="0"/>
    <c:pageMargins b="1" l="0.75000000000000033" r="0.75000000000000033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342555123172815E-2"/>
          <c:y val="0.21625836593434669"/>
          <c:w val="0.89127868066858906"/>
          <c:h val="0.64960629921259883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Dat_01!$C$119</c:f>
              <c:strCache>
                <c:ptCount val="1"/>
                <c:pt idx="0">
                  <c:v>2026 Agosto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Dat_01!$D$121:$D$126</c15:sqref>
                  </c15:fullRef>
                </c:ext>
              </c:extLst>
              <c:f>(Dat_01!$D$121:$D$124,Dat_01!$D$126)</c:f>
              <c:strCache>
                <c:ptCount val="5"/>
                <c:pt idx="0">
                  <c:v>Restricciones Técnicas al PBF</c:v>
                </c:pt>
                <c:pt idx="1">
                  <c:v>Restriciones en Tiempo Real</c:v>
                </c:pt>
                <c:pt idx="2">
                  <c:v>Regulación secundaria</c:v>
                </c:pt>
                <c:pt idx="3">
                  <c:v>Regulación terciaria</c:v>
                </c:pt>
                <c:pt idx="4">
                  <c:v>IGCC (1)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Dat_01!$C$121:$C$126</c15:sqref>
                  </c15:fullRef>
                </c:ext>
              </c:extLst>
              <c:f>(Dat_01!$C$121:$C$124,Dat_01!$C$126)</c:f>
              <c:numCache>
                <c:formatCode>#,##0</c:formatCode>
                <c:ptCount val="5"/>
                <c:pt idx="0">
                  <c:v>2959.7569250000001</c:v>
                </c:pt>
                <c:pt idx="1">
                  <c:v>367.53189099999997</c:v>
                </c:pt>
                <c:pt idx="2">
                  <c:v>151.69331299999999</c:v>
                </c:pt>
                <c:pt idx="3">
                  <c:v>973.53226099999995</c:v>
                </c:pt>
                <c:pt idx="4">
                  <c:v>44.65945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EA-4B0B-A5ED-FE7311A08AD7}"/>
            </c:ext>
          </c:extLst>
        </c:ser>
        <c:ser>
          <c:idx val="0"/>
          <c:order val="1"/>
          <c:tx>
            <c:strRef>
              <c:f>Dat_01!$B$119</c:f>
              <c:strCache>
                <c:ptCount val="1"/>
                <c:pt idx="0">
                  <c:v>2025 Agosto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Dat_01!$D$121:$D$126</c15:sqref>
                  </c15:fullRef>
                </c:ext>
              </c:extLst>
              <c:f>(Dat_01!$D$121:$D$124,Dat_01!$D$126)</c:f>
              <c:strCache>
                <c:ptCount val="5"/>
                <c:pt idx="0">
                  <c:v>Restricciones Técnicas al PBF</c:v>
                </c:pt>
                <c:pt idx="1">
                  <c:v>Restriciones en Tiempo Real</c:v>
                </c:pt>
                <c:pt idx="2">
                  <c:v>Regulación secundaria</c:v>
                </c:pt>
                <c:pt idx="3">
                  <c:v>Regulación terciaria</c:v>
                </c:pt>
                <c:pt idx="4">
                  <c:v>IGCC (1)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Dat_01!$B$121:$B$126</c15:sqref>
                  </c15:fullRef>
                </c:ext>
              </c:extLst>
              <c:f>(Dat_01!$B$121:$B$124,Dat_01!$B$126)</c:f>
              <c:numCache>
                <c:formatCode>#,##0</c:formatCode>
                <c:ptCount val="5"/>
                <c:pt idx="0">
                  <c:v>2436.9612999999999</c:v>
                </c:pt>
                <c:pt idx="1">
                  <c:v>548.11611100000005</c:v>
                </c:pt>
                <c:pt idx="2">
                  <c:v>142.86923200000001</c:v>
                </c:pt>
                <c:pt idx="3">
                  <c:v>503.98356799999999</c:v>
                </c:pt>
                <c:pt idx="4">
                  <c:v>61.406220000000005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EA-4B0B-A5ED-FE7311A08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3136696"/>
        <c:axId val="403137088"/>
      </c:barChart>
      <c:catAx>
        <c:axId val="403136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6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03137088"/>
        <c:crosses val="autoZero"/>
        <c:auto val="1"/>
        <c:lblAlgn val="ctr"/>
        <c:lblOffset val="100"/>
        <c:noMultiLvlLbl val="0"/>
      </c:catAx>
      <c:valAx>
        <c:axId val="40313708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031366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721512037715931"/>
          <c:y val="4.4451402505586414E-2"/>
          <c:w val="0.37876728971631585"/>
          <c:h val="6.1396156125645585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4563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es-ES"/>
    </a:p>
  </c:txPr>
  <c:printSettings>
    <c:headerFooter alignWithMargins="0"/>
    <c:pageMargins b="1" l="0.75000000000000033" r="0.75000000000000033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466854386577358E-2"/>
          <c:y val="6.7873176160182555E-2"/>
          <c:w val="0.90234727490582289"/>
          <c:h val="0.69719731509625127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Dat_01!$B$159</c:f>
              <c:strCache>
                <c:ptCount val="1"/>
                <c:pt idx="0">
                  <c:v>Ciclo Combinado</c:v>
                </c:pt>
              </c:strCache>
            </c:strRef>
          </c:tx>
          <c:spPr>
            <a:solidFill>
              <a:srgbClr val="FFCC66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C2B-4301-850D-1716BD1319DB}"/>
              </c:ext>
            </c:extLst>
          </c:dPt>
          <c:val>
            <c:numRef>
              <c:f>Dat_01!$C$159:$O$159</c:f>
              <c:numCache>
                <c:formatCode>#,##0;\(#,##0\)</c:formatCode>
                <c:ptCount val="13"/>
                <c:pt idx="0">
                  <c:v>50</c:v>
                </c:pt>
                <c:pt idx="1">
                  <c:v>0</c:v>
                </c:pt>
                <c:pt idx="2">
                  <c:v>2064.65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0.2</c:v>
                </c:pt>
                <c:pt idx="10">
                  <c:v>225</c:v>
                </c:pt>
                <c:pt idx="11">
                  <c:v>3798.5749999999998</c:v>
                </c:pt>
                <c:pt idx="12">
                  <c:v>6937.7749999999996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2B-4301-850D-1716BD1319DB}"/>
            </c:ext>
          </c:extLst>
        </c:ser>
        <c:ser>
          <c:idx val="3"/>
          <c:order val="1"/>
          <c:tx>
            <c:strRef>
              <c:f>Dat_01!$B$157</c:f>
              <c:strCache>
                <c:ptCount val="1"/>
                <c:pt idx="0">
                  <c:v>Carbón</c:v>
                </c:pt>
              </c:strCache>
            </c:strRef>
          </c:tx>
          <c:spPr>
            <a:solidFill>
              <a:srgbClr val="70303C"/>
            </a:solidFill>
            <a:ln>
              <a:noFill/>
            </a:ln>
          </c:spPr>
          <c:invertIfNegative val="0"/>
          <c:val>
            <c:numRef>
              <c:f>Dat_01!$C$157:$O$157</c:f>
              <c:numCache>
                <c:formatCode>#,##0;\(#,##0\)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2B-4301-850D-1716BD1319DB}"/>
            </c:ext>
          </c:extLst>
        </c:ser>
        <c:ser>
          <c:idx val="0"/>
          <c:order val="2"/>
          <c:tx>
            <c:strRef>
              <c:f>Dat_01!$B$166</c:f>
              <c:strCache>
                <c:ptCount val="1"/>
                <c:pt idx="0">
                  <c:v>Consumo Bombeo</c:v>
                </c:pt>
              </c:strCache>
            </c:strRef>
          </c:tx>
          <c:spPr>
            <a:solidFill>
              <a:srgbClr val="2C4D75"/>
            </a:solidFill>
            <a:ln w="25400">
              <a:noFill/>
            </a:ln>
          </c:spPr>
          <c:invertIfNegative val="0"/>
          <c:val>
            <c:numRef>
              <c:f>Dat_01!$C$166:$O$166</c:f>
              <c:numCache>
                <c:formatCode>#,##0;\(#,##0\)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142.5</c:v>
                </c:pt>
                <c:pt idx="4">
                  <c:v>0</c:v>
                </c:pt>
                <c:pt idx="5">
                  <c:v>0</c:v>
                </c:pt>
                <c:pt idx="6">
                  <c:v>28.55</c:v>
                </c:pt>
                <c:pt idx="7">
                  <c:v>0</c:v>
                </c:pt>
                <c:pt idx="8">
                  <c:v>182.5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2B-4301-850D-1716BD1319DB}"/>
            </c:ext>
          </c:extLst>
        </c:ser>
        <c:ser>
          <c:idx val="11"/>
          <c:order val="3"/>
          <c:tx>
            <c:strRef>
              <c:f>Dat_01!$B$163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CFA2CA"/>
            </a:solidFill>
          </c:spPr>
          <c:invertIfNegative val="0"/>
          <c:val>
            <c:numRef>
              <c:f>Dat_01!$C$163:$O$163</c:f>
              <c:numCache>
                <c:formatCode>#,##0;\(#,##0\)</c:formatCode>
                <c:ptCount val="13"/>
                <c:pt idx="0">
                  <c:v>6711.8</c:v>
                </c:pt>
                <c:pt idx="1">
                  <c:v>4636.2</c:v>
                </c:pt>
                <c:pt idx="2">
                  <c:v>5121.7749999999996</c:v>
                </c:pt>
                <c:pt idx="3">
                  <c:v>2187.375</c:v>
                </c:pt>
                <c:pt idx="4">
                  <c:v>2346</c:v>
                </c:pt>
                <c:pt idx="5">
                  <c:v>1324.15</c:v>
                </c:pt>
                <c:pt idx="6">
                  <c:v>797.95</c:v>
                </c:pt>
                <c:pt idx="7">
                  <c:v>1588</c:v>
                </c:pt>
                <c:pt idx="8">
                  <c:v>622.02499999999998</c:v>
                </c:pt>
                <c:pt idx="9">
                  <c:v>7562.45</c:v>
                </c:pt>
                <c:pt idx="10">
                  <c:v>17891</c:v>
                </c:pt>
                <c:pt idx="11">
                  <c:v>18730.650000000001</c:v>
                </c:pt>
                <c:pt idx="12">
                  <c:v>4830.7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2B-4301-850D-1716BD1319DB}"/>
            </c:ext>
          </c:extLst>
        </c:ser>
        <c:ser>
          <c:idx val="14"/>
          <c:order val="4"/>
          <c:tx>
            <c:strRef>
              <c:f>Dat_01!$B$172</c:f>
              <c:strCache>
                <c:ptCount val="1"/>
                <c:pt idx="0">
                  <c:v>Hibridación</c:v>
                </c:pt>
              </c:strCache>
            </c:strRef>
          </c:tx>
          <c:spPr>
            <a:solidFill>
              <a:srgbClr val="28A064"/>
            </a:solidFill>
          </c:spPr>
          <c:invertIfNegative val="0"/>
          <c:val>
            <c:numRef>
              <c:f>Dat_01!$C$172:$O$172</c:f>
              <c:numCache>
                <c:formatCode>#,##0;\(#,##0\)</c:formatCode>
                <c:ptCount val="13"/>
                <c:pt idx="0">
                  <c:v>2597.3000000000002</c:v>
                </c:pt>
                <c:pt idx="1">
                  <c:v>1616.4</c:v>
                </c:pt>
                <c:pt idx="2">
                  <c:v>3975.2750000000001</c:v>
                </c:pt>
                <c:pt idx="3">
                  <c:v>2081.5500000000002</c:v>
                </c:pt>
                <c:pt idx="4">
                  <c:v>203.125</c:v>
                </c:pt>
                <c:pt idx="5">
                  <c:v>335.75</c:v>
                </c:pt>
                <c:pt idx="6">
                  <c:v>543.04999999999995</c:v>
                </c:pt>
                <c:pt idx="7">
                  <c:v>2176.5500000000002</c:v>
                </c:pt>
                <c:pt idx="8">
                  <c:v>3757.2249999999999</c:v>
                </c:pt>
                <c:pt idx="9">
                  <c:v>6669.6</c:v>
                </c:pt>
                <c:pt idx="10">
                  <c:v>18283.599999999999</c:v>
                </c:pt>
                <c:pt idx="11">
                  <c:v>25329.275000000001</c:v>
                </c:pt>
                <c:pt idx="12">
                  <c:v>9999.2749999999996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2B-4301-850D-1716BD1319DB}"/>
            </c:ext>
          </c:extLst>
        </c:ser>
        <c:ser>
          <c:idx val="2"/>
          <c:order val="5"/>
          <c:tx>
            <c:strRef>
              <c:f>Dat_01!$B$154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0090D1"/>
            </a:solidFill>
            <a:ln>
              <a:noFill/>
            </a:ln>
          </c:spPr>
          <c:invertIfNegative val="0"/>
          <c:val>
            <c:numRef>
              <c:f>Dat_01!$C$154:$O$154</c:f>
              <c:numCache>
                <c:formatCode>#,##0;\(#,##0\)</c:formatCode>
                <c:ptCount val="13"/>
                <c:pt idx="0">
                  <c:v>5333.8</c:v>
                </c:pt>
                <c:pt idx="1">
                  <c:v>590.20000000000005</c:v>
                </c:pt>
                <c:pt idx="2">
                  <c:v>3512.0250000000001</c:v>
                </c:pt>
                <c:pt idx="3">
                  <c:v>1413.4749999999999</c:v>
                </c:pt>
                <c:pt idx="4">
                  <c:v>1024.3499999999999</c:v>
                </c:pt>
                <c:pt idx="5">
                  <c:v>1795.875</c:v>
                </c:pt>
                <c:pt idx="6">
                  <c:v>1039.625</c:v>
                </c:pt>
                <c:pt idx="7">
                  <c:v>5338.625</c:v>
                </c:pt>
                <c:pt idx="8">
                  <c:v>1104.5250000000001</c:v>
                </c:pt>
                <c:pt idx="9">
                  <c:v>7640.5749999999998</c:v>
                </c:pt>
                <c:pt idx="10">
                  <c:v>16187.55</c:v>
                </c:pt>
                <c:pt idx="11">
                  <c:v>35947.1</c:v>
                </c:pt>
                <c:pt idx="12">
                  <c:v>14745.375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2B-4301-850D-1716BD1319DB}"/>
            </c:ext>
          </c:extLst>
        </c:ser>
        <c:ser>
          <c:idx val="5"/>
          <c:order val="6"/>
          <c:tx>
            <c:strRef>
              <c:f>Dat_01!$B$160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70AD47"/>
            </a:solidFill>
            <a:ln>
              <a:noFill/>
            </a:ln>
          </c:spPr>
          <c:invertIfNegative val="0"/>
          <c:val>
            <c:numRef>
              <c:f>Dat_01!$C$160:$O$160</c:f>
              <c:numCache>
                <c:formatCode>#,##0;\(#,##0\)</c:formatCode>
                <c:ptCount val="13"/>
                <c:pt idx="0">
                  <c:v>56148.9</c:v>
                </c:pt>
                <c:pt idx="1">
                  <c:v>56799.5</c:v>
                </c:pt>
                <c:pt idx="2">
                  <c:v>34956.199999999997</c:v>
                </c:pt>
                <c:pt idx="3">
                  <c:v>97151.95</c:v>
                </c:pt>
                <c:pt idx="4">
                  <c:v>29674</c:v>
                </c:pt>
                <c:pt idx="5">
                  <c:v>99597.85</c:v>
                </c:pt>
                <c:pt idx="6">
                  <c:v>43719</c:v>
                </c:pt>
                <c:pt idx="7">
                  <c:v>41271.824999999997</c:v>
                </c:pt>
                <c:pt idx="8">
                  <c:v>55651.074999999997</c:v>
                </c:pt>
                <c:pt idx="9">
                  <c:v>59874.224999999999</c:v>
                </c:pt>
                <c:pt idx="10">
                  <c:v>135726.875</c:v>
                </c:pt>
                <c:pt idx="11">
                  <c:v>175807.55</c:v>
                </c:pt>
                <c:pt idx="12">
                  <c:v>72487.675000000003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C2B-4301-850D-1716BD1319DB}"/>
            </c:ext>
          </c:extLst>
        </c:ser>
        <c:ser>
          <c:idx val="6"/>
          <c:order val="7"/>
          <c:tx>
            <c:strRef>
              <c:f>Dat_01!$B$156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464394"/>
            </a:solidFill>
            <a:ln>
              <a:noFill/>
            </a:ln>
          </c:spPr>
          <c:invertIfNegative val="0"/>
          <c:val>
            <c:numRef>
              <c:f>Dat_01!$C$156:$O$156</c:f>
              <c:numCache>
                <c:formatCode>#,##0;\(#,##0\)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C2B-4301-850D-1716BD1319DB}"/>
            </c:ext>
          </c:extLst>
        </c:ser>
        <c:ser>
          <c:idx val="13"/>
          <c:order val="8"/>
          <c:tx>
            <c:strRef>
              <c:f>Dat_01!$B$164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</c:spPr>
          <c:invertIfNegative val="0"/>
          <c:val>
            <c:numRef>
              <c:f>Dat_01!$C$164:$O$164</c:f>
              <c:numCache>
                <c:formatCode>#,##0;\(#,##0\)</c:formatCode>
                <c:ptCount val="13"/>
                <c:pt idx="0">
                  <c:v>7511.7</c:v>
                </c:pt>
                <c:pt idx="1">
                  <c:v>5732.6</c:v>
                </c:pt>
                <c:pt idx="2">
                  <c:v>3899.8249999999998</c:v>
                </c:pt>
                <c:pt idx="3">
                  <c:v>278.82499999999999</c:v>
                </c:pt>
                <c:pt idx="4">
                  <c:v>63.45</c:v>
                </c:pt>
                <c:pt idx="5">
                  <c:v>154.19999999999999</c:v>
                </c:pt>
                <c:pt idx="6">
                  <c:v>194.35</c:v>
                </c:pt>
                <c:pt idx="7">
                  <c:v>946.25</c:v>
                </c:pt>
                <c:pt idx="8">
                  <c:v>1790.2249999999999</c:v>
                </c:pt>
                <c:pt idx="9">
                  <c:v>6165.9750000000004</c:v>
                </c:pt>
                <c:pt idx="10">
                  <c:v>8592.3250000000007</c:v>
                </c:pt>
                <c:pt idx="11">
                  <c:v>11325.525</c:v>
                </c:pt>
                <c:pt idx="12">
                  <c:v>6315.35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C2B-4301-850D-1716BD1319DB}"/>
            </c:ext>
          </c:extLst>
        </c:ser>
        <c:ser>
          <c:idx val="8"/>
          <c:order val="9"/>
          <c:tx>
            <c:strRef>
              <c:f>Dat_01!$B$165</c:f>
              <c:strCache>
                <c:ptCount val="1"/>
                <c:pt idx="0">
                  <c:v>Residuos no Renovables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val>
            <c:numRef>
              <c:f>Dat_01!$C$165:$O$165</c:f>
              <c:numCache>
                <c:formatCode>#,##0;\(#,##0\)</c:formatCode>
                <c:ptCount val="13"/>
                <c:pt idx="0">
                  <c:v>118</c:v>
                </c:pt>
                <c:pt idx="1">
                  <c:v>0</c:v>
                </c:pt>
                <c:pt idx="2">
                  <c:v>411.55</c:v>
                </c:pt>
                <c:pt idx="3">
                  <c:v>17</c:v>
                </c:pt>
                <c:pt idx="4">
                  <c:v>98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2B-4301-850D-1716BD1319DB}"/>
            </c:ext>
          </c:extLst>
        </c:ser>
        <c:ser>
          <c:idx val="1"/>
          <c:order val="10"/>
          <c:tx>
            <c:strRef>
              <c:f>Dat_01!$B$161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rgbClr val="EE6112"/>
            </a:solidFill>
            <a:ln>
              <a:noFill/>
            </a:ln>
          </c:spPr>
          <c:invertIfNegative val="0"/>
          <c:val>
            <c:numRef>
              <c:f>Dat_01!$C$161:$O$161</c:f>
              <c:numCache>
                <c:formatCode>#,##0;\(#,##0\)</c:formatCode>
                <c:ptCount val="13"/>
                <c:pt idx="0">
                  <c:v>476231.7</c:v>
                </c:pt>
                <c:pt idx="1">
                  <c:v>271516.40000000002</c:v>
                </c:pt>
                <c:pt idx="2">
                  <c:v>213512.32500000001</c:v>
                </c:pt>
                <c:pt idx="3">
                  <c:v>56866.375</c:v>
                </c:pt>
                <c:pt idx="4">
                  <c:v>21074.125</c:v>
                </c:pt>
                <c:pt idx="5">
                  <c:v>26307.4</c:v>
                </c:pt>
                <c:pt idx="6">
                  <c:v>30605.775000000001</c:v>
                </c:pt>
                <c:pt idx="7">
                  <c:v>86208.574999999997</c:v>
                </c:pt>
                <c:pt idx="8">
                  <c:v>153492.85</c:v>
                </c:pt>
                <c:pt idx="9">
                  <c:v>550152.4</c:v>
                </c:pt>
                <c:pt idx="10">
                  <c:v>893021.47499999998</c:v>
                </c:pt>
                <c:pt idx="11">
                  <c:v>1075670.95</c:v>
                </c:pt>
                <c:pt idx="12">
                  <c:v>665242.77500000002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C2B-4301-850D-1716BD1319DB}"/>
            </c:ext>
          </c:extLst>
        </c:ser>
        <c:ser>
          <c:idx val="10"/>
          <c:order val="11"/>
          <c:tx>
            <c:strRef>
              <c:f>Dat_01!$B$162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Dat_01!$C$162:$O$162</c:f>
              <c:numCache>
                <c:formatCode>#,##0;\(#,##0\)</c:formatCode>
                <c:ptCount val="13"/>
                <c:pt idx="0">
                  <c:v>162140.4</c:v>
                </c:pt>
                <c:pt idx="1">
                  <c:v>141481</c:v>
                </c:pt>
                <c:pt idx="2">
                  <c:v>62144.5</c:v>
                </c:pt>
                <c:pt idx="3">
                  <c:v>3088</c:v>
                </c:pt>
                <c:pt idx="4">
                  <c:v>45.174999999999997</c:v>
                </c:pt>
                <c:pt idx="5">
                  <c:v>0</c:v>
                </c:pt>
                <c:pt idx="6">
                  <c:v>2614.2249999999999</c:v>
                </c:pt>
                <c:pt idx="7">
                  <c:v>13848.65</c:v>
                </c:pt>
                <c:pt idx="8">
                  <c:v>44588.7</c:v>
                </c:pt>
                <c:pt idx="9">
                  <c:v>64747.55</c:v>
                </c:pt>
                <c:pt idx="10">
                  <c:v>86086.399999999994</c:v>
                </c:pt>
                <c:pt idx="11">
                  <c:v>99126.625</c:v>
                </c:pt>
                <c:pt idx="12">
                  <c:v>51663.3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C2B-4301-850D-1716BD1319DB}"/>
            </c:ext>
          </c:extLst>
        </c:ser>
        <c:ser>
          <c:idx val="12"/>
          <c:order val="12"/>
          <c:tx>
            <c:strRef>
              <c:f>Dat_01!$B$155</c:f>
              <c:strCache>
                <c:ptCount val="1"/>
                <c:pt idx="0">
                  <c:v>Turbinación bombeo</c:v>
                </c:pt>
              </c:strCache>
              <c:extLst xmlns:c15="http://schemas.microsoft.com/office/drawing/2012/chart"/>
            </c:strRef>
          </c:tx>
          <c:spPr>
            <a:solidFill>
              <a:srgbClr val="95B3D7"/>
            </a:solidFill>
          </c:spPr>
          <c:invertIfNegative val="0"/>
          <c:val>
            <c:numRef>
              <c:f>Dat_01!$C$155:$O$155</c:f>
              <c:numCache>
                <c:formatCode>#,##0;\(#,##0\)</c:formatCode>
                <c:ptCount val="13"/>
                <c:pt idx="0">
                  <c:v>2955</c:v>
                </c:pt>
                <c:pt idx="1">
                  <c:v>300</c:v>
                </c:pt>
                <c:pt idx="2">
                  <c:v>475.42500000000001</c:v>
                </c:pt>
                <c:pt idx="3">
                  <c:v>0</c:v>
                </c:pt>
                <c:pt idx="4">
                  <c:v>1120.6500000000001</c:v>
                </c:pt>
                <c:pt idx="5">
                  <c:v>7136.4750000000004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3146.65</c:v>
                </c:pt>
                <c:pt idx="11">
                  <c:v>3159.7</c:v>
                </c:pt>
                <c:pt idx="12">
                  <c:v>7863.8249999999998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AC2B-4301-850D-1716BD1319DB}"/>
            </c:ext>
          </c:extLst>
        </c:ser>
        <c:ser>
          <c:idx val="15"/>
          <c:order val="13"/>
          <c:tx>
            <c:strRef>
              <c:f>Dat_01!$B$158</c:f>
              <c:strCache>
                <c:ptCount val="1"/>
                <c:pt idx="0">
                  <c:v>Turbina Vapor, Gas y Fuel</c:v>
                </c:pt>
              </c:strCache>
            </c:strRef>
          </c:tx>
          <c:spPr>
            <a:solidFill>
              <a:srgbClr val="AF8E00"/>
            </a:solidFill>
            <a:ln>
              <a:noFill/>
            </a:ln>
          </c:spPr>
          <c:invertIfNegative val="0"/>
          <c:val>
            <c:numRef>
              <c:f>Dat_01!$C$158:$O$158</c:f>
              <c:numCache>
                <c:formatCode>#,##0;\(#,##0\)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32-4F80-8924-F74233068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3140224"/>
        <c:axId val="403139832"/>
      </c:barChart>
      <c:lineChart>
        <c:grouping val="standard"/>
        <c:varyColors val="0"/>
        <c:ser>
          <c:idx val="7"/>
          <c:order val="14"/>
          <c:tx>
            <c:v>Precio medio subir</c:v>
          </c:tx>
          <c:spPr>
            <a:ln>
              <a:solidFill>
                <a:srgbClr val="004563"/>
              </a:solidFill>
            </a:ln>
          </c:spPr>
          <c:marker>
            <c:symbol val="none"/>
          </c:marker>
          <c:val>
            <c:numRef>
              <c:f>Dat_01!$C$406:$O$406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C2B-4301-850D-1716BD1319DB}"/>
            </c:ext>
          </c:extLst>
        </c:ser>
        <c:ser>
          <c:idx val="9"/>
          <c:order val="15"/>
          <c:tx>
            <c:v>Precio medio bajar</c:v>
          </c:tx>
          <c:spPr>
            <a:ln>
              <a:solidFill>
                <a:srgbClr val="404040"/>
              </a:solidFill>
            </a:ln>
          </c:spPr>
          <c:marker>
            <c:symbol val="none"/>
          </c:marker>
          <c:val>
            <c:numRef>
              <c:f>Dat_01!$C$404:$O$404</c:f>
              <c:numCache>
                <c:formatCode>#,##0.00</c:formatCode>
                <c:ptCount val="13"/>
                <c:pt idx="0">
                  <c:v>61.503685353400002</c:v>
                </c:pt>
                <c:pt idx="1">
                  <c:v>54.1608380053</c:v>
                </c:pt>
                <c:pt idx="2">
                  <c:v>60.675018032799997</c:v>
                </c:pt>
                <c:pt idx="3">
                  <c:v>57.152078829099999</c:v>
                </c:pt>
                <c:pt idx="4">
                  <c:v>77.8107698699</c:v>
                </c:pt>
                <c:pt idx="5">
                  <c:v>69.163489003400002</c:v>
                </c:pt>
                <c:pt idx="6">
                  <c:v>9.6432943307999999</c:v>
                </c:pt>
                <c:pt idx="7">
                  <c:v>36.377330786199998</c:v>
                </c:pt>
                <c:pt idx="8">
                  <c:v>38.858312790200003</c:v>
                </c:pt>
                <c:pt idx="9">
                  <c:v>55.430609213399997</c:v>
                </c:pt>
                <c:pt idx="10">
                  <c:v>68.651800307200006</c:v>
                </c:pt>
                <c:pt idx="11">
                  <c:v>106.7119975024</c:v>
                </c:pt>
                <c:pt idx="12">
                  <c:v>119.08103415950001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2B-4301-850D-1716BD131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141008"/>
        <c:axId val="403140616"/>
      </c:lineChart>
      <c:valAx>
        <c:axId val="403139832"/>
        <c:scaling>
          <c:orientation val="maxMin"/>
          <c:max val="3600000"/>
          <c:min val="0"/>
        </c:scaling>
        <c:delete val="0"/>
        <c:axPos val="l"/>
        <c:majorGridlines>
          <c:spPr>
            <a:ln w="3175">
              <a:solidFill>
                <a:srgbClr val="004563"/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rgbClr val="004563"/>
                </a:solidFill>
              </a:defRPr>
            </a:pPr>
            <a:endParaRPr lang="es-ES"/>
          </a:p>
        </c:txPr>
        <c:crossAx val="403140224"/>
        <c:crosses val="autoZero"/>
        <c:crossBetween val="between"/>
        <c:majorUnit val="400000"/>
        <c:dispUnits>
          <c:builtInUnit val="thousands"/>
        </c:dispUnits>
      </c:valAx>
      <c:catAx>
        <c:axId val="403140224"/>
        <c:scaling>
          <c:orientation val="minMax"/>
        </c:scaling>
        <c:delete val="1"/>
        <c:axPos val="t"/>
        <c:numFmt formatCode="@" sourceLinked="1"/>
        <c:majorTickMark val="out"/>
        <c:minorTickMark val="none"/>
        <c:tickLblPos val="nextTo"/>
        <c:crossAx val="403139832"/>
        <c:crossesAt val="0"/>
        <c:auto val="1"/>
        <c:lblAlgn val="ctr"/>
        <c:lblOffset val="100"/>
        <c:noMultiLvlLbl val="0"/>
      </c:catAx>
      <c:valAx>
        <c:axId val="403140616"/>
        <c:scaling>
          <c:orientation val="maxMin"/>
          <c:max val="225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rgbClr val="004563"/>
                </a:solidFill>
              </a:defRPr>
            </a:pPr>
            <a:endParaRPr lang="es-ES"/>
          </a:p>
        </c:txPr>
        <c:crossAx val="403141008"/>
        <c:crosses val="max"/>
        <c:crossBetween val="between"/>
        <c:majorUnit val="25"/>
      </c:valAx>
      <c:catAx>
        <c:axId val="40314100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03140616"/>
        <c:crossesAt val="0"/>
        <c:auto val="1"/>
        <c:lblAlgn val="ctr"/>
        <c:lblOffset val="100"/>
        <c:noMultiLvlLbl val="0"/>
      </c:catAx>
      <c:spPr>
        <a:solidFill>
          <a:schemeClr val="bg1">
            <a:lumMod val="85000"/>
          </a:schemeClr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"/>
          <c:y val="0.81043376770216768"/>
          <c:w val="0.98025008865580032"/>
          <c:h val="0.18956628744791773"/>
        </c:manualLayout>
      </c:layout>
      <c:overlay val="0"/>
      <c:txPr>
        <a:bodyPr/>
        <a:lstStyle/>
        <a:p>
          <a:pPr>
            <a:defRPr>
              <a:solidFill>
                <a:srgbClr val="004563"/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>
        <a:lumMod val="85000"/>
      </a:schemeClr>
    </a:solidFill>
    <a:ln w="9525">
      <a:noFill/>
    </a:ln>
  </c:spPr>
  <c:txPr>
    <a:bodyPr/>
    <a:lstStyle/>
    <a:p>
      <a:pPr algn="ctr">
        <a:defRPr lang="en-US" sz="800" b="0" i="0" u="none" strike="noStrike" kern="1200" baseline="0">
          <a:solidFill>
            <a:srgbClr val="004563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s-ES"/>
    </a:p>
  </c:txPr>
  <c:printSettings>
    <c:headerFooter alignWithMargins="0"/>
    <c:pageMargins b="1" l="0.75000000000001465" r="0.75000000000001465" t="1" header="0" footer="0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893021105344387E-2"/>
          <c:y val="0.14692676063694354"/>
          <c:w val="0.90234727490582289"/>
          <c:h val="0.69719731509625127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Dat_01!$B$137</c:f>
              <c:strCache>
                <c:ptCount val="1"/>
                <c:pt idx="0">
                  <c:v>Carbón</c:v>
                </c:pt>
              </c:strCache>
            </c:strRef>
          </c:tx>
          <c:spPr>
            <a:solidFill>
              <a:srgbClr val="70303C"/>
            </a:solidFill>
            <a:ln>
              <a:noFill/>
            </a:ln>
          </c:spPr>
          <c:invertIfNegative val="0"/>
          <c:cat>
            <c:strRef>
              <c:f>Dat_01!$C$130:$O$130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Dat_01!$C$137:$O$137</c:f>
              <c:numCache>
                <c:formatCode>#,##0;\(#,##0\)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1113.75</c:v>
                </c:pt>
                <c:pt idx="3">
                  <c:v>1856.25</c:v>
                </c:pt>
                <c:pt idx="4">
                  <c:v>28208.75</c:v>
                </c:pt>
                <c:pt idx="5">
                  <c:v>16238.75</c:v>
                </c:pt>
                <c:pt idx="6">
                  <c:v>0</c:v>
                </c:pt>
                <c:pt idx="7">
                  <c:v>4501.25</c:v>
                </c:pt>
                <c:pt idx="8">
                  <c:v>0</c:v>
                </c:pt>
                <c:pt idx="9">
                  <c:v>80685</c:v>
                </c:pt>
                <c:pt idx="10">
                  <c:v>4496.25</c:v>
                </c:pt>
                <c:pt idx="11">
                  <c:v>7920</c:v>
                </c:pt>
                <c:pt idx="12">
                  <c:v>2186.25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C6-4F22-91C5-9726F5E4B6D7}"/>
            </c:ext>
          </c:extLst>
        </c:ser>
        <c:ser>
          <c:idx val="3"/>
          <c:order val="1"/>
          <c:tx>
            <c:strRef>
              <c:f>Dat_01!$B$139</c:f>
              <c:strCache>
                <c:ptCount val="1"/>
                <c:pt idx="0">
                  <c:v>Ciclo Combinado</c:v>
                </c:pt>
              </c:strCache>
            </c:strRef>
          </c:tx>
          <c:spPr>
            <a:solidFill>
              <a:srgbClr val="FFCC66"/>
            </a:solidFill>
            <a:ln>
              <a:noFill/>
            </a:ln>
          </c:spPr>
          <c:invertIfNegative val="0"/>
          <c:cat>
            <c:strRef>
              <c:f>Dat_01!$C$130:$O$130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Dat_01!$C$139:$O$139</c:f>
              <c:numCache>
                <c:formatCode>#,##0;\(#,##0\)</c:formatCode>
                <c:ptCount val="13"/>
                <c:pt idx="0">
                  <c:v>1579291.4</c:v>
                </c:pt>
                <c:pt idx="1">
                  <c:v>1564029</c:v>
                </c:pt>
                <c:pt idx="2">
                  <c:v>1759136.875</c:v>
                </c:pt>
                <c:pt idx="3">
                  <c:v>2229306.125</c:v>
                </c:pt>
                <c:pt idx="4">
                  <c:v>2288776.85</c:v>
                </c:pt>
                <c:pt idx="5">
                  <c:v>1972270.0249999999</c:v>
                </c:pt>
                <c:pt idx="6">
                  <c:v>1802866.25</c:v>
                </c:pt>
                <c:pt idx="7">
                  <c:v>2245754.85</c:v>
                </c:pt>
                <c:pt idx="8">
                  <c:v>1767077.7</c:v>
                </c:pt>
                <c:pt idx="9">
                  <c:v>1796778.675</c:v>
                </c:pt>
                <c:pt idx="10">
                  <c:v>1800810.7250000001</c:v>
                </c:pt>
                <c:pt idx="11">
                  <c:v>2123256.2749999999</c:v>
                </c:pt>
                <c:pt idx="12">
                  <c:v>1845566.125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C6-4F22-91C5-9726F5E4B6D7}"/>
            </c:ext>
          </c:extLst>
        </c:ser>
        <c:ser>
          <c:idx val="10"/>
          <c:order val="2"/>
          <c:tx>
            <c:strRef>
              <c:f>Dat_01!$B$143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CFA2CA"/>
            </a:solidFill>
          </c:spPr>
          <c:invertIfNegative val="0"/>
          <c:cat>
            <c:strRef>
              <c:f>Dat_01!$C$130:$O$130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Dat_01!$C$143:$O$143</c:f>
              <c:numCache>
                <c:formatCode>#,##0;\(#,##0\)</c:formatCode>
                <c:ptCount val="13"/>
                <c:pt idx="0">
                  <c:v>0</c:v>
                </c:pt>
                <c:pt idx="1">
                  <c:v>3926.6</c:v>
                </c:pt>
                <c:pt idx="2">
                  <c:v>3783.1750000000002</c:v>
                </c:pt>
                <c:pt idx="3">
                  <c:v>510</c:v>
                </c:pt>
                <c:pt idx="4">
                  <c:v>1691.4</c:v>
                </c:pt>
                <c:pt idx="5">
                  <c:v>0</c:v>
                </c:pt>
                <c:pt idx="6">
                  <c:v>484.6</c:v>
                </c:pt>
                <c:pt idx="7">
                  <c:v>162.69999999999999</c:v>
                </c:pt>
                <c:pt idx="8">
                  <c:v>3580.8249999999998</c:v>
                </c:pt>
                <c:pt idx="9">
                  <c:v>14218.55</c:v>
                </c:pt>
                <c:pt idx="10">
                  <c:v>2422.625</c:v>
                </c:pt>
                <c:pt idx="11">
                  <c:v>366.2</c:v>
                </c:pt>
                <c:pt idx="12">
                  <c:v>4626.375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C6-4F22-91C5-9726F5E4B6D7}"/>
            </c:ext>
          </c:extLst>
        </c:ser>
        <c:ser>
          <c:idx val="8"/>
          <c:order val="3"/>
          <c:tx>
            <c:strRef>
              <c:f>Dat_01!$B$146</c:f>
              <c:strCache>
                <c:ptCount val="1"/>
                <c:pt idx="0">
                  <c:v>Consumo Bombeo</c:v>
                </c:pt>
              </c:strCache>
            </c:strRef>
          </c:tx>
          <c:spPr>
            <a:solidFill>
              <a:srgbClr val="2C4D75"/>
            </a:solidFill>
            <a:ln>
              <a:noFill/>
            </a:ln>
          </c:spPr>
          <c:invertIfNegative val="0"/>
          <c:cat>
            <c:strRef>
              <c:f>Dat_01!$C$130:$O$130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Dat_01!$C$146:$O$146</c:f>
              <c:numCache>
                <c:formatCode>#,##0;\(#,##0\)</c:formatCode>
                <c:ptCount val="13"/>
                <c:pt idx="0">
                  <c:v>6601</c:v>
                </c:pt>
                <c:pt idx="1">
                  <c:v>184</c:v>
                </c:pt>
                <c:pt idx="2">
                  <c:v>42602.3</c:v>
                </c:pt>
                <c:pt idx="3">
                  <c:v>0</c:v>
                </c:pt>
                <c:pt idx="4">
                  <c:v>0</c:v>
                </c:pt>
                <c:pt idx="5">
                  <c:v>5827.6750000000002</c:v>
                </c:pt>
                <c:pt idx="6">
                  <c:v>255.75</c:v>
                </c:pt>
                <c:pt idx="7">
                  <c:v>0</c:v>
                </c:pt>
                <c:pt idx="8">
                  <c:v>1386.25</c:v>
                </c:pt>
                <c:pt idx="9">
                  <c:v>26413.075000000001</c:v>
                </c:pt>
                <c:pt idx="10">
                  <c:v>33439.525000000001</c:v>
                </c:pt>
                <c:pt idx="11">
                  <c:v>45833.05</c:v>
                </c:pt>
                <c:pt idx="12">
                  <c:v>31974.7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C6-4F22-91C5-9726F5E4B6D7}"/>
            </c:ext>
          </c:extLst>
        </c:ser>
        <c:ser>
          <c:idx val="4"/>
          <c:order val="4"/>
          <c:tx>
            <c:strRef>
              <c:f>Dat_01!$B$140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70AD47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9C6-4F22-91C5-9726F5E4B6D7}"/>
              </c:ext>
            </c:extLst>
          </c:dPt>
          <c:cat>
            <c:strRef>
              <c:f>Dat_01!$C$130:$O$130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Dat_01!$C$140:$O$140</c:f>
              <c:numCache>
                <c:formatCode>#,##0;\(#,##0\)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1.95</c:v>
                </c:pt>
                <c:pt idx="5">
                  <c:v>0</c:v>
                </c:pt>
                <c:pt idx="6">
                  <c:v>45.975000000000001</c:v>
                </c:pt>
                <c:pt idx="7">
                  <c:v>0.1</c:v>
                </c:pt>
                <c:pt idx="8">
                  <c:v>7.4999999999999997E-2</c:v>
                </c:pt>
                <c:pt idx="9">
                  <c:v>5.2</c:v>
                </c:pt>
                <c:pt idx="10">
                  <c:v>0</c:v>
                </c:pt>
                <c:pt idx="11">
                  <c:v>0</c:v>
                </c:pt>
                <c:pt idx="12">
                  <c:v>0.32500000000000001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C6-4F22-91C5-9726F5E4B6D7}"/>
            </c:ext>
          </c:extLst>
        </c:ser>
        <c:ser>
          <c:idx val="0"/>
          <c:order val="5"/>
          <c:tx>
            <c:strRef>
              <c:f>Dat_01!$B$134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0090D1"/>
            </a:solidFill>
            <a:ln w="25400">
              <a:noFill/>
            </a:ln>
          </c:spPr>
          <c:invertIfNegative val="0"/>
          <c:cat>
            <c:strRef>
              <c:f>Dat_01!$C$130:$O$130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Dat_01!$C$134:$O$134</c:f>
              <c:numCache>
                <c:formatCode>#,##0;\(#,##0\)</c:formatCode>
                <c:ptCount val="13"/>
                <c:pt idx="0">
                  <c:v>6200</c:v>
                </c:pt>
                <c:pt idx="1">
                  <c:v>0</c:v>
                </c:pt>
                <c:pt idx="2">
                  <c:v>0</c:v>
                </c:pt>
                <c:pt idx="3">
                  <c:v>350</c:v>
                </c:pt>
                <c:pt idx="4">
                  <c:v>325</c:v>
                </c:pt>
                <c:pt idx="5">
                  <c:v>0</c:v>
                </c:pt>
                <c:pt idx="6">
                  <c:v>0</c:v>
                </c:pt>
                <c:pt idx="7">
                  <c:v>40.4</c:v>
                </c:pt>
                <c:pt idx="8">
                  <c:v>0</c:v>
                </c:pt>
                <c:pt idx="9">
                  <c:v>0</c:v>
                </c:pt>
                <c:pt idx="10">
                  <c:v>560</c:v>
                </c:pt>
                <c:pt idx="11">
                  <c:v>800.5</c:v>
                </c:pt>
                <c:pt idx="12">
                  <c:v>2479.6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C6-4F22-91C5-9726F5E4B6D7}"/>
            </c:ext>
          </c:extLst>
        </c:ser>
        <c:ser>
          <c:idx val="11"/>
          <c:order val="6"/>
          <c:tx>
            <c:strRef>
              <c:f>Dat_01!$B$144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</c:spPr>
          <c:invertIfNegative val="0"/>
          <c:cat>
            <c:strRef>
              <c:f>Dat_01!$C$130:$O$130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Dat_01!$C$144:$O$144</c:f>
              <c:numCache>
                <c:formatCode>#,##0;\(#,##0\)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662.6</c:v>
                </c:pt>
                <c:pt idx="9">
                  <c:v>3199.9</c:v>
                </c:pt>
                <c:pt idx="10">
                  <c:v>288</c:v>
                </c:pt>
                <c:pt idx="11">
                  <c:v>0</c:v>
                </c:pt>
                <c:pt idx="12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C6-4F22-91C5-9726F5E4B6D7}"/>
            </c:ext>
          </c:extLst>
        </c:ser>
        <c:ser>
          <c:idx val="5"/>
          <c:order val="7"/>
          <c:tx>
            <c:strRef>
              <c:f>Dat_01!$B$141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rgbClr val="EE6112"/>
            </a:solidFill>
            <a:ln>
              <a:noFill/>
            </a:ln>
          </c:spPr>
          <c:invertIfNegative val="0"/>
          <c:cat>
            <c:strRef>
              <c:f>Dat_01!$C$130:$O$130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Dat_01!$C$141:$O$141</c:f>
              <c:numCache>
                <c:formatCode>#,##0;\(#,##0\)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68.05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9C6-4F22-91C5-9726F5E4B6D7}"/>
            </c:ext>
          </c:extLst>
        </c:ser>
        <c:ser>
          <c:idx val="1"/>
          <c:order val="8"/>
          <c:tx>
            <c:strRef>
              <c:f>Dat_01!$B$142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Dat_01!$C$130:$O$130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Dat_01!$C$142:$O$142</c:f>
              <c:numCache>
                <c:formatCode>#,##0;\(#,##0\)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9C6-4F22-91C5-9726F5E4B6D7}"/>
            </c:ext>
          </c:extLst>
        </c:ser>
        <c:ser>
          <c:idx val="2"/>
          <c:order val="9"/>
          <c:tx>
            <c:strRef>
              <c:f>Dat_01!$B$135</c:f>
              <c:strCache>
                <c:ptCount val="1"/>
                <c:pt idx="0">
                  <c:v>Turbinación bombeo</c:v>
                </c:pt>
              </c:strCache>
            </c:strRef>
          </c:tx>
          <c:spPr>
            <a:solidFill>
              <a:srgbClr val="95B3D7"/>
            </a:solidFill>
            <a:ln>
              <a:noFill/>
            </a:ln>
          </c:spPr>
          <c:invertIfNegative val="0"/>
          <c:cat>
            <c:strRef>
              <c:f>Dat_01!$C$130:$O$130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Dat_01!$C$135:$O$135</c:f>
              <c:numCache>
                <c:formatCode>#,##0;\(#,##0\)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4180</c:v>
                </c:pt>
                <c:pt idx="4">
                  <c:v>20</c:v>
                </c:pt>
                <c:pt idx="5">
                  <c:v>6400</c:v>
                </c:pt>
                <c:pt idx="6">
                  <c:v>0</c:v>
                </c:pt>
                <c:pt idx="7">
                  <c:v>222.5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436.2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C6-4F22-91C5-9726F5E4B6D7}"/>
            </c:ext>
          </c:extLst>
        </c:ser>
        <c:ser>
          <c:idx val="12"/>
          <c:order val="10"/>
          <c:tx>
            <c:strRef>
              <c:f>Dat_01!$B$136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464394"/>
            </a:solidFill>
            <a:ln>
              <a:noFill/>
            </a:ln>
          </c:spPr>
          <c:invertIfNegative val="0"/>
          <c:cat>
            <c:strRef>
              <c:f>Dat_01!$C$130:$O$130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Dat_01!$C$136:$O$136</c:f>
              <c:numCache>
                <c:formatCode>#,##0;\(#,##0\)</c:formatCode>
                <c:ptCount val="13"/>
                <c:pt idx="0">
                  <c:v>3428.3</c:v>
                </c:pt>
                <c:pt idx="1">
                  <c:v>35476.800000000003</c:v>
                </c:pt>
                <c:pt idx="2">
                  <c:v>116112.4</c:v>
                </c:pt>
                <c:pt idx="3">
                  <c:v>47755.224999999999</c:v>
                </c:pt>
                <c:pt idx="4">
                  <c:v>22947.875</c:v>
                </c:pt>
                <c:pt idx="5">
                  <c:v>276494.25</c:v>
                </c:pt>
                <c:pt idx="6">
                  <c:v>1412402.7749999999</c:v>
                </c:pt>
                <c:pt idx="7">
                  <c:v>737126.35</c:v>
                </c:pt>
                <c:pt idx="8">
                  <c:v>389717.02500000002</c:v>
                </c:pt>
                <c:pt idx="9">
                  <c:v>66445.3</c:v>
                </c:pt>
                <c:pt idx="10">
                  <c:v>0</c:v>
                </c:pt>
                <c:pt idx="11">
                  <c:v>0</c:v>
                </c:pt>
                <c:pt idx="1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9C6-4F22-91C5-9726F5E4B6D7}"/>
            </c:ext>
          </c:extLst>
        </c:ser>
        <c:ser>
          <c:idx val="13"/>
          <c:order val="11"/>
          <c:tx>
            <c:strRef>
              <c:f>Dat_01!$B$138</c:f>
              <c:strCache>
                <c:ptCount val="1"/>
                <c:pt idx="0">
                  <c:v>Turbina Vapor, Gas y Fuel</c:v>
                </c:pt>
              </c:strCache>
            </c:strRef>
          </c:tx>
          <c:spPr>
            <a:solidFill>
              <a:srgbClr val="AF8E00"/>
            </a:solidFill>
            <a:ln>
              <a:noFill/>
            </a:ln>
          </c:spPr>
          <c:invertIfNegative val="0"/>
          <c:val>
            <c:numRef>
              <c:f>Dat_01!$C$138:$O$138</c:f>
              <c:numCache>
                <c:formatCode>#,##0;\(#,##0\)</c:formatCode>
                <c:ptCount val="13"/>
                <c:pt idx="0">
                  <c:v>121642</c:v>
                </c:pt>
                <c:pt idx="1">
                  <c:v>152270</c:v>
                </c:pt>
                <c:pt idx="2">
                  <c:v>177310</c:v>
                </c:pt>
                <c:pt idx="3">
                  <c:v>182152.5</c:v>
                </c:pt>
                <c:pt idx="4">
                  <c:v>214170</c:v>
                </c:pt>
                <c:pt idx="5">
                  <c:v>164145</c:v>
                </c:pt>
                <c:pt idx="6">
                  <c:v>183987.5</c:v>
                </c:pt>
                <c:pt idx="7">
                  <c:v>177258</c:v>
                </c:pt>
                <c:pt idx="8">
                  <c:v>168570</c:v>
                </c:pt>
                <c:pt idx="9">
                  <c:v>248057.5</c:v>
                </c:pt>
                <c:pt idx="10">
                  <c:v>198430</c:v>
                </c:pt>
                <c:pt idx="11">
                  <c:v>211937.5</c:v>
                </c:pt>
                <c:pt idx="12">
                  <c:v>232325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62-4BA2-AF32-E959DBF98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3140224"/>
        <c:axId val="403139832"/>
      </c:barChart>
      <c:lineChart>
        <c:grouping val="standard"/>
        <c:varyColors val="0"/>
        <c:ser>
          <c:idx val="7"/>
          <c:order val="12"/>
          <c:tx>
            <c:v>Precio medio subir</c:v>
          </c:tx>
          <c:spPr>
            <a:ln>
              <a:solidFill>
                <a:srgbClr val="004563"/>
              </a:solidFill>
            </a:ln>
          </c:spPr>
          <c:marker>
            <c:symbol val="none"/>
          </c:marker>
          <c:val>
            <c:numRef>
              <c:f>Dat_01!$C$402:$O$402</c:f>
              <c:numCache>
                <c:formatCode>#,##0.00</c:formatCode>
                <c:ptCount val="13"/>
                <c:pt idx="0">
                  <c:v>157.3914054217</c:v>
                </c:pt>
                <c:pt idx="1">
                  <c:v>166.42095092229999</c:v>
                </c:pt>
                <c:pt idx="2">
                  <c:v>162.7965502049</c:v>
                </c:pt>
                <c:pt idx="3">
                  <c:v>164.47094452299999</c:v>
                </c:pt>
                <c:pt idx="4">
                  <c:v>174.62615588240001</c:v>
                </c:pt>
                <c:pt idx="5">
                  <c:v>182.37316718189999</c:v>
                </c:pt>
                <c:pt idx="6">
                  <c:v>135.90872295330001</c:v>
                </c:pt>
                <c:pt idx="7">
                  <c:v>198.52719663740001</c:v>
                </c:pt>
                <c:pt idx="8">
                  <c:v>177.1996726072</c:v>
                </c:pt>
                <c:pt idx="9">
                  <c:v>185.86729484080001</c:v>
                </c:pt>
                <c:pt idx="10">
                  <c:v>176.97038287890001</c:v>
                </c:pt>
                <c:pt idx="11">
                  <c:v>213.39231058019999</c:v>
                </c:pt>
                <c:pt idx="12">
                  <c:v>246.23396768160001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C6-4F22-91C5-9726F5E4B6D7}"/>
            </c:ext>
          </c:extLst>
        </c:ser>
        <c:ser>
          <c:idx val="9"/>
          <c:order val="13"/>
          <c:tx>
            <c:v>Precio medio bajar</c:v>
          </c:tx>
          <c:spPr>
            <a:ln>
              <a:solidFill>
                <a:srgbClr val="404040"/>
              </a:solidFill>
            </a:ln>
          </c:spPr>
          <c:marker>
            <c:symbol val="none"/>
          </c:marker>
          <c:val>
            <c:numRef>
              <c:f>Dat_01!$C$406:$O$406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9C6-4F22-91C5-9726F5E4B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141008"/>
        <c:axId val="403140616"/>
      </c:lineChart>
      <c:valAx>
        <c:axId val="4031398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4563"/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403140224"/>
        <c:crosses val="autoZero"/>
        <c:crossBetween val="between"/>
        <c:majorUnit val="400000"/>
        <c:dispUnits>
          <c:builtInUnit val="thousands"/>
        </c:dispUnits>
      </c:valAx>
      <c:catAx>
        <c:axId val="40314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3139832"/>
        <c:crossesAt val="0"/>
        <c:auto val="1"/>
        <c:lblAlgn val="ctr"/>
        <c:lblOffset val="100"/>
        <c:noMultiLvlLbl val="0"/>
      </c:catAx>
      <c:valAx>
        <c:axId val="403140616"/>
        <c:scaling>
          <c:orientation val="minMax"/>
          <c:max val="225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403141008"/>
        <c:crosses val="max"/>
        <c:crossBetween val="between"/>
        <c:majorUnit val="25"/>
      </c:valAx>
      <c:catAx>
        <c:axId val="403141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3140616"/>
        <c:crossesAt val="0"/>
        <c:auto val="1"/>
        <c:lblAlgn val="ctr"/>
        <c:lblOffset val="100"/>
        <c:noMultiLvlLbl val="0"/>
      </c:catAx>
      <c:spPr>
        <a:solidFill>
          <a:schemeClr val="bg1">
            <a:lumMod val="85000"/>
          </a:schemeClr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>
      <a:noFill/>
    </a:ln>
  </c:spPr>
  <c:txPr>
    <a:bodyPr/>
    <a:lstStyle/>
    <a:p>
      <a:pPr algn="ctr">
        <a:defRPr lang="en-US" sz="800" b="0" i="0" u="none" strike="noStrike" kern="1200" baseline="0">
          <a:solidFill>
            <a:srgbClr val="004563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s-ES"/>
    </a:p>
  </c:txPr>
  <c:printSettings>
    <c:headerFooter alignWithMargins="0"/>
    <c:pageMargins b="1" l="0.75000000000001465" r="0.75000000000001465" t="1" header="0" footer="0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631025328334913E-2"/>
          <c:y val="0.12454101736471991"/>
          <c:w val="0.89662947963244555"/>
          <c:h val="0.69275413221570525"/>
        </c:manualLayout>
      </c:layout>
      <c:barChart>
        <c:barDir val="col"/>
        <c:grouping val="stacked"/>
        <c:varyColors val="0"/>
        <c:ser>
          <c:idx val="0"/>
          <c:order val="0"/>
          <c:tx>
            <c:v>Potencia media a subir</c:v>
          </c:tx>
          <c:spPr>
            <a:solidFill>
              <a:srgbClr val="007AB0"/>
            </a:solidFill>
            <a:ln>
              <a:noFill/>
            </a:ln>
            <a:effectLst/>
          </c:spPr>
          <c:invertIfNegative val="0"/>
          <c:cat>
            <c:strRef>
              <c:f>Dat_01!$B$180:$N$180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Dat_01!$B$184:$N$184</c:f>
              <c:numCache>
                <c:formatCode>#,##0</c:formatCode>
                <c:ptCount val="13"/>
                <c:pt idx="0">
                  <c:v>1193.9107638889</c:v>
                </c:pt>
                <c:pt idx="1">
                  <c:v>1186.19756944445</c:v>
                </c:pt>
                <c:pt idx="2">
                  <c:v>1174.1842281879251</c:v>
                </c:pt>
                <c:pt idx="3">
                  <c:v>1169.1361111111</c:v>
                </c:pt>
                <c:pt idx="4">
                  <c:v>1170.0030241935499</c:v>
                </c:pt>
                <c:pt idx="5">
                  <c:v>1185.5510752688249</c:v>
                </c:pt>
                <c:pt idx="6">
                  <c:v>1168.0904017857249</c:v>
                </c:pt>
                <c:pt idx="7">
                  <c:v>1215.6991924629999</c:v>
                </c:pt>
                <c:pt idx="8">
                  <c:v>1220.9909722222251</c:v>
                </c:pt>
                <c:pt idx="9">
                  <c:v>1226.6582661290249</c:v>
                </c:pt>
                <c:pt idx="10">
                  <c:v>1238.0444444444499</c:v>
                </c:pt>
                <c:pt idx="11">
                  <c:v>1239.9375</c:v>
                </c:pt>
                <c:pt idx="12">
                  <c:v>1233.3034274193501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52-4BC0-AA03-7CD9557E0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3141792"/>
        <c:axId val="403142184"/>
      </c:barChart>
      <c:lineChart>
        <c:grouping val="standard"/>
        <c:varyColors val="0"/>
        <c:ser>
          <c:idx val="2"/>
          <c:order val="1"/>
          <c:tx>
            <c:v>Potencia media a bajar</c:v>
          </c:tx>
          <c:spPr>
            <a:ln w="28575" cap="rnd">
              <a:solidFill>
                <a:srgbClr val="004563"/>
              </a:solidFill>
              <a:round/>
            </a:ln>
            <a:effectLst/>
          </c:spPr>
          <c:marker>
            <c:symbol val="none"/>
          </c:marker>
          <c:cat>
            <c:strRef>
              <c:f>Dat_01!$C$130:$O$130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52-4BC0-AA03-7CD9557E0882}"/>
            </c:ext>
          </c:extLst>
        </c:ser>
        <c:ser>
          <c:idx val="1"/>
          <c:order val="2"/>
          <c:tx>
            <c:v>Precio</c:v>
          </c:tx>
          <c:spPr>
            <a:ln w="28575" cap="rnd">
              <a:solidFill>
                <a:srgbClr val="004563"/>
              </a:solidFill>
              <a:round/>
            </a:ln>
            <a:effectLst/>
          </c:spPr>
          <c:marker>
            <c:symbol val="none"/>
          </c:marker>
          <c:val>
            <c:numRef>
              <c:f>Dat_01!$C$412:$O$412</c:f>
              <c:numCache>
                <c:formatCode>#,##0.00</c:formatCode>
                <c:ptCount val="13"/>
                <c:pt idx="0">
                  <c:v>35.031649862599998</c:v>
                </c:pt>
                <c:pt idx="1">
                  <c:v>32.7380599946</c:v>
                </c:pt>
                <c:pt idx="2">
                  <c:v>36.398819601600003</c:v>
                </c:pt>
                <c:pt idx="3">
                  <c:v>25.577419348599999</c:v>
                </c:pt>
                <c:pt idx="4">
                  <c:v>19.581757195600002</c:v>
                </c:pt>
                <c:pt idx="5">
                  <c:v>23.5337400642</c:v>
                </c:pt>
                <c:pt idx="6">
                  <c:v>14.062624576599999</c:v>
                </c:pt>
                <c:pt idx="7">
                  <c:v>16.3789167664</c:v>
                </c:pt>
                <c:pt idx="8">
                  <c:v>14.070145721799999</c:v>
                </c:pt>
                <c:pt idx="9">
                  <c:v>21.894220540100001</c:v>
                </c:pt>
                <c:pt idx="10">
                  <c:v>25.395063536999999</c:v>
                </c:pt>
                <c:pt idx="11">
                  <c:v>30.5925534056</c:v>
                </c:pt>
                <c:pt idx="12">
                  <c:v>44.883591819199999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95-4BE8-A39A-418950733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142968"/>
        <c:axId val="403142576"/>
      </c:lineChart>
      <c:catAx>
        <c:axId val="40314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00456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03142184"/>
        <c:crosses val="autoZero"/>
        <c:auto val="1"/>
        <c:lblAlgn val="ctr"/>
        <c:lblOffset val="100"/>
        <c:noMultiLvlLbl val="1"/>
      </c:catAx>
      <c:valAx>
        <c:axId val="403142184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rgbClr val="004563"/>
              </a:solidFill>
              <a:prstDash val="sysDot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800">
                    <a:solidFill>
                      <a:srgbClr val="004563"/>
                    </a:solidFill>
                  </a:rPr>
                  <a:t>MW</a:t>
                </a:r>
              </a:p>
            </c:rich>
          </c:tx>
          <c:layout>
            <c:manualLayout>
              <c:xMode val="edge"/>
              <c:yMode val="edge"/>
              <c:x val="2.1914394226280522E-2"/>
              <c:y val="1.143555889398472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s-ES"/>
          </a:p>
        </c:txPr>
        <c:crossAx val="403141792"/>
        <c:crosses val="autoZero"/>
        <c:crossBetween val="between"/>
        <c:majorUnit val="200"/>
      </c:valAx>
      <c:valAx>
        <c:axId val="403142576"/>
        <c:scaling>
          <c:orientation val="minMax"/>
          <c:max val="70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800">
                    <a:solidFill>
                      <a:srgbClr val="004563"/>
                    </a:solidFill>
                  </a:rPr>
                  <a:t>€/MW</a:t>
                </a:r>
              </a:p>
            </c:rich>
          </c:tx>
          <c:layout>
            <c:manualLayout>
              <c:xMode val="edge"/>
              <c:yMode val="edge"/>
              <c:x val="0.94481793598262565"/>
              <c:y val="2.20468618533685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03142968"/>
        <c:crosses val="max"/>
        <c:crossBetween val="between"/>
        <c:majorUnit val="10"/>
      </c:valAx>
      <c:catAx>
        <c:axId val="403142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31425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D9D9D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55" verticalDpi="355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</xdr:colOff>
      <xdr:row>5</xdr:row>
      <xdr:rowOff>38100</xdr:rowOff>
    </xdr:from>
    <xdr:to>
      <xdr:col>2</xdr:col>
      <xdr:colOff>1066800</xdr:colOff>
      <xdr:row>21</xdr:row>
      <xdr:rowOff>76970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lum bright="4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905" y="884767"/>
          <a:ext cx="1043940" cy="2328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60067</xdr:colOff>
      <xdr:row>3</xdr:row>
      <xdr:rowOff>0</xdr:rowOff>
    </xdr:from>
    <xdr:to>
      <xdr:col>5</xdr:col>
      <xdr:colOff>4287</xdr:colOff>
      <xdr:row>3</xdr:row>
      <xdr:rowOff>4289</xdr:rowOff>
    </xdr:to>
    <xdr:sp macro="" textlink="">
      <xdr:nvSpPr>
        <xdr:cNvPr id="4" name="Line 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266013" y="459088"/>
          <a:ext cx="8083375" cy="4289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95250</xdr:rowOff>
    </xdr:from>
    <xdr:to>
      <xdr:col>4</xdr:col>
      <xdr:colOff>371474</xdr:colOff>
      <xdr:row>2</xdr:row>
      <xdr:rowOff>46349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047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0.10865</cdr:y>
    </cdr:from>
    <cdr:to>
      <cdr:x>0.07221</cdr:x>
      <cdr:y>0.1806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0" y="317500"/>
          <a:ext cx="509627" cy="21025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800" b="0" i="0" baseline="0">
              <a:solidFill>
                <a:srgbClr val="004563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€/MWh</a:t>
          </a:r>
          <a:endParaRPr lang="en-US" sz="800">
            <a:solidFill>
              <a:srgbClr val="004563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0.65389</cdr:x>
      <cdr:y>0.93164</cdr:y>
    </cdr:from>
    <cdr:to>
      <cdr:x>0.74432</cdr:x>
      <cdr:y>0.99258</cdr:y>
    </cdr:to>
    <cdr:sp macro="" textlink="">
      <cdr:nvSpPr>
        <cdr:cNvPr id="3" name="CuadroTexto 1"/>
        <cdr:cNvSpPr txBox="1"/>
      </cdr:nvSpPr>
      <cdr:spPr>
        <a:xfrm xmlns:a="http://schemas.openxmlformats.org/drawingml/2006/main">
          <a:off x="4626788" y="2719490"/>
          <a:ext cx="639862" cy="177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0.2081</cdr:x>
      <cdr:y>0.92868</cdr:y>
    </cdr:from>
    <cdr:to>
      <cdr:x>0.28791</cdr:x>
      <cdr:y>0.99384</cdr:y>
    </cdr:to>
    <cdr:sp macro="" textlink="">
      <cdr:nvSpPr>
        <cdr:cNvPr id="4" name="CuadroTexto 1"/>
        <cdr:cNvSpPr txBox="1"/>
      </cdr:nvSpPr>
      <cdr:spPr>
        <a:xfrm xmlns:a="http://schemas.openxmlformats.org/drawingml/2006/main">
          <a:off x="1472478" y="2710860"/>
          <a:ext cx="564718" cy="1902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15238</xdr:colOff>
      <xdr:row>3</xdr:row>
      <xdr:rowOff>28574</xdr:rowOff>
    </xdr:from>
    <xdr:to>
      <xdr:col>6</xdr:col>
      <xdr:colOff>1207213</xdr:colOff>
      <xdr:row>3</xdr:row>
      <xdr:rowOff>30477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 flipH="1">
          <a:off x="205738" y="485774"/>
          <a:ext cx="7488000" cy="1903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28575</xdr:colOff>
      <xdr:row>1</xdr:row>
      <xdr:rowOff>133350</xdr:rowOff>
    </xdr:from>
    <xdr:to>
      <xdr:col>4</xdr:col>
      <xdr:colOff>123824</xdr:colOff>
      <xdr:row>2</xdr:row>
      <xdr:rowOff>84449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74295</xdr:colOff>
      <xdr:row>6</xdr:row>
      <xdr:rowOff>15240</xdr:rowOff>
    </xdr:from>
    <xdr:to>
      <xdr:col>5</xdr:col>
      <xdr:colOff>7620</xdr:colOff>
      <xdr:row>24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15240</xdr:colOff>
      <xdr:row>3</xdr:row>
      <xdr:rowOff>30480</xdr:rowOff>
    </xdr:from>
    <xdr:to>
      <xdr:col>5</xdr:col>
      <xdr:colOff>0</xdr:colOff>
      <xdr:row>3</xdr:row>
      <xdr:rowOff>30480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>
          <a:spLocks noChangeShapeType="1"/>
        </xdr:cNvSpPr>
      </xdr:nvSpPr>
      <xdr:spPr bwMode="auto">
        <a:xfrm flipH="1">
          <a:off x="205740" y="487680"/>
          <a:ext cx="87001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38100</xdr:colOff>
      <xdr:row>1</xdr:row>
      <xdr:rowOff>123825</xdr:rowOff>
    </xdr:from>
    <xdr:to>
      <xdr:col>4</xdr:col>
      <xdr:colOff>133349</xdr:colOff>
      <xdr:row>2</xdr:row>
      <xdr:rowOff>74924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0.01125</cdr:x>
      <cdr:y>0.09098</cdr:y>
    </cdr:from>
    <cdr:to>
      <cdr:x>0.06714</cdr:x>
      <cdr:y>0.16183</cdr:y>
    </cdr:to>
    <cdr:sp macro="" textlink="">
      <cdr:nvSpPr>
        <cdr:cNvPr id="2" name="CuadroTexto 5"/>
        <cdr:cNvSpPr txBox="1"/>
      </cdr:nvSpPr>
      <cdr:spPr>
        <a:xfrm xmlns:a="http://schemas.openxmlformats.org/drawingml/2006/main">
          <a:off x="79375" y="279400"/>
          <a:ext cx="394532" cy="217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>
              <a:solidFill>
                <a:srgbClr val="004563"/>
              </a:solidFill>
            </a:rPr>
            <a:t>GWh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165943</xdr:colOff>
      <xdr:row>2</xdr:row>
      <xdr:rowOff>20881</xdr:rowOff>
    </xdr:from>
    <xdr:to>
      <xdr:col>11</xdr:col>
      <xdr:colOff>745433</xdr:colOff>
      <xdr:row>2</xdr:row>
      <xdr:rowOff>49694</xdr:rowOff>
    </xdr:to>
    <xdr:sp macro="" textlink="">
      <xdr:nvSpPr>
        <xdr:cNvPr id="5" name="Line 7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165943" y="352185"/>
          <a:ext cx="9209968" cy="28813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462313</xdr:colOff>
      <xdr:row>20</xdr:row>
      <xdr:rowOff>56446</xdr:rowOff>
    </xdr:from>
    <xdr:to>
      <xdr:col>9</xdr:col>
      <xdr:colOff>89377</xdr:colOff>
      <xdr:row>21</xdr:row>
      <xdr:rowOff>55918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/>
      </xdr:nvSpPr>
      <xdr:spPr>
        <a:xfrm>
          <a:off x="6788351" y="3291352"/>
          <a:ext cx="399847" cy="1612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xdr:txBody>
    </xdr:sp>
    <xdr:clientData/>
  </xdr:twoCellAnchor>
  <xdr:twoCellAnchor editAs="oneCell">
    <xdr:from>
      <xdr:col>1</xdr:col>
      <xdr:colOff>9525</xdr:colOff>
      <xdr:row>0</xdr:row>
      <xdr:rowOff>38100</xdr:rowOff>
    </xdr:from>
    <xdr:to>
      <xdr:col>2</xdr:col>
      <xdr:colOff>190499</xdr:colOff>
      <xdr:row>1</xdr:row>
      <xdr:rowOff>93974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0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1482665</xdr:colOff>
      <xdr:row>21</xdr:row>
      <xdr:rowOff>35944</xdr:rowOff>
    </xdr:from>
    <xdr:to>
      <xdr:col>11</xdr:col>
      <xdr:colOff>687534</xdr:colOff>
      <xdr:row>36</xdr:row>
      <xdr:rowOff>77330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54295CB-E344-43E3-820D-8D904B999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1491651</xdr:colOff>
      <xdr:row>5</xdr:row>
      <xdr:rowOff>116817</xdr:rowOff>
    </xdr:from>
    <xdr:to>
      <xdr:col>11</xdr:col>
      <xdr:colOff>696520</xdr:colOff>
      <xdr:row>21</xdr:row>
      <xdr:rowOff>27521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76801656-2EC9-49B8-A058-28E5B6507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0.47471</cdr:x>
      <cdr:y>0.07676</cdr:y>
    </cdr:from>
    <cdr:to>
      <cdr:x>0.47479</cdr:x>
      <cdr:y>0.78086</cdr:y>
    </cdr:to>
    <cdr:cxnSp macro="">
      <cdr:nvCxnSpPr>
        <cdr:cNvPr id="3" name="Conector recto 1">
          <a:extLst xmlns:a="http://schemas.openxmlformats.org/drawingml/2006/main">
            <a:ext uri="{FF2B5EF4-FFF2-40B4-BE49-F238E27FC236}">
              <a16:creationId xmlns:a16="http://schemas.microsoft.com/office/drawing/2014/main" id="{4BA97B41-21FE-427C-A03C-779E1DB6CA25}"/>
            </a:ext>
          </a:extLst>
        </cdr:cNvPr>
        <cdr:cNvCxnSpPr/>
      </cdr:nvCxnSpPr>
      <cdr:spPr bwMode="auto">
        <a:xfrm xmlns:a="http://schemas.openxmlformats.org/drawingml/2006/main" flipV="1">
          <a:off x="3636578" y="189402"/>
          <a:ext cx="613" cy="1737412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0.46966</cdr:x>
      <cdr:y>0.13576</cdr:y>
    </cdr:from>
    <cdr:to>
      <cdr:x>0.47091</cdr:x>
      <cdr:y>0.85187</cdr:y>
    </cdr:to>
    <cdr:cxnSp macro="">
      <cdr:nvCxnSpPr>
        <cdr:cNvPr id="3" name="Conector recto 1">
          <a:extLst xmlns:a="http://schemas.openxmlformats.org/drawingml/2006/main">
            <a:ext uri="{FF2B5EF4-FFF2-40B4-BE49-F238E27FC236}">
              <a16:creationId xmlns:a16="http://schemas.microsoft.com/office/drawing/2014/main" id="{4BA97B41-21FE-427C-A03C-779E1DB6CA25}"/>
            </a:ext>
          </a:extLst>
        </cdr:cNvPr>
        <cdr:cNvCxnSpPr/>
      </cdr:nvCxnSpPr>
      <cdr:spPr bwMode="auto">
        <a:xfrm xmlns:a="http://schemas.openxmlformats.org/drawingml/2006/main" flipH="1" flipV="1">
          <a:off x="3597854" y="339202"/>
          <a:ext cx="9576" cy="1789293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0.24822</cdr:x>
      <cdr:y>0.92805</cdr:y>
    </cdr:from>
    <cdr:to>
      <cdr:x>0.28698</cdr:x>
      <cdr:y>0.9895</cdr:y>
    </cdr:to>
    <cdr:sp macro="" textlink="">
      <cdr:nvSpPr>
        <cdr:cNvPr id="4" name="CuadroTexto 6">
          <a:extLst xmlns:a="http://schemas.openxmlformats.org/drawingml/2006/main">
            <a:ext uri="{FF2B5EF4-FFF2-40B4-BE49-F238E27FC236}">
              <a16:creationId xmlns:a16="http://schemas.microsoft.com/office/drawing/2014/main" id="{62B46BC2-1008-478C-A573-17A95B031C19}"/>
            </a:ext>
          </a:extLst>
        </cdr:cNvPr>
        <cdr:cNvSpPr txBox="1"/>
      </cdr:nvSpPr>
      <cdr:spPr>
        <a:xfrm xmlns:a="http://schemas.openxmlformats.org/drawingml/2006/main">
          <a:off x="1901533" y="2318847"/>
          <a:ext cx="296923" cy="1535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cdr:txBody>
    </cdr:sp>
  </cdr:relSizeAnchor>
  <cdr:relSizeAnchor xmlns:cdr="http://schemas.openxmlformats.org/drawingml/2006/chartDrawing">
    <cdr:from>
      <cdr:x>0.70345</cdr:x>
      <cdr:y>0.93136</cdr:y>
    </cdr:from>
    <cdr:to>
      <cdr:x>0.74221</cdr:x>
      <cdr:y>0.99281</cdr:y>
    </cdr:to>
    <cdr:sp macro="" textlink="">
      <cdr:nvSpPr>
        <cdr:cNvPr id="2" name="CuadroTexto 6">
          <a:extLst xmlns:a="http://schemas.openxmlformats.org/drawingml/2006/main">
            <a:ext uri="{FF2B5EF4-FFF2-40B4-BE49-F238E27FC236}">
              <a16:creationId xmlns:a16="http://schemas.microsoft.com/office/drawing/2014/main" id="{59477B08-3D50-33B5-1293-E4DF481CD697}"/>
            </a:ext>
          </a:extLst>
        </cdr:cNvPr>
        <cdr:cNvSpPr txBox="1"/>
      </cdr:nvSpPr>
      <cdr:spPr>
        <a:xfrm xmlns:a="http://schemas.openxmlformats.org/drawingml/2006/main">
          <a:off x="5388785" y="2327123"/>
          <a:ext cx="296923" cy="1535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2026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3314</xdr:colOff>
      <xdr:row>6</xdr:row>
      <xdr:rowOff>41412</xdr:rowOff>
    </xdr:from>
    <xdr:to>
      <xdr:col>11</xdr:col>
      <xdr:colOff>670892</xdr:colOff>
      <xdr:row>20</xdr:row>
      <xdr:rowOff>91108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2375</xdr:colOff>
      <xdr:row>19</xdr:row>
      <xdr:rowOff>149087</xdr:rowOff>
    </xdr:from>
    <xdr:to>
      <xdr:col>11</xdr:col>
      <xdr:colOff>670892</xdr:colOff>
      <xdr:row>30</xdr:row>
      <xdr:rowOff>74544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165942</xdr:colOff>
      <xdr:row>2</xdr:row>
      <xdr:rowOff>20880</xdr:rowOff>
    </xdr:from>
    <xdr:to>
      <xdr:col>11</xdr:col>
      <xdr:colOff>742949</xdr:colOff>
      <xdr:row>2</xdr:row>
      <xdr:rowOff>57149</xdr:rowOff>
    </xdr:to>
    <xdr:sp macro="" textlink="">
      <xdr:nvSpPr>
        <xdr:cNvPr id="5" name="Line 7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165942" y="344730"/>
          <a:ext cx="9073307" cy="36269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28575</xdr:rowOff>
    </xdr:from>
    <xdr:to>
      <xdr:col>2</xdr:col>
      <xdr:colOff>314324</xdr:colOff>
      <xdr:row>1</xdr:row>
      <xdr:rowOff>84449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0.40533</cdr:x>
      <cdr:y>0.12113</cdr:y>
    </cdr:from>
    <cdr:to>
      <cdr:x>0.40608</cdr:x>
      <cdr:y>0.82088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D16DB130-295B-4609-933E-9EDA315F24A0}"/>
            </a:ext>
          </a:extLst>
        </cdr:cNvPr>
        <cdr:cNvCxnSpPr/>
      </cdr:nvCxnSpPr>
      <cdr:spPr bwMode="auto">
        <a:xfrm xmlns:a="http://schemas.openxmlformats.org/drawingml/2006/main" flipV="1">
          <a:off x="3054230" y="280624"/>
          <a:ext cx="5652" cy="1621073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0.23756</cdr:x>
      <cdr:y>0.8935</cdr:y>
    </cdr:from>
    <cdr:to>
      <cdr:x>0.31236</cdr:x>
      <cdr:y>0.97209</cdr:y>
    </cdr:to>
    <cdr:sp macro="" textlink="">
      <cdr:nvSpPr>
        <cdr:cNvPr id="4" name="CuadroTexto 1"/>
        <cdr:cNvSpPr txBox="1"/>
      </cdr:nvSpPr>
      <cdr:spPr>
        <a:xfrm xmlns:a="http://schemas.openxmlformats.org/drawingml/2006/main">
          <a:off x="1790035" y="2069930"/>
          <a:ext cx="563626" cy="1820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cdr:txBody>
    </cdr:sp>
  </cdr:relSizeAnchor>
  <cdr:relSizeAnchor xmlns:cdr="http://schemas.openxmlformats.org/drawingml/2006/chartDrawing">
    <cdr:from>
      <cdr:x>0.68661</cdr:x>
      <cdr:y>0.89223</cdr:y>
    </cdr:from>
    <cdr:to>
      <cdr:x>0.76141</cdr:x>
      <cdr:y>0.97082</cdr:y>
    </cdr:to>
    <cdr:sp macro="" textlink="">
      <cdr:nvSpPr>
        <cdr:cNvPr id="5" name="CuadroTexto 1"/>
        <cdr:cNvSpPr txBox="1"/>
      </cdr:nvSpPr>
      <cdr:spPr>
        <a:xfrm xmlns:a="http://schemas.openxmlformats.org/drawingml/2006/main">
          <a:off x="5173704" y="2066981"/>
          <a:ext cx="563626" cy="182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BZ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</a:t>
          </a:r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0.40288</cdr:x>
      <cdr:y>0.03797</cdr:y>
    </cdr:from>
    <cdr:to>
      <cdr:x>0.40365</cdr:x>
      <cdr:y>0.85586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337CA4D8-91EF-47E8-8DA5-5815FBB8BE63}"/>
            </a:ext>
          </a:extLst>
        </cdr:cNvPr>
        <cdr:cNvCxnSpPr/>
      </cdr:nvCxnSpPr>
      <cdr:spPr bwMode="auto">
        <a:xfrm xmlns:a="http://schemas.openxmlformats.org/drawingml/2006/main" flipV="1">
          <a:off x="3036105" y="64801"/>
          <a:ext cx="5803" cy="1395837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160020</xdr:colOff>
      <xdr:row>3</xdr:row>
      <xdr:rowOff>0</xdr:rowOff>
    </xdr:from>
    <xdr:to>
      <xdr:col>11</xdr:col>
      <xdr:colOff>695325</xdr:colOff>
      <xdr:row>3</xdr:row>
      <xdr:rowOff>3810</xdr:rowOff>
    </xdr:to>
    <xdr:sp macro="" textlink="">
      <xdr:nvSpPr>
        <xdr:cNvPr id="4" name="Line 7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H="1">
          <a:off x="160020" y="457200"/>
          <a:ext cx="7536180" cy="381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</xdr:row>
      <xdr:rowOff>0</xdr:rowOff>
    </xdr:from>
    <xdr:to>
      <xdr:col>11</xdr:col>
      <xdr:colOff>704850</xdr:colOff>
      <xdr:row>25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9525</xdr:colOff>
      <xdr:row>0</xdr:row>
      <xdr:rowOff>123825</xdr:rowOff>
    </xdr:from>
    <xdr:to>
      <xdr:col>4</xdr:col>
      <xdr:colOff>9524</xdr:colOff>
      <xdr:row>2</xdr:row>
      <xdr:rowOff>46349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9221</xdr:colOff>
      <xdr:row>5</xdr:row>
      <xdr:rowOff>91107</xdr:rowOff>
    </xdr:from>
    <xdr:to>
      <xdr:col>11</xdr:col>
      <xdr:colOff>676799</xdr:colOff>
      <xdr:row>19</xdr:row>
      <xdr:rowOff>165651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8282</xdr:colOff>
      <xdr:row>19</xdr:row>
      <xdr:rowOff>66261</xdr:rowOff>
    </xdr:from>
    <xdr:to>
      <xdr:col>11</xdr:col>
      <xdr:colOff>676799</xdr:colOff>
      <xdr:row>29</xdr:row>
      <xdr:rowOff>157370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165943</xdr:colOff>
      <xdr:row>2</xdr:row>
      <xdr:rowOff>20881</xdr:rowOff>
    </xdr:from>
    <xdr:to>
      <xdr:col>12</xdr:col>
      <xdr:colOff>115954</xdr:colOff>
      <xdr:row>2</xdr:row>
      <xdr:rowOff>49694</xdr:rowOff>
    </xdr:to>
    <xdr:sp macro="" textlink="">
      <xdr:nvSpPr>
        <xdr:cNvPr id="5" name="Line 7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165943" y="344731"/>
          <a:ext cx="9208311" cy="28813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0</xdr:row>
      <xdr:rowOff>57150</xdr:rowOff>
    </xdr:from>
    <xdr:to>
      <xdr:col>2</xdr:col>
      <xdr:colOff>342899</xdr:colOff>
      <xdr:row>1</xdr:row>
      <xdr:rowOff>113024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71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0.47519</cdr:x>
      <cdr:y>0.11652</cdr:y>
    </cdr:from>
    <cdr:to>
      <cdr:x>0.47537</cdr:x>
      <cdr:y>0.81595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8B484EC5-BF50-4410-84F5-1BAE0EC1C077}"/>
            </a:ext>
          </a:extLst>
        </cdr:cNvPr>
        <cdr:cNvCxnSpPr/>
      </cdr:nvCxnSpPr>
      <cdr:spPr bwMode="auto">
        <a:xfrm xmlns:a="http://schemas.openxmlformats.org/drawingml/2006/main" flipV="1">
          <a:off x="3563400" y="276000"/>
          <a:ext cx="1350" cy="1656765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0.23761</cdr:x>
      <cdr:y>0.89032</cdr:y>
    </cdr:from>
    <cdr:to>
      <cdr:x>0.31242</cdr:x>
      <cdr:y>0.96809</cdr:y>
    </cdr:to>
    <cdr:sp macro="" textlink="">
      <cdr:nvSpPr>
        <cdr:cNvPr id="4" name="CuadroTexto 1"/>
        <cdr:cNvSpPr txBox="1"/>
      </cdr:nvSpPr>
      <cdr:spPr>
        <a:xfrm xmlns:a="http://schemas.openxmlformats.org/drawingml/2006/main">
          <a:off x="1781791" y="2108934"/>
          <a:ext cx="560997" cy="1842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cdr:txBody>
    </cdr:sp>
  </cdr:relSizeAnchor>
  <cdr:relSizeAnchor xmlns:cdr="http://schemas.openxmlformats.org/drawingml/2006/chartDrawing">
    <cdr:from>
      <cdr:x>0.68415</cdr:x>
      <cdr:y>0.89032</cdr:y>
    </cdr:from>
    <cdr:to>
      <cdr:x>0.75894</cdr:x>
      <cdr:y>0.9681</cdr:y>
    </cdr:to>
    <cdr:sp macro="" textlink="">
      <cdr:nvSpPr>
        <cdr:cNvPr id="5" name="CuadroTexto 1"/>
        <cdr:cNvSpPr txBox="1"/>
      </cdr:nvSpPr>
      <cdr:spPr>
        <a:xfrm xmlns:a="http://schemas.openxmlformats.org/drawingml/2006/main">
          <a:off x="5130423" y="2108934"/>
          <a:ext cx="560847" cy="1842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BZ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</a:t>
          </a:r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0.47118</cdr:x>
      <cdr:y>0.03267</cdr:y>
    </cdr:from>
    <cdr:to>
      <cdr:x>0.47118</cdr:x>
      <cdr:y>0.88202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D59D532A-52B7-4D3C-ACDB-EE5BBCA3F18B}"/>
            </a:ext>
          </a:extLst>
        </cdr:cNvPr>
        <cdr:cNvCxnSpPr/>
      </cdr:nvCxnSpPr>
      <cdr:spPr bwMode="auto">
        <a:xfrm xmlns:a="http://schemas.openxmlformats.org/drawingml/2006/main" flipV="1">
          <a:off x="3533793" y="57513"/>
          <a:ext cx="0" cy="1495319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1468396</xdr:colOff>
      <xdr:row>20</xdr:row>
      <xdr:rowOff>49696</xdr:rowOff>
    </xdr:from>
    <xdr:to>
      <xdr:col>11</xdr:col>
      <xdr:colOff>554935</xdr:colOff>
      <xdr:row>36</xdr:row>
      <xdr:rowOff>41661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165943</xdr:colOff>
      <xdr:row>2</xdr:row>
      <xdr:rowOff>20881</xdr:rowOff>
    </xdr:from>
    <xdr:to>
      <xdr:col>11</xdr:col>
      <xdr:colOff>745433</xdr:colOff>
      <xdr:row>2</xdr:row>
      <xdr:rowOff>49694</xdr:rowOff>
    </xdr:to>
    <xdr:sp macro="" textlink="">
      <xdr:nvSpPr>
        <xdr:cNvPr id="5" name="Line 7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165943" y="344731"/>
          <a:ext cx="9209140" cy="28813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1484678</xdr:colOff>
      <xdr:row>4</xdr:row>
      <xdr:rowOff>70816</xdr:rowOff>
    </xdr:from>
    <xdr:to>
      <xdr:col>11</xdr:col>
      <xdr:colOff>571217</xdr:colOff>
      <xdr:row>21</xdr:row>
      <xdr:rowOff>1230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9525</xdr:colOff>
      <xdr:row>0</xdr:row>
      <xdr:rowOff>38100</xdr:rowOff>
    </xdr:from>
    <xdr:to>
      <xdr:col>2</xdr:col>
      <xdr:colOff>190499</xdr:colOff>
      <xdr:row>1</xdr:row>
      <xdr:rowOff>93974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0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0.40565</cdr:x>
      <cdr:y>0.09623</cdr:y>
    </cdr:from>
    <cdr:to>
      <cdr:x>0.40663</cdr:x>
      <cdr:y>0.77488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35BCFF26-5A06-476C-9F1A-66B27A0842BB}"/>
            </a:ext>
          </a:extLst>
        </cdr:cNvPr>
        <cdr:cNvCxnSpPr/>
      </cdr:nvCxnSpPr>
      <cdr:spPr bwMode="auto">
        <a:xfrm xmlns:a="http://schemas.openxmlformats.org/drawingml/2006/main" flipV="1">
          <a:off x="3059751" y="246498"/>
          <a:ext cx="7392" cy="1738362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0.40527</cdr:x>
      <cdr:y>0.18863</cdr:y>
    </cdr:from>
    <cdr:to>
      <cdr:x>0.40595</cdr:x>
      <cdr:y>0.87179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A4250AD3-2DF7-4275-A4C4-D135B2B53B60}"/>
            </a:ext>
          </a:extLst>
        </cdr:cNvPr>
        <cdr:cNvCxnSpPr/>
      </cdr:nvCxnSpPr>
      <cdr:spPr bwMode="auto">
        <a:xfrm xmlns:a="http://schemas.openxmlformats.org/drawingml/2006/main" flipH="1" flipV="1">
          <a:off x="3056840" y="501867"/>
          <a:ext cx="5129" cy="1817578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0.23736</cdr:x>
      <cdr:y>0.92955</cdr:y>
    </cdr:from>
    <cdr:to>
      <cdr:x>0.31216</cdr:x>
      <cdr:y>1</cdr:y>
    </cdr:to>
    <cdr:sp macro="" textlink="">
      <cdr:nvSpPr>
        <cdr:cNvPr id="4" name="CuadroTexto 1"/>
        <cdr:cNvSpPr txBox="1"/>
      </cdr:nvSpPr>
      <cdr:spPr>
        <a:xfrm xmlns:a="http://schemas.openxmlformats.org/drawingml/2006/main">
          <a:off x="1778710" y="2546332"/>
          <a:ext cx="560537" cy="192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cdr:txBody>
    </cdr:sp>
  </cdr:relSizeAnchor>
  <cdr:relSizeAnchor xmlns:cdr="http://schemas.openxmlformats.org/drawingml/2006/chartDrawing">
    <cdr:from>
      <cdr:x>0.69378</cdr:x>
      <cdr:y>0.92955</cdr:y>
    </cdr:from>
    <cdr:to>
      <cdr:x>0.76856</cdr:x>
      <cdr:y>1</cdr:y>
    </cdr:to>
    <cdr:sp macro="" textlink="">
      <cdr:nvSpPr>
        <cdr:cNvPr id="5" name="CuadroTexto 1"/>
        <cdr:cNvSpPr txBox="1"/>
      </cdr:nvSpPr>
      <cdr:spPr>
        <a:xfrm xmlns:a="http://schemas.openxmlformats.org/drawingml/2006/main">
          <a:off x="5199065" y="2546332"/>
          <a:ext cx="560387" cy="192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BZ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</a:t>
          </a:r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cdr:txBody>
    </cdr:sp>
  </cdr:relSizeAnchor>
  <cdr:relSizeAnchor xmlns:cdr="http://schemas.openxmlformats.org/drawingml/2006/chartDrawing">
    <cdr:from>
      <cdr:x>0.92036</cdr:x>
      <cdr:y>0.00912</cdr:y>
    </cdr:from>
    <cdr:to>
      <cdr:x>0.99082</cdr:x>
      <cdr:y>0.08025</cdr:y>
    </cdr:to>
    <cdr:sp macro="" textlink="">
      <cdr:nvSpPr>
        <cdr:cNvPr id="3" name="CuadroTexto 2"/>
        <cdr:cNvSpPr txBox="1"/>
      </cdr:nvSpPr>
      <cdr:spPr>
        <a:xfrm xmlns:a="http://schemas.openxmlformats.org/drawingml/2006/main">
          <a:off x="6935139" y="24434"/>
          <a:ext cx="530915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800" b="0" i="0" u="none" strike="noStrike" kern="1200" baseline="0">
              <a:solidFill>
                <a:srgbClr val="004563"/>
              </a:solidFill>
              <a:latin typeface="Calibri" panose="020F0502020204030204" pitchFamily="34" charset="0"/>
              <a:ea typeface="+mn-ea"/>
              <a:cs typeface="+mn-cs"/>
            </a:rPr>
            <a:t>€/M</a:t>
          </a:r>
          <a:r>
            <a:rPr lang="es-ES" sz="800" b="0" i="0" u="none" strike="noStrike" kern="1200" baseline="0">
              <a:solidFill>
                <a:srgbClr val="004563"/>
              </a:solidFill>
              <a:latin typeface="+mn-lt"/>
              <a:ea typeface="+mn-ea"/>
              <a:cs typeface="+mn-cs"/>
            </a:rPr>
            <a:t>Wh</a:t>
          </a:r>
          <a:endParaRPr lang="en-US" sz="800" b="0" i="0" u="none" strike="noStrike" kern="1200" baseline="0">
            <a:solidFill>
              <a:srgbClr val="004563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endParaRPr lang="en-US"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1427811</xdr:colOff>
      <xdr:row>21</xdr:row>
      <xdr:rowOff>24846</xdr:rowOff>
    </xdr:from>
    <xdr:to>
      <xdr:col>11</xdr:col>
      <xdr:colOff>584200</xdr:colOff>
      <xdr:row>39</xdr:row>
      <xdr:rowOff>91107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165943</xdr:colOff>
      <xdr:row>2</xdr:row>
      <xdr:rowOff>20881</xdr:rowOff>
    </xdr:from>
    <xdr:to>
      <xdr:col>12</xdr:col>
      <xdr:colOff>132520</xdr:colOff>
      <xdr:row>2</xdr:row>
      <xdr:rowOff>49694</xdr:rowOff>
    </xdr:to>
    <xdr:sp macro="" textlink="">
      <xdr:nvSpPr>
        <xdr:cNvPr id="4" name="Line 7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165943" y="344731"/>
          <a:ext cx="9209140" cy="28813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1427811</xdr:colOff>
      <xdr:row>5</xdr:row>
      <xdr:rowOff>96906</xdr:rowOff>
    </xdr:from>
    <xdr:to>
      <xdr:col>11</xdr:col>
      <xdr:colOff>590550</xdr:colOff>
      <xdr:row>21</xdr:row>
      <xdr:rowOff>88872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47625</xdr:rowOff>
    </xdr:from>
    <xdr:to>
      <xdr:col>2</xdr:col>
      <xdr:colOff>333374</xdr:colOff>
      <xdr:row>1</xdr:row>
      <xdr:rowOff>103499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476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0.39588</cdr:x>
      <cdr:y>0.08732</cdr:y>
    </cdr:from>
    <cdr:to>
      <cdr:x>0.39616</cdr:x>
      <cdr:y>0.76053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03A53757-7F0A-4AB4-8E0F-84271E3F2F9A}"/>
            </a:ext>
          </a:extLst>
        </cdr:cNvPr>
        <cdr:cNvCxnSpPr/>
      </cdr:nvCxnSpPr>
      <cdr:spPr bwMode="auto">
        <a:xfrm xmlns:a="http://schemas.openxmlformats.org/drawingml/2006/main" flipH="1" flipV="1">
          <a:off x="2951491" y="266153"/>
          <a:ext cx="2087" cy="2051944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0.23296</cdr:x>
      <cdr:y>0.92954</cdr:y>
    </cdr:from>
    <cdr:to>
      <cdr:x>0.30867</cdr:x>
      <cdr:y>1</cdr:y>
    </cdr:to>
    <cdr:sp macro="" textlink="">
      <cdr:nvSpPr>
        <cdr:cNvPr id="4" name="CuadroTexto 1"/>
        <cdr:cNvSpPr txBox="1"/>
      </cdr:nvSpPr>
      <cdr:spPr>
        <a:xfrm xmlns:a="http://schemas.openxmlformats.org/drawingml/2006/main">
          <a:off x="1741281" y="2398101"/>
          <a:ext cx="565906" cy="1817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cdr:txBody>
    </cdr:sp>
  </cdr:relSizeAnchor>
  <cdr:relSizeAnchor xmlns:cdr="http://schemas.openxmlformats.org/drawingml/2006/chartDrawing">
    <cdr:from>
      <cdr:x>0.68667</cdr:x>
      <cdr:y>0.92258</cdr:y>
    </cdr:from>
    <cdr:to>
      <cdr:x>0.76238</cdr:x>
      <cdr:y>0.99303</cdr:y>
    </cdr:to>
    <cdr:sp macro="" textlink="">
      <cdr:nvSpPr>
        <cdr:cNvPr id="5" name="CuadroTexto 1"/>
        <cdr:cNvSpPr txBox="1"/>
      </cdr:nvSpPr>
      <cdr:spPr>
        <a:xfrm xmlns:a="http://schemas.openxmlformats.org/drawingml/2006/main">
          <a:off x="5132637" y="2380164"/>
          <a:ext cx="565906" cy="1817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BZ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</a:t>
          </a:r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cdr:txBody>
    </cdr:sp>
  </cdr:relSizeAnchor>
  <cdr:relSizeAnchor xmlns:cdr="http://schemas.openxmlformats.org/drawingml/2006/chartDrawing">
    <cdr:from>
      <cdr:x>0.40042</cdr:x>
      <cdr:y>0.17935</cdr:y>
    </cdr:from>
    <cdr:to>
      <cdr:x>0.4007</cdr:x>
      <cdr:y>0.85256</cdr:y>
    </cdr:to>
    <cdr:cxnSp macro="">
      <cdr:nvCxnSpPr>
        <cdr:cNvPr id="8" name="Conector recto 1">
          <a:extLst xmlns:a="http://schemas.openxmlformats.org/drawingml/2006/main">
            <a:ext uri="{FF2B5EF4-FFF2-40B4-BE49-F238E27FC236}">
              <a16:creationId xmlns:a16="http://schemas.microsoft.com/office/drawing/2014/main" id="{03A53757-7F0A-4AB4-8E0F-84271E3F2F9A}"/>
            </a:ext>
          </a:extLst>
        </cdr:cNvPr>
        <cdr:cNvCxnSpPr/>
      </cdr:nvCxnSpPr>
      <cdr:spPr bwMode="auto">
        <a:xfrm xmlns:a="http://schemas.openxmlformats.org/drawingml/2006/main" flipH="1" flipV="1">
          <a:off x="2987907" y="473924"/>
          <a:ext cx="2089" cy="1778891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15240</xdr:colOff>
      <xdr:row>3</xdr:row>
      <xdr:rowOff>30480</xdr:rowOff>
    </xdr:from>
    <xdr:to>
      <xdr:col>5</xdr:col>
      <xdr:colOff>0</xdr:colOff>
      <xdr:row>3</xdr:row>
      <xdr:rowOff>30480</xdr:rowOff>
    </xdr:to>
    <xdr:sp macro="" textlink="">
      <xdr:nvSpPr>
        <xdr:cNvPr id="3" name="Line 10">
          <a:extLst>
            <a:ext uri="{FF2B5EF4-FFF2-40B4-BE49-F238E27FC236}">
              <a16:creationId xmlns:a16="http://schemas.microsoft.com/office/drawing/2014/main" id="{9C91BB7F-A64A-46E2-AEAF-DFAA1F64D36F}"/>
            </a:ext>
          </a:extLst>
        </xdr:cNvPr>
        <xdr:cNvSpPr>
          <a:spLocks noChangeShapeType="1"/>
        </xdr:cNvSpPr>
      </xdr:nvSpPr>
      <xdr:spPr bwMode="auto">
        <a:xfrm flipH="1">
          <a:off x="215265" y="487680"/>
          <a:ext cx="869061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133350</xdr:rowOff>
    </xdr:from>
    <xdr:to>
      <xdr:col>4</xdr:col>
      <xdr:colOff>152399</xdr:colOff>
      <xdr:row>2</xdr:row>
      <xdr:rowOff>84449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4E581C5-17AC-40B0-9140-CAE8EC31E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1869058" y="1078301"/>
    <xdr:ext cx="7048500" cy="307657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D24F718-B496-4B55-8655-5FA1BC34E11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0.41726</cdr:x>
      <cdr:y>0.18255</cdr:y>
    </cdr:from>
    <cdr:to>
      <cdr:x>0.54675</cdr:x>
      <cdr:y>0.24355</cdr:y>
    </cdr:to>
    <cdr:sp macro="" textlink="">
      <cdr:nvSpPr>
        <cdr:cNvPr id="2" name="Texto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52855" y="469466"/>
          <a:ext cx="730168" cy="1568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18288" tIns="22860" rIns="18288" bIns="22860" anchor="ctr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004563"/>
              </a:solidFill>
              <a:latin typeface="+mn-lt"/>
              <a:cs typeface="Arial"/>
            </a:rPr>
            <a:t>Precio</a:t>
          </a:r>
          <a:r>
            <a:rPr lang="es-ES" sz="800" b="0" i="0" strike="noStrike" baseline="0">
              <a:solidFill>
                <a:srgbClr val="004563"/>
              </a:solidFill>
              <a:latin typeface="+mn-lt"/>
              <a:cs typeface="Arial"/>
            </a:rPr>
            <a:t> m</a:t>
          </a:r>
          <a:r>
            <a:rPr lang="es-ES" sz="800" b="0" i="0" strike="noStrike">
              <a:solidFill>
                <a:srgbClr val="004563"/>
              </a:solidFill>
              <a:latin typeface="+mn-lt"/>
              <a:cs typeface="Arial"/>
            </a:rPr>
            <a:t>áximo </a:t>
          </a:r>
          <a:endParaRPr lang="es-ES" sz="800" b="0" i="0" strike="noStrike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0.49472</cdr:x>
      <cdr:y>0.77126</cdr:y>
    </cdr:from>
    <cdr:to>
      <cdr:x>0.62422</cdr:x>
      <cdr:y>0.83225</cdr:y>
    </cdr:to>
    <cdr:sp macro="" textlink="">
      <cdr:nvSpPr>
        <cdr:cNvPr id="3" name="Texto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89636" y="1983488"/>
          <a:ext cx="730225" cy="1568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18288" tIns="22860" rIns="18288" bIns="22860" anchor="ctr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004563"/>
              </a:solidFill>
              <a:latin typeface="+mn-lt"/>
              <a:cs typeface="Arial"/>
            </a:rPr>
            <a:t>Precio</a:t>
          </a:r>
          <a:r>
            <a:rPr lang="es-ES" sz="800" b="0" i="0" strike="noStrike" baseline="0">
              <a:solidFill>
                <a:srgbClr val="004563"/>
              </a:solidFill>
              <a:latin typeface="+mn-lt"/>
              <a:cs typeface="Arial"/>
            </a:rPr>
            <a:t> mínimo</a:t>
          </a:r>
          <a:endParaRPr lang="es-ES" sz="800" b="0" i="0" strike="noStrike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0.91852</cdr:y>
    </cdr:from>
    <cdr:to>
      <cdr:x>0.15842</cdr:x>
      <cdr:y>1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0" y="2362200"/>
          <a:ext cx="914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Fuente: OMIE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15240</xdr:colOff>
      <xdr:row>3</xdr:row>
      <xdr:rowOff>30480</xdr:rowOff>
    </xdr:from>
    <xdr:to>
      <xdr:col>5</xdr:col>
      <xdr:colOff>0</xdr:colOff>
      <xdr:row>3</xdr:row>
      <xdr:rowOff>30480</xdr:rowOff>
    </xdr:to>
    <xdr:sp macro="" textlink="">
      <xdr:nvSpPr>
        <xdr:cNvPr id="2" name="Line 10">
          <a:extLst>
            <a:ext uri="{FF2B5EF4-FFF2-40B4-BE49-F238E27FC236}">
              <a16:creationId xmlns:a16="http://schemas.microsoft.com/office/drawing/2014/main" id="{3BF0B1B3-6854-4101-A4AA-44E0F6DD8AF5}"/>
            </a:ext>
          </a:extLst>
        </xdr:cNvPr>
        <xdr:cNvSpPr>
          <a:spLocks noChangeShapeType="1"/>
        </xdr:cNvSpPr>
      </xdr:nvSpPr>
      <xdr:spPr bwMode="auto">
        <a:xfrm flipH="1">
          <a:off x="215265" y="487680"/>
          <a:ext cx="869061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133350</xdr:rowOff>
    </xdr:from>
    <xdr:to>
      <xdr:col>4</xdr:col>
      <xdr:colOff>152399</xdr:colOff>
      <xdr:row>2</xdr:row>
      <xdr:rowOff>84449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292BF3-43B6-4440-B850-B1C748E6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71888</xdr:colOff>
      <xdr:row>6</xdr:row>
      <xdr:rowOff>17971</xdr:rowOff>
    </xdr:from>
    <xdr:to>
      <xdr:col>4</xdr:col>
      <xdr:colOff>7001992</xdr:colOff>
      <xdr:row>24</xdr:row>
      <xdr:rowOff>192656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09474C04-292C-4D20-A09B-73F504A82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15240</xdr:colOff>
      <xdr:row>3</xdr:row>
      <xdr:rowOff>30480</xdr:rowOff>
    </xdr:from>
    <xdr:to>
      <xdr:col>5</xdr:col>
      <xdr:colOff>0</xdr:colOff>
      <xdr:row>3</xdr:row>
      <xdr:rowOff>30480</xdr:rowOff>
    </xdr:to>
    <xdr:sp macro="" textlink="">
      <xdr:nvSpPr>
        <xdr:cNvPr id="3" name="Line 7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 flipH="1">
          <a:off x="205740" y="487680"/>
          <a:ext cx="87001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7620</xdr:colOff>
      <xdr:row>5</xdr:row>
      <xdr:rowOff>152400</xdr:rowOff>
    </xdr:from>
    <xdr:to>
      <xdr:col>5</xdr:col>
      <xdr:colOff>17145</xdr:colOff>
      <xdr:row>24</xdr:row>
      <xdr:rowOff>142875</xdr:rowOff>
    </xdr:to>
    <xdr:graphicFrame macro="">
      <xdr:nvGraphicFramePr>
        <xdr:cNvPr id="4" name="11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38100</xdr:colOff>
      <xdr:row>1</xdr:row>
      <xdr:rowOff>133350</xdr:rowOff>
    </xdr:from>
    <xdr:to>
      <xdr:col>4</xdr:col>
      <xdr:colOff>133349</xdr:colOff>
      <xdr:row>2</xdr:row>
      <xdr:rowOff>84449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0.41917</cdr:x>
      <cdr:y>0.1917</cdr:y>
    </cdr:from>
    <cdr:to>
      <cdr:x>0.41953</cdr:x>
      <cdr:y>0.87725</cdr:y>
    </cdr:to>
    <cdr:cxnSp macro="">
      <cdr:nvCxnSpPr>
        <cdr:cNvPr id="6" name="Conector recto 5">
          <a:extLst xmlns:a="http://schemas.openxmlformats.org/drawingml/2006/main">
            <a:ext uri="{FF2B5EF4-FFF2-40B4-BE49-F238E27FC236}">
              <a16:creationId xmlns:a16="http://schemas.microsoft.com/office/drawing/2014/main" id="{A261F348-FFFD-4132-89C0-88830F2E56F0}"/>
            </a:ext>
          </a:extLst>
        </cdr:cNvPr>
        <cdr:cNvCxnSpPr/>
      </cdr:nvCxnSpPr>
      <cdr:spPr bwMode="auto">
        <a:xfrm xmlns:a="http://schemas.openxmlformats.org/drawingml/2006/main" flipH="1" flipV="1">
          <a:off x="2954424" y="586189"/>
          <a:ext cx="2538" cy="2096308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0.04364</cdr:x>
      <cdr:y>0.10041</cdr:y>
    </cdr:from>
    <cdr:to>
      <cdr:x>0.08019</cdr:x>
      <cdr:y>0.17134</cdr:y>
    </cdr:to>
    <cdr:sp macro="" textlink="">
      <cdr:nvSpPr>
        <cdr:cNvPr id="3" name="CuadroTexto 5"/>
        <cdr:cNvSpPr txBox="1"/>
      </cdr:nvSpPr>
      <cdr:spPr>
        <a:xfrm xmlns:a="http://schemas.openxmlformats.org/drawingml/2006/main">
          <a:off x="307993" y="307974"/>
          <a:ext cx="257971" cy="21754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>
              <a:solidFill>
                <a:srgbClr val="004563"/>
              </a:solidFill>
            </a:rPr>
            <a:t>%</a:t>
          </a:r>
        </a:p>
      </cdr:txBody>
    </cdr:sp>
  </cdr:relSizeAnchor>
  <cdr:relSizeAnchor xmlns:cdr="http://schemas.openxmlformats.org/drawingml/2006/chartDrawing">
    <cdr:from>
      <cdr:x>0.65597</cdr:x>
      <cdr:y>0.9222</cdr:y>
    </cdr:from>
    <cdr:to>
      <cdr:x>0.73578</cdr:x>
      <cdr:y>0.98427</cdr:y>
    </cdr:to>
    <cdr:sp macro="" textlink="">
      <cdr:nvSpPr>
        <cdr:cNvPr id="5" name="CuadroTexto 1"/>
        <cdr:cNvSpPr txBox="1"/>
      </cdr:nvSpPr>
      <cdr:spPr>
        <a:xfrm xmlns:a="http://schemas.openxmlformats.org/drawingml/2006/main">
          <a:off x="4623478" y="2819947"/>
          <a:ext cx="562528" cy="1898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0.00387</cdr:x>
      <cdr:y>0.93168</cdr:y>
    </cdr:from>
    <cdr:to>
      <cdr:x>0.13342</cdr:x>
      <cdr:y>1</cdr:y>
    </cdr:to>
    <cdr:sp macro="" textlink="">
      <cdr:nvSpPr>
        <cdr:cNvPr id="7" name="CuadroTexto 1"/>
        <cdr:cNvSpPr txBox="1"/>
      </cdr:nvSpPr>
      <cdr:spPr>
        <a:xfrm xmlns:a="http://schemas.openxmlformats.org/drawingml/2006/main">
          <a:off x="28575" y="2854551"/>
          <a:ext cx="955911" cy="209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Fuente: OMIE</a:t>
          </a:r>
        </a:p>
      </cdr:txBody>
    </cdr:sp>
  </cdr:relSizeAnchor>
  <cdr:relSizeAnchor xmlns:cdr="http://schemas.openxmlformats.org/drawingml/2006/chartDrawing">
    <cdr:from>
      <cdr:x>0.22367</cdr:x>
      <cdr:y>0.93105</cdr:y>
    </cdr:from>
    <cdr:to>
      <cdr:x>0.30348</cdr:x>
      <cdr:y>0.99313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AA5C2CE9-81A6-A4E1-7141-53FC662A9295}"/>
            </a:ext>
          </a:extLst>
        </cdr:cNvPr>
        <cdr:cNvSpPr txBox="1"/>
      </cdr:nvSpPr>
      <cdr:spPr>
        <a:xfrm xmlns:a="http://schemas.openxmlformats.org/drawingml/2006/main">
          <a:off x="1576495" y="2847009"/>
          <a:ext cx="562528" cy="1898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15240</xdr:colOff>
      <xdr:row>3</xdr:row>
      <xdr:rowOff>30480</xdr:rowOff>
    </xdr:from>
    <xdr:to>
      <xdr:col>5</xdr:col>
      <xdr:colOff>0</xdr:colOff>
      <xdr:row>3</xdr:row>
      <xdr:rowOff>30480</xdr:rowOff>
    </xdr:to>
    <xdr:sp macro="" textlink="">
      <xdr:nvSpPr>
        <xdr:cNvPr id="27715036" name="Line 7">
          <a:extLst>
            <a:ext uri="{FF2B5EF4-FFF2-40B4-BE49-F238E27FC236}">
              <a16:creationId xmlns:a16="http://schemas.microsoft.com/office/drawing/2014/main" id="{00000000-0008-0000-0500-0000DCE5A601}"/>
            </a:ext>
          </a:extLst>
        </xdr:cNvPr>
        <xdr:cNvSpPr>
          <a:spLocks noChangeShapeType="1"/>
        </xdr:cNvSpPr>
      </xdr:nvSpPr>
      <xdr:spPr bwMode="auto">
        <a:xfrm flipH="1">
          <a:off x="205740" y="495300"/>
          <a:ext cx="893826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477</xdr:colOff>
      <xdr:row>5</xdr:row>
      <xdr:rowOff>152400</xdr:rowOff>
    </xdr:from>
    <xdr:to>
      <xdr:col>5</xdr:col>
      <xdr:colOff>7620</xdr:colOff>
      <xdr:row>24</xdr:row>
      <xdr:rowOff>7620</xdr:rowOff>
    </xdr:to>
    <xdr:graphicFrame macro="">
      <xdr:nvGraphicFramePr>
        <xdr:cNvPr id="27715037" name="11 Gráfico">
          <a:extLst>
            <a:ext uri="{FF2B5EF4-FFF2-40B4-BE49-F238E27FC236}">
              <a16:creationId xmlns:a16="http://schemas.microsoft.com/office/drawing/2014/main" id="{00000000-0008-0000-0500-0000DDE5A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</xdr:col>
      <xdr:colOff>123825</xdr:colOff>
      <xdr:row>7</xdr:row>
      <xdr:rowOff>0</xdr:rowOff>
    </xdr:from>
    <xdr:ext cx="509627" cy="21025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81200" y="1181100"/>
          <a:ext cx="509627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800" b="0" i="0" baseline="0">
              <a:solidFill>
                <a:srgbClr val="004563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€/MWh</a:t>
          </a:r>
          <a:endParaRPr lang="en-US" sz="800">
            <a:solidFill>
              <a:srgbClr val="004563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2</xdr:col>
      <xdr:colOff>47625</xdr:colOff>
      <xdr:row>1</xdr:row>
      <xdr:rowOff>123825</xdr:rowOff>
    </xdr:from>
    <xdr:to>
      <xdr:col>4</xdr:col>
      <xdr:colOff>142874</xdr:colOff>
      <xdr:row>2</xdr:row>
      <xdr:rowOff>74924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0.21969</cdr:x>
      <cdr:y>0.90162</cdr:y>
    </cdr:from>
    <cdr:to>
      <cdr:x>0.29949</cdr:x>
      <cdr:y>0.96533</cdr:y>
    </cdr:to>
    <cdr:sp macro="" textlink="">
      <cdr:nvSpPr>
        <cdr:cNvPr id="4" name="CuadroTexto 1"/>
        <cdr:cNvSpPr txBox="1"/>
      </cdr:nvSpPr>
      <cdr:spPr>
        <a:xfrm xmlns:a="http://schemas.openxmlformats.org/drawingml/2006/main">
          <a:off x="1547361" y="2732107"/>
          <a:ext cx="562060" cy="1930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cdr:txBody>
    </cdr:sp>
  </cdr:relSizeAnchor>
  <cdr:relSizeAnchor xmlns:cdr="http://schemas.openxmlformats.org/drawingml/2006/chartDrawing">
    <cdr:from>
      <cdr:x>0.41962</cdr:x>
      <cdr:y>0.15588</cdr:y>
    </cdr:from>
    <cdr:to>
      <cdr:x>0.42018</cdr:x>
      <cdr:y>0.84082</cdr:y>
    </cdr:to>
    <cdr:cxnSp macro="">
      <cdr:nvCxnSpPr>
        <cdr:cNvPr id="6" name="Conector recto 5">
          <a:extLst xmlns:a="http://schemas.openxmlformats.org/drawingml/2006/main">
            <a:ext uri="{FF2B5EF4-FFF2-40B4-BE49-F238E27FC236}">
              <a16:creationId xmlns:a16="http://schemas.microsoft.com/office/drawing/2014/main" id="{56E16FCA-99CF-43B3-BB7A-1056A4EBE1B6}"/>
            </a:ext>
          </a:extLst>
        </cdr:cNvPr>
        <cdr:cNvCxnSpPr/>
      </cdr:nvCxnSpPr>
      <cdr:spPr bwMode="auto">
        <a:xfrm xmlns:a="http://schemas.openxmlformats.org/drawingml/2006/main" flipV="1">
          <a:off x="2955533" y="472350"/>
          <a:ext cx="3944" cy="2075519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0.65692</cdr:x>
      <cdr:y>0.90665</cdr:y>
    </cdr:from>
    <cdr:to>
      <cdr:x>0.73673</cdr:x>
      <cdr:y>0.97015</cdr:y>
    </cdr:to>
    <cdr:sp macro="" textlink="">
      <cdr:nvSpPr>
        <cdr:cNvPr id="5" name="CuadroTexto 1"/>
        <cdr:cNvSpPr txBox="1"/>
      </cdr:nvSpPr>
      <cdr:spPr>
        <a:xfrm xmlns:a="http://schemas.openxmlformats.org/drawingml/2006/main">
          <a:off x="4626914" y="2747348"/>
          <a:ext cx="562130" cy="1924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BZ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</a:t>
          </a:r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7619</xdr:colOff>
      <xdr:row>3</xdr:row>
      <xdr:rowOff>0</xdr:rowOff>
    </xdr:from>
    <xdr:to>
      <xdr:col>7</xdr:col>
      <xdr:colOff>647699</xdr:colOff>
      <xdr:row>3</xdr:row>
      <xdr:rowOff>3810</xdr:rowOff>
    </xdr:to>
    <xdr:sp macro="" textlink="">
      <xdr:nvSpPr>
        <xdr:cNvPr id="4" name="Line 7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 flipH="1">
          <a:off x="264794" y="485775"/>
          <a:ext cx="6136005" cy="381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1533525</xdr:colOff>
      <xdr:row>3</xdr:row>
      <xdr:rowOff>109536</xdr:rowOff>
    </xdr:from>
    <xdr:to>
      <xdr:col>7</xdr:col>
      <xdr:colOff>695325</xdr:colOff>
      <xdr:row>24</xdr:row>
      <xdr:rowOff>104774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206375</xdr:colOff>
      <xdr:row>4</xdr:row>
      <xdr:rowOff>82550</xdr:rowOff>
    </xdr:from>
    <xdr:to>
      <xdr:col>3</xdr:col>
      <xdr:colOff>463550</xdr:colOff>
      <xdr:row>6</xdr:row>
      <xdr:rowOff>15875</xdr:rowOff>
    </xdr:to>
    <xdr:sp macro="" textlink="$L$30">
      <xdr:nvSpPr>
        <xdr:cNvPr id="6" name="CuadroText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2101850" y="730250"/>
          <a:ext cx="1057275" cy="257175"/>
        </a:xfrm>
        <a:prstGeom prst="rect">
          <a:avLst/>
        </a:prstGeom>
        <a:solidFill>
          <a:srgbClr val="F5F5F5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36000" bIns="36000" rtlCol="0" anchor="ctr" anchorCtr="0"/>
        <a:lstStyle/>
        <a:p>
          <a:fld id="{8837D56B-7519-4B1D-AB16-B55BCB94499E}" type="TxLink">
            <a:rPr lang="en-US" sz="900" b="0" i="0" u="none" strike="noStrike">
              <a:solidFill>
                <a:srgbClr val="004563"/>
              </a:solidFill>
              <a:latin typeface="+mn-lt"/>
              <a:cs typeface="Arial"/>
            </a:rPr>
            <a:pPr/>
            <a:t> </a:t>
          </a:fld>
          <a:endParaRPr lang="es-ES" sz="900">
            <a:solidFill>
              <a:srgbClr val="004563"/>
            </a:solidFill>
            <a:latin typeface="+mn-lt"/>
          </a:endParaRPr>
        </a:p>
      </xdr:txBody>
    </xdr:sp>
    <xdr:clientData/>
  </xdr:twoCellAnchor>
  <xdr:twoCellAnchor editAs="oneCell">
    <xdr:from>
      <xdr:col>1</xdr:col>
      <xdr:colOff>28575</xdr:colOff>
      <xdr:row>0</xdr:row>
      <xdr:rowOff>133350</xdr:rowOff>
    </xdr:from>
    <xdr:to>
      <xdr:col>2</xdr:col>
      <xdr:colOff>209549</xdr:colOff>
      <xdr:row>2</xdr:row>
      <xdr:rowOff>27299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63976</xdr:colOff>
      <xdr:row>6</xdr:row>
      <xdr:rowOff>91440</xdr:rowOff>
    </xdr:from>
    <xdr:to>
      <xdr:col>5</xdr:col>
      <xdr:colOff>4987</xdr:colOff>
      <xdr:row>24</xdr:row>
      <xdr:rowOff>99060</xdr:rowOff>
    </xdr:to>
    <xdr:graphicFrame macro="">
      <xdr:nvGraphicFramePr>
        <xdr:cNvPr id="27717083" name="Chart 1">
          <a:extLst>
            <a:ext uri="{FF2B5EF4-FFF2-40B4-BE49-F238E27FC236}">
              <a16:creationId xmlns:a16="http://schemas.microsoft.com/office/drawing/2014/main" id="{00000000-0008-0000-0800-0000DBEDA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15240</xdr:colOff>
      <xdr:row>3</xdr:row>
      <xdr:rowOff>30480</xdr:rowOff>
    </xdr:from>
    <xdr:to>
      <xdr:col>5</xdr:col>
      <xdr:colOff>0</xdr:colOff>
      <xdr:row>3</xdr:row>
      <xdr:rowOff>30480</xdr:rowOff>
    </xdr:to>
    <xdr:sp macro="" textlink="">
      <xdr:nvSpPr>
        <xdr:cNvPr id="27717085" name="Line 10">
          <a:extLst>
            <a:ext uri="{FF2B5EF4-FFF2-40B4-BE49-F238E27FC236}">
              <a16:creationId xmlns:a16="http://schemas.microsoft.com/office/drawing/2014/main" id="{00000000-0008-0000-0800-0000DDEDA601}"/>
            </a:ext>
          </a:extLst>
        </xdr:cNvPr>
        <xdr:cNvSpPr>
          <a:spLocks noChangeShapeType="1"/>
        </xdr:cNvSpPr>
      </xdr:nvSpPr>
      <xdr:spPr bwMode="auto">
        <a:xfrm flipH="1">
          <a:off x="205740" y="495300"/>
          <a:ext cx="893826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2855515</xdr:colOff>
      <xdr:row>10</xdr:row>
      <xdr:rowOff>74932</xdr:rowOff>
    </xdr:from>
    <xdr:to>
      <xdr:col>4</xdr:col>
      <xdr:colOff>2860361</xdr:colOff>
      <xdr:row>22</xdr:row>
      <xdr:rowOff>52038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 bwMode="auto">
        <a:xfrm flipV="1">
          <a:off x="4724572" y="1746300"/>
          <a:ext cx="4846" cy="1918049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2</xdr:col>
      <xdr:colOff>57150</xdr:colOff>
      <xdr:row>1</xdr:row>
      <xdr:rowOff>133350</xdr:rowOff>
    </xdr:from>
    <xdr:to>
      <xdr:col>4</xdr:col>
      <xdr:colOff>152399</xdr:colOff>
      <xdr:row>2</xdr:row>
      <xdr:rowOff>84449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8"/>
  <dimension ref="A1:B18"/>
  <sheetViews>
    <sheetView workbookViewId="0"/>
  </sheetViews>
  <sheetFormatPr baseColWidth="10" defaultRowHeight="12.75"/>
  <sheetData>
    <row r="1" spans="1:2">
      <c r="A1">
        <v>17</v>
      </c>
      <c r="B1" s="109" t="s">
        <v>309</v>
      </c>
    </row>
    <row r="2" spans="1:2">
      <c r="A2" t="s">
        <v>299</v>
      </c>
    </row>
    <row r="3" spans="1:2">
      <c r="A3" t="s">
        <v>298</v>
      </c>
    </row>
    <row r="4" spans="1:2">
      <c r="A4" t="s">
        <v>307</v>
      </c>
    </row>
    <row r="5" spans="1:2">
      <c r="A5" t="s">
        <v>296</v>
      </c>
    </row>
    <row r="6" spans="1:2">
      <c r="A6" t="s">
        <v>304</v>
      </c>
    </row>
    <row r="7" spans="1:2">
      <c r="A7" t="s">
        <v>306</v>
      </c>
    </row>
    <row r="8" spans="1:2">
      <c r="A8" t="s">
        <v>215</v>
      </c>
    </row>
    <row r="9" spans="1:2">
      <c r="A9" t="s">
        <v>224</v>
      </c>
    </row>
    <row r="10" spans="1:2">
      <c r="A10" t="s">
        <v>225</v>
      </c>
    </row>
    <row r="11" spans="1:2">
      <c r="A11" t="s">
        <v>308</v>
      </c>
    </row>
    <row r="12" spans="1:2">
      <c r="A12" t="s">
        <v>300</v>
      </c>
    </row>
    <row r="13" spans="1:2">
      <c r="A13" t="s">
        <v>301</v>
      </c>
    </row>
    <row r="14" spans="1:2">
      <c r="A14" t="s">
        <v>302</v>
      </c>
    </row>
    <row r="15" spans="1:2">
      <c r="A15" t="s">
        <v>240</v>
      </c>
    </row>
    <row r="16" spans="1:2">
      <c r="A16" t="s">
        <v>303</v>
      </c>
    </row>
    <row r="17" spans="1:1">
      <c r="A17" t="s">
        <v>310</v>
      </c>
    </row>
    <row r="18" spans="1:1">
      <c r="A18" t="s">
        <v>305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7">
    <pageSetUpPr autoPageBreaks="0" fitToPage="1"/>
  </sheetPr>
  <dimension ref="A1:AL72"/>
  <sheetViews>
    <sheetView showGridLines="0" showRowColHeaders="0" topLeftCell="A5" zoomScale="106" zoomScaleNormal="106" workbookViewId="0">
      <selection activeCell="K43" sqref="K43"/>
    </sheetView>
  </sheetViews>
  <sheetFormatPr baseColWidth="10" defaultColWidth="11.42578125" defaultRowHeight="12.75"/>
  <cols>
    <col min="1" max="1" width="2.5703125" style="28" customWidth="1"/>
    <col min="2" max="2" width="23.5703125" style="28" customWidth="1"/>
    <col min="3" max="3" width="11.42578125" style="28" customWidth="1"/>
    <col min="4" max="8" width="11.42578125" style="28"/>
    <col min="9" max="9" width="11.5703125" style="28" bestFit="1" customWidth="1"/>
    <col min="10" max="14" width="11.42578125" style="28"/>
    <col min="15" max="15" width="17" style="28" bestFit="1" customWidth="1"/>
    <col min="16" max="16384" width="11.42578125" style="28"/>
  </cols>
  <sheetData>
    <row r="1" spans="2:38">
      <c r="L1" s="17" t="s">
        <v>30</v>
      </c>
    </row>
    <row r="2" spans="2:38">
      <c r="L2" s="18" t="str">
        <f>Indice!E3</f>
        <v>Agosto 2026</v>
      </c>
    </row>
    <row r="4" spans="2:38">
      <c r="B4" s="19" t="s">
        <v>29</v>
      </c>
      <c r="P4" s="63" t="s">
        <v>13</v>
      </c>
      <c r="Q4" s="63" t="s">
        <v>5</v>
      </c>
      <c r="R4" s="63" t="s">
        <v>6</v>
      </c>
      <c r="S4" s="63" t="s">
        <v>7</v>
      </c>
      <c r="T4" s="63" t="s">
        <v>8</v>
      </c>
      <c r="U4" s="63" t="s">
        <v>7</v>
      </c>
      <c r="V4" s="63" t="s">
        <v>9</v>
      </c>
      <c r="W4" s="63" t="s">
        <v>9</v>
      </c>
      <c r="X4" s="63" t="s">
        <v>8</v>
      </c>
      <c r="Y4" s="63" t="s">
        <v>10</v>
      </c>
      <c r="Z4" s="63" t="s">
        <v>11</v>
      </c>
      <c r="AA4" s="63" t="s">
        <v>12</v>
      </c>
      <c r="AB4" s="63" t="s">
        <v>13</v>
      </c>
    </row>
    <row r="5" spans="2:38" s="31" customFormat="1"/>
    <row r="6" spans="2:38" s="31" customFormat="1"/>
    <row r="7" spans="2:38" ht="12.75" customHeight="1">
      <c r="B7" s="255" t="s">
        <v>34</v>
      </c>
      <c r="F7" s="32"/>
      <c r="G7" s="32"/>
      <c r="H7" s="33"/>
      <c r="I7" s="33"/>
      <c r="J7" s="33"/>
      <c r="K7" s="33"/>
      <c r="L7" s="33"/>
      <c r="M7" s="33"/>
      <c r="AC7" s="33"/>
      <c r="AD7" s="33"/>
      <c r="AE7" s="33"/>
      <c r="AF7" s="33"/>
      <c r="AG7" s="33"/>
      <c r="AH7" s="33"/>
      <c r="AI7" s="33"/>
      <c r="AJ7" s="33"/>
      <c r="AK7" s="33"/>
      <c r="AL7" s="33"/>
    </row>
    <row r="8" spans="2:38">
      <c r="B8" s="255"/>
      <c r="F8" s="32"/>
      <c r="G8" s="32"/>
      <c r="H8" s="33"/>
      <c r="I8" s="33"/>
      <c r="J8" s="33"/>
      <c r="K8" s="33"/>
      <c r="L8" s="33"/>
      <c r="M8" s="33"/>
      <c r="AC8" s="33"/>
      <c r="AD8" s="33"/>
      <c r="AE8" s="33"/>
      <c r="AF8" s="33"/>
      <c r="AG8" s="33"/>
      <c r="AH8" s="33"/>
      <c r="AI8" s="33"/>
      <c r="AJ8" s="33"/>
      <c r="AK8" s="33"/>
      <c r="AL8" s="33"/>
    </row>
    <row r="9" spans="2:38">
      <c r="B9" s="47" t="s">
        <v>42</v>
      </c>
      <c r="F9" s="32"/>
      <c r="G9" s="32"/>
    </row>
    <row r="10" spans="2:38">
      <c r="B10" s="255"/>
      <c r="F10" s="32"/>
      <c r="G10" s="32"/>
    </row>
    <row r="11" spans="2:38">
      <c r="B11" s="255"/>
      <c r="F11" s="32"/>
      <c r="G11" s="32"/>
    </row>
    <row r="12" spans="2:38" s="31" customFormat="1">
      <c r="B12" s="255"/>
      <c r="F12" s="32"/>
      <c r="G12" s="32"/>
    </row>
    <row r="13" spans="2:38">
      <c r="B13" s="255"/>
      <c r="F13" s="32"/>
      <c r="G13" s="32"/>
      <c r="H13" s="33"/>
      <c r="I13" s="33"/>
      <c r="J13" s="33"/>
      <c r="K13" s="33"/>
      <c r="L13" s="33"/>
      <c r="M13" s="33"/>
      <c r="AC13" s="33"/>
      <c r="AD13" s="33"/>
      <c r="AE13" s="33"/>
      <c r="AF13" s="33"/>
      <c r="AG13" s="33"/>
      <c r="AH13" s="33"/>
      <c r="AI13" s="33"/>
      <c r="AJ13" s="33"/>
    </row>
    <row r="14" spans="2:38">
      <c r="F14" s="32"/>
      <c r="G14" s="32"/>
    </row>
    <row r="15" spans="2:38">
      <c r="F15" s="32"/>
      <c r="G15" s="32"/>
    </row>
    <row r="16" spans="2:38">
      <c r="F16" s="32"/>
      <c r="G16" s="32"/>
    </row>
    <row r="17" spans="6:7">
      <c r="F17" s="32"/>
      <c r="G17" s="32"/>
    </row>
    <row r="18" spans="6:7">
      <c r="F18" s="32"/>
      <c r="G18" s="32"/>
    </row>
    <row r="19" spans="6:7">
      <c r="F19" s="32"/>
      <c r="G19" s="32"/>
    </row>
    <row r="20" spans="6:7">
      <c r="F20" s="32"/>
      <c r="G20" s="32"/>
    </row>
    <row r="21" spans="6:7">
      <c r="F21" s="32"/>
      <c r="G21" s="32"/>
    </row>
    <row r="22" spans="6:7">
      <c r="F22" s="32"/>
      <c r="G22" s="32"/>
    </row>
    <row r="23" spans="6:7">
      <c r="F23" s="32"/>
      <c r="G23" s="32"/>
    </row>
    <row r="24" spans="6:7">
      <c r="F24" s="32"/>
      <c r="G24" s="32"/>
    </row>
    <row r="25" spans="6:7">
      <c r="F25" s="32"/>
      <c r="G25" s="32"/>
    </row>
    <row r="26" spans="6:7">
      <c r="F26" s="32"/>
      <c r="G26" s="32"/>
    </row>
    <row r="27" spans="6:7">
      <c r="F27" s="32"/>
      <c r="G27" s="32"/>
    </row>
    <row r="28" spans="6:7">
      <c r="F28" s="32"/>
      <c r="G28" s="32"/>
    </row>
    <row r="29" spans="6:7">
      <c r="F29" s="32"/>
      <c r="G29" s="32"/>
    </row>
    <row r="30" spans="6:7">
      <c r="F30" s="32"/>
      <c r="G30" s="32"/>
    </row>
    <row r="31" spans="6:7">
      <c r="F31" s="32"/>
      <c r="G31" s="32"/>
    </row>
    <row r="32" spans="6:7">
      <c r="F32" s="32"/>
      <c r="G32" s="32"/>
    </row>
    <row r="33" spans="1:7">
      <c r="F33" s="32"/>
      <c r="G33" s="32"/>
    </row>
    <row r="34" spans="1:7">
      <c r="F34" s="32"/>
      <c r="G34" s="32"/>
    </row>
    <row r="35" spans="1:7">
      <c r="F35" s="32"/>
      <c r="G35" s="32"/>
    </row>
    <row r="36" spans="1:7" ht="12.75" customHeight="1"/>
    <row r="40" spans="1:7" s="20" customFormat="1">
      <c r="A40" s="28"/>
      <c r="B40" s="28"/>
    </row>
    <row r="41" spans="1:7" s="20" customFormat="1">
      <c r="A41" s="28"/>
      <c r="B41" s="28"/>
    </row>
    <row r="42" spans="1:7" s="20" customFormat="1">
      <c r="A42" s="28"/>
      <c r="B42" s="28"/>
    </row>
    <row r="57" spans="10:16">
      <c r="J57" s="29"/>
      <c r="K57" s="35"/>
      <c r="L57" s="36"/>
      <c r="M57" s="36"/>
      <c r="N57" s="35"/>
      <c r="O57" s="35"/>
    </row>
    <row r="58" spans="10:16">
      <c r="K58" s="29"/>
      <c r="L58" s="35"/>
      <c r="M58" s="36"/>
      <c r="N58" s="36"/>
      <c r="O58" s="35"/>
      <c r="P58" s="35"/>
    </row>
    <row r="59" spans="10:16">
      <c r="K59" s="29"/>
      <c r="L59" s="35"/>
      <c r="M59" s="36"/>
      <c r="N59" s="36"/>
      <c r="O59" s="35"/>
      <c r="P59" s="35"/>
    </row>
    <row r="60" spans="10:16">
      <c r="K60" s="29"/>
      <c r="L60" s="35"/>
      <c r="M60" s="36"/>
      <c r="N60" s="36"/>
      <c r="O60" s="35"/>
      <c r="P60" s="35"/>
    </row>
    <row r="61" spans="10:16">
      <c r="K61" s="29"/>
      <c r="L61" s="35"/>
      <c r="M61" s="36"/>
      <c r="N61" s="36"/>
      <c r="O61" s="35"/>
      <c r="P61" s="35"/>
    </row>
    <row r="62" spans="10:16">
      <c r="K62" s="29"/>
      <c r="L62" s="35"/>
      <c r="M62" s="36"/>
      <c r="N62" s="36"/>
      <c r="O62" s="35"/>
      <c r="P62" s="35"/>
    </row>
    <row r="63" spans="10:16">
      <c r="K63" s="29"/>
      <c r="L63" s="35"/>
      <c r="M63" s="36"/>
      <c r="N63" s="36"/>
      <c r="O63" s="35"/>
      <c r="P63" s="35"/>
    </row>
    <row r="64" spans="10:16">
      <c r="K64" s="29"/>
      <c r="L64" s="35"/>
      <c r="M64" s="36"/>
      <c r="N64" s="36"/>
      <c r="O64" s="35"/>
      <c r="P64" s="35"/>
    </row>
    <row r="65" spans="1:16">
      <c r="K65" s="29"/>
      <c r="L65" s="35"/>
      <c r="M65" s="36"/>
      <c r="N65" s="36"/>
      <c r="O65" s="35"/>
      <c r="P65" s="35"/>
    </row>
    <row r="66" spans="1:16">
      <c r="K66" s="29"/>
      <c r="L66" s="35"/>
      <c r="M66" s="36"/>
      <c r="N66" s="36"/>
      <c r="O66" s="35"/>
      <c r="P66" s="35"/>
    </row>
    <row r="67" spans="1:16" s="20" customFormat="1">
      <c r="B67" s="28"/>
      <c r="C67" s="28"/>
      <c r="D67" s="28"/>
      <c r="E67" s="28"/>
      <c r="F67" s="28"/>
      <c r="G67" s="28"/>
      <c r="H67" s="28"/>
      <c r="I67" s="28"/>
      <c r="J67" s="28"/>
      <c r="K67" s="29"/>
      <c r="L67" s="35"/>
      <c r="M67" s="36"/>
      <c r="N67" s="37"/>
      <c r="O67" s="35"/>
      <c r="P67" s="35"/>
    </row>
    <row r="68" spans="1:16" s="20" customFormat="1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35"/>
      <c r="M68" s="37"/>
      <c r="N68" s="37"/>
      <c r="O68" s="35"/>
      <c r="P68" s="35"/>
    </row>
    <row r="69" spans="1:16">
      <c r="A69" s="20"/>
      <c r="K69" s="30"/>
      <c r="M69" s="36"/>
      <c r="N69" s="36"/>
      <c r="O69" s="35"/>
      <c r="P69" s="35"/>
    </row>
    <row r="70" spans="1:16">
      <c r="A70" s="20"/>
      <c r="B70" s="20"/>
      <c r="C70" s="20"/>
      <c r="D70" s="37"/>
      <c r="E70" s="37"/>
      <c r="F70" s="37"/>
      <c r="G70" s="37"/>
      <c r="H70" s="37"/>
      <c r="J70" s="34"/>
    </row>
    <row r="71" spans="1:16">
      <c r="J71" s="34"/>
    </row>
    <row r="72" spans="1:16">
      <c r="F72" s="32"/>
      <c r="G72" s="32"/>
      <c r="J72" s="34"/>
    </row>
  </sheetData>
  <mergeCells count="2">
    <mergeCell ref="B7:B8"/>
    <mergeCell ref="B10:B13"/>
  </mergeCells>
  <conditionalFormatting sqref="K69">
    <cfRule type="cellIs" dxfId="4" priority="1" operator="notBetween">
      <formula>0.001</formula>
      <formula>-0.001</formula>
    </cfRule>
  </conditionalFormatting>
  <printOptions horizontalCentered="1" verticalCentered="1"/>
  <pageMargins left="0.78740157480314965" right="0.78740157480314965" top="0.98425196850393704" bottom="0.98425196850393704" header="0" footer="0"/>
  <pageSetup paperSize="9" scale="55" orientation="landscape" horizontalDpi="355" verticalDpi="355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8">
    <pageSetUpPr autoPageBreaks="0" fitToPage="1"/>
  </sheetPr>
  <dimension ref="A1:AK70"/>
  <sheetViews>
    <sheetView showGridLines="0" showRowColHeaders="0" zoomScaleNormal="100" workbookViewId="0">
      <selection activeCell="N12" sqref="N12"/>
    </sheetView>
  </sheetViews>
  <sheetFormatPr baseColWidth="10" defaultColWidth="11.42578125" defaultRowHeight="12.75"/>
  <cols>
    <col min="1" max="1" width="2.5703125" style="28" customWidth="1"/>
    <col min="2" max="2" width="21.5703125" style="28" customWidth="1"/>
    <col min="3" max="3" width="11.42578125" style="28" customWidth="1"/>
    <col min="4" max="8" width="11.42578125" style="28"/>
    <col min="9" max="9" width="11.5703125" style="28" bestFit="1" customWidth="1"/>
    <col min="10" max="13" width="11.42578125" style="28"/>
    <col min="14" max="14" width="15.5703125" style="28" customWidth="1"/>
    <col min="15" max="16384" width="11.42578125" style="28"/>
  </cols>
  <sheetData>
    <row r="1" spans="2:37">
      <c r="L1" s="17" t="s">
        <v>30</v>
      </c>
    </row>
    <row r="2" spans="2:37">
      <c r="L2" s="18" t="str">
        <f>Indice!E3</f>
        <v>Agosto 2026</v>
      </c>
    </row>
    <row r="4" spans="2:37">
      <c r="B4" s="19" t="s">
        <v>29</v>
      </c>
      <c r="O4" s="63" t="s">
        <v>9</v>
      </c>
      <c r="P4" s="63" t="s">
        <v>13</v>
      </c>
      <c r="Q4" s="63" t="s">
        <v>5</v>
      </c>
      <c r="R4" s="63" t="s">
        <v>6</v>
      </c>
      <c r="S4" s="63" t="s">
        <v>7</v>
      </c>
      <c r="T4" s="63" t="s">
        <v>8</v>
      </c>
      <c r="U4" s="63" t="s">
        <v>7</v>
      </c>
      <c r="V4" s="63" t="s">
        <v>9</v>
      </c>
      <c r="W4" s="63" t="s">
        <v>9</v>
      </c>
      <c r="X4" s="63" t="s">
        <v>8</v>
      </c>
      <c r="Y4" s="63" t="s">
        <v>10</v>
      </c>
      <c r="Z4" s="63" t="s">
        <v>11</v>
      </c>
      <c r="AA4" s="63" t="s">
        <v>12</v>
      </c>
    </row>
    <row r="5" spans="2:37" s="31" customFormat="1"/>
    <row r="6" spans="2:37" s="31" customFormat="1"/>
    <row r="7" spans="2:37" ht="12.75" customHeight="1">
      <c r="B7" s="255" t="s">
        <v>197</v>
      </c>
      <c r="F7" s="32"/>
      <c r="G7" s="32"/>
      <c r="H7" s="33"/>
      <c r="I7" s="33"/>
      <c r="J7" s="33"/>
      <c r="K7" s="33"/>
      <c r="L7" s="33"/>
      <c r="M7" s="33"/>
      <c r="AB7" s="33"/>
      <c r="AC7" s="33"/>
      <c r="AD7" s="33"/>
      <c r="AE7" s="33"/>
      <c r="AF7" s="33"/>
      <c r="AG7" s="33"/>
      <c r="AH7" s="33"/>
      <c r="AI7" s="33"/>
      <c r="AJ7" s="33"/>
      <c r="AK7" s="33"/>
    </row>
    <row r="8" spans="2:37">
      <c r="B8" s="255"/>
      <c r="F8" s="32"/>
      <c r="G8" s="32"/>
      <c r="H8" s="33"/>
      <c r="I8" s="33"/>
      <c r="J8" s="33"/>
      <c r="K8" s="33"/>
      <c r="L8" s="33"/>
      <c r="M8" s="33"/>
      <c r="AB8" s="33"/>
      <c r="AC8" s="33"/>
      <c r="AD8" s="33"/>
      <c r="AE8" s="33"/>
      <c r="AF8" s="33"/>
      <c r="AG8" s="33"/>
      <c r="AH8" s="33"/>
      <c r="AI8" s="33"/>
      <c r="AJ8" s="33"/>
      <c r="AK8" s="33"/>
    </row>
    <row r="9" spans="2:37">
      <c r="B9" s="47" t="s">
        <v>121</v>
      </c>
      <c r="F9" s="32"/>
      <c r="G9" s="32"/>
    </row>
    <row r="10" spans="2:37">
      <c r="B10" s="255"/>
      <c r="F10" s="32"/>
      <c r="G10" s="32"/>
    </row>
    <row r="11" spans="2:37" s="31" customFormat="1">
      <c r="B11" s="255"/>
      <c r="F11" s="32"/>
      <c r="G11" s="32"/>
    </row>
    <row r="12" spans="2:37">
      <c r="B12" s="255"/>
      <c r="F12" s="32"/>
      <c r="G12" s="32"/>
      <c r="H12" s="33"/>
      <c r="I12" s="33"/>
      <c r="J12" s="33"/>
      <c r="K12" s="33"/>
      <c r="L12" s="33"/>
      <c r="M12" s="33"/>
      <c r="AB12" s="33"/>
      <c r="AC12" s="33"/>
      <c r="AD12" s="33"/>
      <c r="AE12" s="33"/>
      <c r="AF12" s="33"/>
      <c r="AG12" s="33"/>
      <c r="AH12" s="33"/>
      <c r="AI12" s="33"/>
    </row>
    <row r="13" spans="2:37">
      <c r="F13" s="32"/>
      <c r="G13" s="32"/>
    </row>
    <row r="14" spans="2:37">
      <c r="F14" s="32"/>
      <c r="G14" s="32"/>
    </row>
    <row r="15" spans="2:37">
      <c r="F15" s="32"/>
      <c r="G15" s="32"/>
    </row>
    <row r="16" spans="2:37">
      <c r="F16" s="32"/>
      <c r="G16" s="32"/>
    </row>
    <row r="17" spans="6:7">
      <c r="F17" s="32"/>
      <c r="G17" s="32"/>
    </row>
    <row r="18" spans="6:7">
      <c r="F18" s="32"/>
      <c r="G18" s="32"/>
    </row>
    <row r="19" spans="6:7">
      <c r="F19" s="32"/>
      <c r="G19" s="32"/>
    </row>
    <row r="20" spans="6:7">
      <c r="F20" s="32"/>
      <c r="G20" s="32"/>
    </row>
    <row r="21" spans="6:7">
      <c r="F21" s="32"/>
      <c r="G21" s="32"/>
    </row>
    <row r="22" spans="6:7">
      <c r="F22" s="32"/>
      <c r="G22" s="32"/>
    </row>
    <row r="23" spans="6:7">
      <c r="F23" s="32"/>
      <c r="G23" s="32"/>
    </row>
    <row r="24" spans="6:7">
      <c r="F24" s="32"/>
      <c r="G24" s="32"/>
    </row>
    <row r="25" spans="6:7">
      <c r="F25" s="32"/>
      <c r="G25" s="32"/>
    </row>
    <row r="26" spans="6:7">
      <c r="F26" s="32"/>
      <c r="G26" s="32"/>
    </row>
    <row r="27" spans="6:7">
      <c r="F27" s="32"/>
      <c r="G27" s="32"/>
    </row>
    <row r="28" spans="6:7">
      <c r="F28" s="32"/>
      <c r="G28" s="32"/>
    </row>
    <row r="29" spans="6:7">
      <c r="F29" s="32"/>
      <c r="G29" s="32"/>
    </row>
    <row r="30" spans="6:7">
      <c r="F30" s="32"/>
      <c r="G30" s="32"/>
    </row>
    <row r="31" spans="6:7">
      <c r="F31" s="32"/>
      <c r="G31" s="32"/>
    </row>
    <row r="32" spans="6:7">
      <c r="F32" s="32"/>
      <c r="G32" s="32"/>
    </row>
    <row r="33" spans="1:7">
      <c r="F33" s="32"/>
      <c r="G33" s="32"/>
    </row>
    <row r="34" spans="1:7" ht="12.75" customHeight="1"/>
    <row r="38" spans="1:7" s="20" customFormat="1">
      <c r="A38" s="28"/>
      <c r="B38" s="28"/>
    </row>
    <row r="39" spans="1:7" s="20" customFormat="1">
      <c r="A39" s="28"/>
      <c r="B39" s="28"/>
    </row>
    <row r="40" spans="1:7" s="20" customFormat="1">
      <c r="A40" s="28"/>
      <c r="B40" s="28"/>
    </row>
    <row r="55" spans="10:15">
      <c r="J55" s="29"/>
      <c r="K55" s="35"/>
      <c r="L55" s="36"/>
      <c r="M55" s="36"/>
      <c r="N55" s="35"/>
    </row>
    <row r="56" spans="10:15">
      <c r="K56" s="29"/>
      <c r="L56" s="35"/>
      <c r="M56" s="36"/>
      <c r="N56" s="35"/>
      <c r="O56" s="35"/>
    </row>
    <row r="57" spans="10:15">
      <c r="K57" s="29"/>
      <c r="L57" s="35"/>
      <c r="M57" s="36"/>
      <c r="N57" s="35"/>
      <c r="O57" s="35"/>
    </row>
    <row r="58" spans="10:15">
      <c r="K58" s="29"/>
      <c r="L58" s="35"/>
      <c r="M58" s="36"/>
      <c r="N58" s="35"/>
      <c r="O58" s="35"/>
    </row>
    <row r="59" spans="10:15">
      <c r="K59" s="29"/>
      <c r="L59" s="35"/>
      <c r="M59" s="36"/>
      <c r="N59" s="35"/>
      <c r="O59" s="35"/>
    </row>
    <row r="60" spans="10:15">
      <c r="K60" s="29"/>
      <c r="L60" s="35"/>
      <c r="M60" s="36"/>
      <c r="N60" s="35"/>
      <c r="O60" s="35"/>
    </row>
    <row r="61" spans="10:15">
      <c r="K61" s="29"/>
      <c r="L61" s="35"/>
      <c r="M61" s="36"/>
      <c r="N61" s="35"/>
      <c r="O61" s="35"/>
    </row>
    <row r="62" spans="10:15">
      <c r="K62" s="29"/>
      <c r="L62" s="35"/>
      <c r="M62" s="36"/>
      <c r="N62" s="35"/>
      <c r="O62" s="35"/>
    </row>
    <row r="63" spans="10:15">
      <c r="K63" s="29"/>
      <c r="L63" s="35"/>
      <c r="M63" s="36"/>
      <c r="N63" s="35"/>
      <c r="O63" s="35"/>
    </row>
    <row r="64" spans="10:15">
      <c r="K64" s="29"/>
      <c r="L64" s="35"/>
      <c r="M64" s="36"/>
      <c r="N64" s="35"/>
      <c r="O64" s="35"/>
    </row>
    <row r="65" spans="1:15" s="20" customFormat="1">
      <c r="B65" s="28"/>
      <c r="C65" s="28"/>
      <c r="D65" s="28"/>
      <c r="E65" s="28"/>
      <c r="F65" s="28"/>
      <c r="G65" s="28"/>
      <c r="H65" s="28"/>
      <c r="I65" s="28"/>
      <c r="J65" s="28"/>
      <c r="K65" s="29"/>
      <c r="L65" s="35"/>
      <c r="M65" s="36"/>
      <c r="N65" s="35"/>
      <c r="O65" s="35"/>
    </row>
    <row r="66" spans="1:15" s="20" customFormat="1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35"/>
      <c r="M66" s="37"/>
      <c r="N66" s="35"/>
      <c r="O66" s="35"/>
    </row>
    <row r="67" spans="1:15">
      <c r="A67" s="20"/>
      <c r="K67" s="30"/>
      <c r="M67" s="36"/>
      <c r="N67" s="35"/>
      <c r="O67" s="35"/>
    </row>
    <row r="68" spans="1:15">
      <c r="A68" s="20"/>
      <c r="B68" s="20"/>
      <c r="C68" s="20"/>
      <c r="D68" s="37"/>
      <c r="E68" s="37"/>
      <c r="F68" s="37"/>
      <c r="G68" s="37"/>
      <c r="H68" s="37"/>
      <c r="J68" s="34"/>
    </row>
    <row r="69" spans="1:15">
      <c r="J69" s="34"/>
    </row>
    <row r="70" spans="1:15">
      <c r="F70" s="32"/>
      <c r="G70" s="32"/>
      <c r="J70" s="34"/>
    </row>
  </sheetData>
  <mergeCells count="2">
    <mergeCell ref="B7:B8"/>
    <mergeCell ref="B10:B12"/>
  </mergeCells>
  <conditionalFormatting sqref="K67">
    <cfRule type="cellIs" dxfId="3" priority="1" operator="notBetween">
      <formula>0.001</formula>
      <formula>-0.001</formula>
    </cfRule>
  </conditionalFormatting>
  <printOptions horizontalCentered="1" verticalCentered="1"/>
  <pageMargins left="0.78740157480314965" right="0.78740157480314965" top="0.98425196850393704" bottom="0.98425196850393704" header="0" footer="0"/>
  <pageSetup paperSize="9" scale="55" orientation="landscape" horizontalDpi="355" verticalDpi="355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0">
    <pageSetUpPr autoPageBreaks="0" fitToPage="1"/>
  </sheetPr>
  <dimension ref="A1:AK70"/>
  <sheetViews>
    <sheetView showGridLines="0" showRowColHeaders="0" zoomScale="93" zoomScaleNormal="93" workbookViewId="0">
      <selection activeCell="N17" sqref="N16:N17"/>
    </sheetView>
  </sheetViews>
  <sheetFormatPr baseColWidth="10" defaultColWidth="11.42578125" defaultRowHeight="12.75"/>
  <cols>
    <col min="1" max="1" width="2.5703125" style="28" customWidth="1"/>
    <col min="2" max="2" width="21.5703125" style="28" customWidth="1"/>
    <col min="3" max="3" width="11.42578125" style="28" customWidth="1"/>
    <col min="4" max="8" width="11.42578125" style="28"/>
    <col min="9" max="9" width="11.5703125" style="28" bestFit="1" customWidth="1"/>
    <col min="10" max="13" width="11.42578125" style="28"/>
    <col min="14" max="14" width="15.5703125" style="28" customWidth="1"/>
    <col min="15" max="25" width="8.42578125" style="28" customWidth="1"/>
    <col min="26" max="26" width="8.5703125" style="28" customWidth="1"/>
    <col min="27" max="27" width="11.42578125" style="28" customWidth="1"/>
    <col min="28" max="16384" width="11.42578125" style="28"/>
  </cols>
  <sheetData>
    <row r="1" spans="2:37">
      <c r="L1" s="17" t="s">
        <v>30</v>
      </c>
    </row>
    <row r="2" spans="2:37">
      <c r="L2" s="18" t="str">
        <f>Indice!E3</f>
        <v>Agosto 2026</v>
      </c>
    </row>
    <row r="4" spans="2:37">
      <c r="B4" s="19" t="s">
        <v>29</v>
      </c>
      <c r="O4" s="63" t="s">
        <v>13</v>
      </c>
      <c r="P4" s="63" t="s">
        <v>5</v>
      </c>
      <c r="Q4" s="63" t="s">
        <v>6</v>
      </c>
      <c r="R4" s="63" t="s">
        <v>7</v>
      </c>
      <c r="S4" s="63" t="s">
        <v>8</v>
      </c>
      <c r="T4" s="63" t="s">
        <v>7</v>
      </c>
      <c r="U4" s="63" t="s">
        <v>9</v>
      </c>
      <c r="V4" s="63" t="s">
        <v>9</v>
      </c>
      <c r="W4" s="63" t="s">
        <v>8</v>
      </c>
      <c r="X4" s="63" t="s">
        <v>10</v>
      </c>
      <c r="Y4" s="63" t="s">
        <v>11</v>
      </c>
      <c r="Z4" s="63" t="s">
        <v>12</v>
      </c>
      <c r="AA4" s="63" t="s">
        <v>13</v>
      </c>
    </row>
    <row r="5" spans="2:37" s="31" customFormat="1"/>
    <row r="6" spans="2:37" s="31" customFormat="1"/>
    <row r="7" spans="2:37" ht="12.75" customHeight="1">
      <c r="B7" s="255" t="s">
        <v>52</v>
      </c>
      <c r="F7" s="32"/>
      <c r="G7" s="32"/>
      <c r="H7" s="33"/>
      <c r="I7" s="33"/>
      <c r="J7" s="33"/>
      <c r="K7" s="33"/>
      <c r="L7" s="33"/>
      <c r="M7" s="33"/>
      <c r="AB7" s="33"/>
      <c r="AC7" s="33"/>
      <c r="AD7" s="33"/>
      <c r="AE7" s="33"/>
      <c r="AF7" s="33"/>
      <c r="AG7" s="33"/>
      <c r="AH7" s="33"/>
      <c r="AI7" s="33"/>
      <c r="AJ7" s="33"/>
      <c r="AK7" s="33"/>
    </row>
    <row r="8" spans="2:37">
      <c r="B8" s="255"/>
      <c r="F8" s="32"/>
      <c r="G8" s="32"/>
      <c r="H8" s="33"/>
      <c r="I8" s="33"/>
      <c r="J8" s="33"/>
      <c r="K8" s="33"/>
      <c r="L8" s="33"/>
      <c r="M8" s="33"/>
      <c r="AB8" s="33"/>
      <c r="AC8" s="33"/>
      <c r="AD8" s="33"/>
      <c r="AE8" s="33"/>
      <c r="AF8" s="33"/>
      <c r="AG8" s="33"/>
      <c r="AH8" s="33"/>
      <c r="AI8" s="33"/>
      <c r="AJ8" s="33"/>
      <c r="AK8" s="33"/>
    </row>
    <row r="9" spans="2:37">
      <c r="B9" s="47" t="s">
        <v>42</v>
      </c>
      <c r="F9" s="32"/>
      <c r="G9" s="32"/>
    </row>
    <row r="10" spans="2:37">
      <c r="B10" s="255"/>
      <c r="F10" s="32"/>
      <c r="G10" s="32"/>
    </row>
    <row r="11" spans="2:37" s="31" customFormat="1">
      <c r="B11" s="255"/>
      <c r="F11" s="32"/>
      <c r="G11" s="32"/>
    </row>
    <row r="12" spans="2:37">
      <c r="B12" s="255"/>
      <c r="F12" s="32"/>
      <c r="G12" s="32"/>
      <c r="H12" s="33"/>
      <c r="I12" s="33"/>
      <c r="J12" s="33"/>
      <c r="K12" s="33"/>
      <c r="L12" s="33"/>
      <c r="M12" s="33"/>
      <c r="AB12" s="33"/>
      <c r="AC12" s="33"/>
      <c r="AD12" s="33"/>
      <c r="AE12" s="33"/>
      <c r="AF12" s="33"/>
      <c r="AG12" s="33"/>
      <c r="AH12" s="33"/>
      <c r="AI12" s="33"/>
    </row>
    <row r="13" spans="2:37">
      <c r="F13" s="32"/>
      <c r="G13" s="32"/>
    </row>
    <row r="14" spans="2:37">
      <c r="F14" s="32"/>
      <c r="G14" s="32"/>
    </row>
    <row r="15" spans="2:37">
      <c r="F15" s="32"/>
      <c r="G15" s="32"/>
    </row>
    <row r="16" spans="2:37">
      <c r="F16" s="32"/>
      <c r="G16" s="32"/>
    </row>
    <row r="17" spans="6:14">
      <c r="F17" s="32"/>
      <c r="G17" s="32"/>
    </row>
    <row r="18" spans="6:14">
      <c r="F18" s="32"/>
      <c r="G18" s="32"/>
    </row>
    <row r="19" spans="6:14">
      <c r="F19" s="32"/>
      <c r="G19" s="32"/>
    </row>
    <row r="20" spans="6:14" ht="15">
      <c r="F20" s="32"/>
      <c r="G20" s="32"/>
      <c r="N20" s="67"/>
    </row>
    <row r="21" spans="6:14">
      <c r="F21" s="32"/>
      <c r="G21" s="32"/>
      <c r="N21" s="66"/>
    </row>
    <row r="22" spans="6:14">
      <c r="F22" s="32"/>
      <c r="G22" s="32"/>
    </row>
    <row r="23" spans="6:14">
      <c r="F23" s="32"/>
      <c r="G23" s="32"/>
    </row>
    <row r="24" spans="6:14">
      <c r="F24" s="32"/>
      <c r="G24" s="32"/>
    </row>
    <row r="25" spans="6:14">
      <c r="F25" s="32"/>
      <c r="G25" s="32"/>
    </row>
    <row r="26" spans="6:14">
      <c r="F26" s="32"/>
      <c r="G26" s="32"/>
    </row>
    <row r="27" spans="6:14">
      <c r="F27" s="32"/>
      <c r="G27" s="32"/>
    </row>
    <row r="28" spans="6:14">
      <c r="F28" s="32"/>
      <c r="G28" s="32"/>
    </row>
    <row r="29" spans="6:14">
      <c r="F29" s="32"/>
      <c r="G29" s="32"/>
    </row>
    <row r="30" spans="6:14">
      <c r="F30" s="32"/>
      <c r="G30" s="32"/>
    </row>
    <row r="31" spans="6:14">
      <c r="F31" s="32"/>
      <c r="G31" s="32"/>
    </row>
    <row r="32" spans="6:14">
      <c r="F32" s="32"/>
      <c r="G32" s="32"/>
    </row>
    <row r="33" spans="1:7">
      <c r="F33" s="32"/>
      <c r="G33" s="32"/>
    </row>
    <row r="34" spans="1:7" ht="12.75" customHeight="1"/>
    <row r="38" spans="1:7" s="20" customFormat="1">
      <c r="A38" s="28"/>
      <c r="B38" s="28"/>
    </row>
    <row r="39" spans="1:7" s="20" customFormat="1">
      <c r="A39" s="28"/>
      <c r="B39" s="28"/>
    </row>
    <row r="40" spans="1:7" s="20" customFormat="1">
      <c r="A40" s="28"/>
      <c r="B40" s="28"/>
    </row>
    <row r="55" spans="10:15">
      <c r="J55" s="29"/>
      <c r="K55" s="35"/>
      <c r="L55" s="36"/>
      <c r="M55" s="36"/>
      <c r="N55" s="35"/>
    </row>
    <row r="56" spans="10:15">
      <c r="K56" s="29"/>
      <c r="L56" s="35"/>
      <c r="M56" s="36"/>
      <c r="N56" s="35"/>
      <c r="O56" s="35"/>
    </row>
    <row r="57" spans="10:15">
      <c r="K57" s="29"/>
      <c r="L57" s="35"/>
      <c r="M57" s="36"/>
      <c r="N57" s="35"/>
      <c r="O57" s="35"/>
    </row>
    <row r="58" spans="10:15">
      <c r="K58" s="29"/>
      <c r="L58" s="35"/>
      <c r="M58" s="36"/>
      <c r="N58" s="35"/>
      <c r="O58" s="35"/>
    </row>
    <row r="59" spans="10:15">
      <c r="K59" s="29"/>
      <c r="L59" s="35"/>
      <c r="M59" s="36"/>
      <c r="N59" s="35"/>
      <c r="O59" s="35"/>
    </row>
    <row r="60" spans="10:15">
      <c r="K60" s="29"/>
      <c r="L60" s="35"/>
      <c r="M60" s="36"/>
      <c r="N60" s="35"/>
      <c r="O60" s="35"/>
    </row>
    <row r="61" spans="10:15">
      <c r="K61" s="29"/>
      <c r="L61" s="35"/>
      <c r="M61" s="36"/>
      <c r="N61" s="35"/>
      <c r="O61" s="35"/>
    </row>
    <row r="62" spans="10:15">
      <c r="K62" s="29"/>
      <c r="L62" s="35"/>
      <c r="M62" s="36"/>
      <c r="N62" s="35"/>
      <c r="O62" s="35"/>
    </row>
    <row r="63" spans="10:15">
      <c r="K63" s="29"/>
      <c r="L63" s="35"/>
      <c r="M63" s="36"/>
      <c r="N63" s="35"/>
      <c r="O63" s="35"/>
    </row>
    <row r="64" spans="10:15">
      <c r="K64" s="29"/>
      <c r="L64" s="35"/>
      <c r="M64" s="36"/>
      <c r="N64" s="35"/>
      <c r="O64" s="35"/>
    </row>
    <row r="65" spans="1:15" s="20" customFormat="1">
      <c r="B65" s="28"/>
      <c r="C65" s="28"/>
      <c r="D65" s="28"/>
      <c r="E65" s="28"/>
      <c r="F65" s="28"/>
      <c r="G65" s="28"/>
      <c r="H65" s="28"/>
      <c r="I65" s="28"/>
      <c r="J65" s="28"/>
      <c r="K65" s="29"/>
      <c r="L65" s="35"/>
      <c r="M65" s="36"/>
      <c r="N65" s="35"/>
      <c r="O65" s="35"/>
    </row>
    <row r="66" spans="1:15" s="20" customFormat="1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35"/>
      <c r="M66" s="37"/>
      <c r="N66" s="35"/>
      <c r="O66" s="35"/>
    </row>
    <row r="67" spans="1:15">
      <c r="A67" s="20"/>
      <c r="K67" s="30"/>
      <c r="M67" s="36"/>
      <c r="N67" s="35"/>
      <c r="O67" s="35"/>
    </row>
    <row r="68" spans="1:15">
      <c r="A68" s="20"/>
      <c r="B68" s="20"/>
      <c r="C68" s="20"/>
      <c r="D68" s="37"/>
      <c r="E68" s="37"/>
      <c r="F68" s="37"/>
      <c r="G68" s="37"/>
      <c r="H68" s="37"/>
      <c r="J68" s="34"/>
    </row>
    <row r="69" spans="1:15">
      <c r="J69" s="34"/>
    </row>
    <row r="70" spans="1:15">
      <c r="F70" s="32"/>
      <c r="G70" s="32"/>
      <c r="J70" s="34"/>
    </row>
  </sheetData>
  <mergeCells count="2">
    <mergeCell ref="B7:B8"/>
    <mergeCell ref="B10:B12"/>
  </mergeCells>
  <conditionalFormatting sqref="K67">
    <cfRule type="cellIs" dxfId="2" priority="1" operator="notBetween">
      <formula>0.001</formula>
      <formula>-0.001</formula>
    </cfRule>
  </conditionalFormatting>
  <printOptions horizontalCentered="1" verticalCentered="1"/>
  <pageMargins left="0.78740157480314965" right="0.78740157480314965" top="0.98425196850393704" bottom="0.98425196850393704" header="0" footer="0"/>
  <pageSetup paperSize="9" scale="47" orientation="landscape" horizontalDpi="355" verticalDpi="355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1">
    <pageSetUpPr autoPageBreaks="0" fitToPage="1"/>
  </sheetPr>
  <dimension ref="A1:AL70"/>
  <sheetViews>
    <sheetView showGridLines="0" showRowColHeaders="0" zoomScale="85" zoomScaleNormal="85" workbookViewId="0">
      <selection activeCell="H40" sqref="H40"/>
    </sheetView>
  </sheetViews>
  <sheetFormatPr baseColWidth="10" defaultColWidth="11.42578125" defaultRowHeight="12.75"/>
  <cols>
    <col min="1" max="1" width="2.5703125" style="28" customWidth="1"/>
    <col min="2" max="2" width="23.5703125" style="28" customWidth="1"/>
    <col min="3" max="3" width="11.42578125" style="28" customWidth="1"/>
    <col min="4" max="8" width="11.42578125" style="28"/>
    <col min="9" max="9" width="11.5703125" style="28" bestFit="1" customWidth="1"/>
    <col min="10" max="16384" width="11.42578125" style="28"/>
  </cols>
  <sheetData>
    <row r="1" spans="2:38">
      <c r="L1" s="17" t="s">
        <v>30</v>
      </c>
    </row>
    <row r="2" spans="2:38">
      <c r="L2" s="18" t="str">
        <f>Indice!E3</f>
        <v>Agosto 2026</v>
      </c>
    </row>
    <row r="4" spans="2:38">
      <c r="B4" s="19" t="s">
        <v>29</v>
      </c>
      <c r="P4" s="63" t="s">
        <v>9</v>
      </c>
      <c r="Q4" s="63" t="s">
        <v>8</v>
      </c>
      <c r="R4" s="63" t="s">
        <v>10</v>
      </c>
      <c r="S4" s="63" t="s">
        <v>11</v>
      </c>
      <c r="T4" s="63" t="s">
        <v>12</v>
      </c>
      <c r="U4" s="63" t="s">
        <v>13</v>
      </c>
      <c r="V4" s="63" t="s">
        <v>5</v>
      </c>
      <c r="W4" s="63" t="s">
        <v>6</v>
      </c>
      <c r="X4" s="63" t="s">
        <v>7</v>
      </c>
      <c r="Y4" s="63" t="s">
        <v>8</v>
      </c>
      <c r="Z4" s="63" t="s">
        <v>7</v>
      </c>
      <c r="AA4" s="63" t="s">
        <v>9</v>
      </c>
      <c r="AB4" s="63" t="s">
        <v>9</v>
      </c>
    </row>
    <row r="5" spans="2:38" s="31" customFormat="1"/>
    <row r="6" spans="2:38" s="31" customFormat="1"/>
    <row r="7" spans="2:38" ht="12.75" customHeight="1">
      <c r="B7" s="47" t="s">
        <v>3</v>
      </c>
      <c r="F7" s="32"/>
      <c r="G7" s="32"/>
      <c r="H7" s="33"/>
      <c r="I7" s="33"/>
      <c r="J7" s="33"/>
      <c r="K7" s="33"/>
      <c r="L7" s="33"/>
      <c r="M7" s="33"/>
      <c r="AC7" s="33"/>
      <c r="AD7" s="33"/>
      <c r="AE7" s="33"/>
      <c r="AF7" s="33"/>
      <c r="AG7" s="33"/>
      <c r="AH7" s="33"/>
      <c r="AI7" s="33"/>
      <c r="AJ7" s="33"/>
      <c r="AK7" s="33"/>
      <c r="AL7" s="33"/>
    </row>
    <row r="8" spans="2:38">
      <c r="B8" s="47" t="s">
        <v>42</v>
      </c>
      <c r="F8" s="32"/>
      <c r="G8" s="32"/>
      <c r="H8" s="33"/>
      <c r="I8" s="33"/>
      <c r="J8" s="33"/>
      <c r="K8" s="33"/>
      <c r="L8" s="33"/>
      <c r="M8" s="33"/>
      <c r="AC8" s="33"/>
      <c r="AD8" s="33"/>
      <c r="AE8" s="33"/>
      <c r="AF8" s="33"/>
      <c r="AG8" s="33"/>
      <c r="AH8" s="33"/>
      <c r="AI8" s="33"/>
      <c r="AJ8" s="33"/>
      <c r="AK8" s="33"/>
      <c r="AL8" s="33"/>
    </row>
    <row r="9" spans="2:38" ht="12.75" customHeight="1">
      <c r="B9" s="47"/>
      <c r="F9" s="32"/>
      <c r="G9" s="32"/>
    </row>
    <row r="10" spans="2:38" ht="12.75" customHeight="1">
      <c r="B10" s="255"/>
      <c r="F10" s="32"/>
      <c r="G10" s="32"/>
    </row>
    <row r="11" spans="2:38" s="31" customFormat="1" ht="12.75" customHeight="1">
      <c r="B11" s="255"/>
      <c r="F11" s="32"/>
      <c r="G11" s="32"/>
    </row>
    <row r="12" spans="2:38" ht="12.75" customHeight="1">
      <c r="B12" s="255"/>
      <c r="F12" s="32"/>
      <c r="G12" s="32"/>
      <c r="H12" s="33"/>
      <c r="I12" s="33"/>
      <c r="J12" s="33"/>
      <c r="K12" s="33"/>
      <c r="L12" s="33"/>
      <c r="M12" s="33"/>
      <c r="AC12" s="33"/>
      <c r="AD12" s="33"/>
      <c r="AE12" s="33"/>
      <c r="AF12" s="33"/>
      <c r="AG12" s="33"/>
      <c r="AH12" s="33"/>
      <c r="AI12" s="33"/>
      <c r="AJ12" s="33"/>
    </row>
    <row r="13" spans="2:38" ht="12.75" customHeight="1">
      <c r="F13" s="32"/>
      <c r="G13" s="32"/>
    </row>
    <row r="14" spans="2:38" ht="12.75" customHeight="1">
      <c r="F14" s="32"/>
      <c r="G14" s="32"/>
    </row>
    <row r="15" spans="2:38" ht="12.75" customHeight="1">
      <c r="F15" s="32"/>
      <c r="G15" s="32"/>
    </row>
    <row r="16" spans="2:38" ht="12.75" customHeight="1">
      <c r="F16" s="32"/>
      <c r="G16" s="32"/>
    </row>
    <row r="17" spans="6:7" ht="12.75" customHeight="1">
      <c r="F17" s="32"/>
      <c r="G17" s="32"/>
    </row>
    <row r="18" spans="6:7" ht="12.75" customHeight="1">
      <c r="F18" s="32"/>
      <c r="G18" s="32"/>
    </row>
    <row r="19" spans="6:7" ht="12.75" customHeight="1">
      <c r="F19" s="32"/>
      <c r="G19" s="32"/>
    </row>
    <row r="20" spans="6:7" ht="12.75" customHeight="1">
      <c r="F20" s="32"/>
      <c r="G20" s="32"/>
    </row>
    <row r="21" spans="6:7" ht="12.75" customHeight="1">
      <c r="F21" s="32"/>
      <c r="G21" s="32"/>
    </row>
    <row r="22" spans="6:7" ht="12.75" customHeight="1">
      <c r="F22" s="32"/>
      <c r="G22" s="32"/>
    </row>
    <row r="23" spans="6:7" ht="12.75" customHeight="1">
      <c r="F23" s="32"/>
      <c r="G23" s="32"/>
    </row>
    <row r="24" spans="6:7" ht="12.75" customHeight="1">
      <c r="F24" s="32"/>
      <c r="G24" s="32"/>
    </row>
    <row r="25" spans="6:7">
      <c r="F25" s="32"/>
      <c r="G25" s="32"/>
    </row>
    <row r="26" spans="6:7" ht="12.75" customHeight="1">
      <c r="F26" s="32"/>
      <c r="G26" s="32"/>
    </row>
    <row r="27" spans="6:7" ht="12.75" customHeight="1">
      <c r="F27" s="32"/>
      <c r="G27" s="32"/>
    </row>
    <row r="28" spans="6:7" ht="12.75" customHeight="1">
      <c r="F28" s="32"/>
      <c r="G28" s="32"/>
    </row>
    <row r="29" spans="6:7" ht="12.75" customHeight="1">
      <c r="F29" s="32"/>
      <c r="G29" s="32"/>
    </row>
    <row r="30" spans="6:7" ht="12.75" customHeight="1">
      <c r="F30" s="32"/>
      <c r="G30" s="32"/>
    </row>
    <row r="31" spans="6:7" ht="12.75" customHeight="1">
      <c r="F31" s="32"/>
      <c r="G31" s="32"/>
    </row>
    <row r="32" spans="6:7" ht="12.75" customHeight="1">
      <c r="F32" s="32"/>
      <c r="G32" s="32"/>
    </row>
    <row r="33" spans="1:7" ht="12.75" customHeight="1">
      <c r="F33" s="32"/>
      <c r="G33" s="32"/>
    </row>
    <row r="34" spans="1:7" ht="12.75" customHeight="1"/>
    <row r="35" spans="1:7" ht="12.75" customHeight="1"/>
    <row r="36" spans="1:7" ht="12.75" customHeight="1"/>
    <row r="37" spans="1:7" ht="12.75" customHeight="1"/>
    <row r="38" spans="1:7" s="20" customFormat="1" ht="12.75" customHeight="1">
      <c r="A38" s="28"/>
      <c r="B38" s="28"/>
    </row>
    <row r="39" spans="1:7" s="20" customFormat="1" ht="12.75" customHeight="1">
      <c r="A39" s="28"/>
      <c r="B39" s="28"/>
    </row>
    <row r="40" spans="1:7" s="20" customFormat="1" ht="12.75" customHeight="1">
      <c r="A40" s="28"/>
      <c r="B40" s="28"/>
    </row>
    <row r="41" spans="1:7" ht="12.75" customHeight="1"/>
    <row r="55" spans="10:16">
      <c r="J55" s="29"/>
      <c r="K55" s="35"/>
      <c r="L55" s="36"/>
      <c r="M55" s="36"/>
      <c r="N55" s="35"/>
      <c r="O55" s="35"/>
    </row>
    <row r="56" spans="10:16">
      <c r="K56" s="29"/>
      <c r="L56" s="35"/>
      <c r="M56" s="36"/>
      <c r="N56" s="36"/>
      <c r="O56" s="35"/>
      <c r="P56" s="35"/>
    </row>
    <row r="57" spans="10:16">
      <c r="K57" s="29"/>
      <c r="L57" s="35"/>
      <c r="M57" s="36"/>
      <c r="N57" s="36"/>
      <c r="O57" s="35"/>
      <c r="P57" s="35"/>
    </row>
    <row r="58" spans="10:16">
      <c r="K58" s="29"/>
      <c r="L58" s="35"/>
      <c r="M58" s="36"/>
      <c r="N58" s="36"/>
      <c r="O58" s="35"/>
      <c r="P58" s="35"/>
    </row>
    <row r="59" spans="10:16">
      <c r="K59" s="29"/>
      <c r="L59" s="35"/>
      <c r="M59" s="36"/>
      <c r="N59" s="36"/>
      <c r="O59" s="35"/>
      <c r="P59" s="35"/>
    </row>
    <row r="60" spans="10:16">
      <c r="K60" s="29"/>
      <c r="L60" s="35"/>
      <c r="M60" s="36"/>
      <c r="N60" s="36"/>
      <c r="O60" s="35"/>
      <c r="P60" s="35"/>
    </row>
    <row r="61" spans="10:16">
      <c r="K61" s="29"/>
      <c r="L61" s="35"/>
      <c r="M61" s="36"/>
      <c r="N61" s="36"/>
      <c r="O61" s="35"/>
      <c r="P61" s="35"/>
    </row>
    <row r="62" spans="10:16">
      <c r="K62" s="29"/>
      <c r="L62" s="35"/>
      <c r="M62" s="36"/>
      <c r="N62" s="36"/>
      <c r="O62" s="35"/>
      <c r="P62" s="35"/>
    </row>
    <row r="63" spans="10:16">
      <c r="K63" s="29"/>
      <c r="L63" s="35"/>
      <c r="M63" s="36"/>
      <c r="N63" s="36"/>
      <c r="O63" s="35"/>
      <c r="P63" s="35"/>
    </row>
    <row r="64" spans="10:16">
      <c r="K64" s="29"/>
      <c r="L64" s="35"/>
      <c r="M64" s="36"/>
      <c r="N64" s="36"/>
      <c r="O64" s="35"/>
      <c r="P64" s="35"/>
    </row>
    <row r="65" spans="1:16" s="20" customFormat="1">
      <c r="B65" s="28"/>
      <c r="C65" s="28"/>
      <c r="D65" s="28"/>
      <c r="E65" s="28"/>
      <c r="F65" s="28"/>
      <c r="G65" s="28"/>
      <c r="H65" s="28"/>
      <c r="I65" s="28"/>
      <c r="J65" s="28"/>
      <c r="K65" s="29"/>
      <c r="L65" s="35"/>
      <c r="M65" s="36"/>
      <c r="N65" s="37"/>
      <c r="O65" s="35"/>
      <c r="P65" s="35"/>
    </row>
    <row r="66" spans="1:16" s="20" customFormat="1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35"/>
      <c r="M66" s="37"/>
      <c r="N66" s="37"/>
      <c r="O66" s="35"/>
      <c r="P66" s="35"/>
    </row>
    <row r="67" spans="1:16">
      <c r="A67" s="20"/>
      <c r="K67" s="30"/>
      <c r="M67" s="36"/>
      <c r="N67" s="36"/>
      <c r="O67" s="35"/>
      <c r="P67" s="35"/>
    </row>
    <row r="68" spans="1:16">
      <c r="A68" s="20"/>
      <c r="B68" s="20"/>
      <c r="C68" s="20"/>
      <c r="D68" s="37"/>
      <c r="E68" s="37"/>
      <c r="F68" s="37"/>
      <c r="G68" s="37"/>
      <c r="H68" s="37"/>
      <c r="J68" s="34"/>
    </row>
    <row r="69" spans="1:16">
      <c r="J69" s="34"/>
    </row>
    <row r="70" spans="1:16">
      <c r="F70" s="32"/>
      <c r="G70" s="32"/>
      <c r="J70" s="34"/>
    </row>
  </sheetData>
  <mergeCells count="1">
    <mergeCell ref="B10:B12"/>
  </mergeCells>
  <conditionalFormatting sqref="K67">
    <cfRule type="cellIs" dxfId="1" priority="1" operator="notBetween">
      <formula>0.001</formula>
      <formula>-0.001</formula>
    </cfRule>
  </conditionalFormatting>
  <printOptions horizontalCentered="1" verticalCentered="1"/>
  <pageMargins left="0.78740157480314965" right="0.78740157480314965" top="0.98425196850393704" bottom="0.98425196850393704" header="0" footer="0"/>
  <pageSetup paperSize="9" scale="55" orientation="landscape" horizontalDpi="355" verticalDpi="355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3">
    <pageSetUpPr autoPageBreaks="0" fitToPage="1"/>
  </sheetPr>
  <dimension ref="A1:AL70"/>
  <sheetViews>
    <sheetView showGridLines="0" showRowColHeaders="0" zoomScale="115" zoomScaleNormal="115" workbookViewId="0">
      <selection activeCell="O17" sqref="O17"/>
    </sheetView>
  </sheetViews>
  <sheetFormatPr baseColWidth="10" defaultColWidth="11.42578125" defaultRowHeight="12.75"/>
  <cols>
    <col min="1" max="1" width="2.5703125" style="28" customWidth="1"/>
    <col min="2" max="2" width="21.42578125" style="28" customWidth="1"/>
    <col min="3" max="3" width="11.42578125" style="28" customWidth="1"/>
    <col min="4" max="8" width="11.42578125" style="28"/>
    <col min="9" max="9" width="11.5703125" style="28" bestFit="1" customWidth="1"/>
    <col min="10" max="13" width="11.42578125" style="28"/>
    <col min="14" max="14" width="15.5703125" style="28" customWidth="1"/>
    <col min="15" max="16384" width="11.42578125" style="28"/>
  </cols>
  <sheetData>
    <row r="1" spans="2:38">
      <c r="L1" s="17" t="s">
        <v>30</v>
      </c>
    </row>
    <row r="2" spans="2:38">
      <c r="L2" s="18" t="str">
        <f>Indice!E3</f>
        <v>Agosto 2026</v>
      </c>
    </row>
    <row r="4" spans="2:38">
      <c r="B4" s="19" t="s">
        <v>29</v>
      </c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</row>
    <row r="5" spans="2:38" s="31" customFormat="1"/>
    <row r="6" spans="2:38" s="31" customFormat="1"/>
    <row r="7" spans="2:38" ht="12.75" customHeight="1">
      <c r="B7" s="255" t="s">
        <v>23</v>
      </c>
      <c r="F7" s="32"/>
      <c r="G7" s="32"/>
      <c r="H7" s="33"/>
      <c r="I7" s="33"/>
      <c r="J7" s="33"/>
      <c r="K7" s="33"/>
      <c r="L7" s="33"/>
      <c r="M7" s="33"/>
      <c r="AC7" s="33"/>
      <c r="AD7" s="33"/>
      <c r="AE7" s="33"/>
      <c r="AF7" s="33"/>
      <c r="AG7" s="33"/>
      <c r="AH7" s="33"/>
      <c r="AI7" s="33"/>
      <c r="AJ7" s="33"/>
      <c r="AK7" s="33"/>
      <c r="AL7" s="33"/>
    </row>
    <row r="8" spans="2:38">
      <c r="B8" s="255"/>
      <c r="F8" s="32"/>
      <c r="G8" s="32"/>
      <c r="H8" s="33"/>
      <c r="I8" s="33"/>
      <c r="J8" s="33"/>
      <c r="K8" s="33"/>
      <c r="L8" s="33"/>
      <c r="M8" s="33"/>
      <c r="AC8" s="33"/>
      <c r="AD8" s="33"/>
      <c r="AE8" s="33"/>
      <c r="AF8" s="33"/>
      <c r="AG8" s="33"/>
      <c r="AH8" s="33"/>
      <c r="AI8" s="33"/>
      <c r="AJ8" s="33"/>
      <c r="AK8" s="33"/>
      <c r="AL8" s="33"/>
    </row>
    <row r="9" spans="2:38" ht="12.75" customHeight="1">
      <c r="B9" s="47" t="s">
        <v>42</v>
      </c>
      <c r="F9" s="32"/>
      <c r="G9" s="32"/>
    </row>
    <row r="10" spans="2:38" ht="12.75" customHeight="1">
      <c r="B10" s="255"/>
      <c r="F10" s="32"/>
      <c r="G10" s="32"/>
    </row>
    <row r="11" spans="2:38" s="31" customFormat="1" ht="12.75" customHeight="1">
      <c r="B11" s="255"/>
      <c r="F11" s="32"/>
      <c r="G11" s="32"/>
    </row>
    <row r="12" spans="2:38" ht="12.75" customHeight="1">
      <c r="B12" s="255"/>
      <c r="F12" s="32"/>
      <c r="G12" s="32"/>
      <c r="H12" s="33"/>
      <c r="I12" s="33"/>
      <c r="J12" s="33"/>
      <c r="K12" s="33"/>
      <c r="L12" s="33"/>
      <c r="M12" s="33"/>
      <c r="AC12" s="33"/>
      <c r="AD12" s="33"/>
      <c r="AE12" s="33"/>
      <c r="AF12" s="33"/>
      <c r="AG12" s="33"/>
      <c r="AH12" s="33"/>
      <c r="AI12" s="33"/>
      <c r="AJ12" s="33"/>
    </row>
    <row r="13" spans="2:38" ht="12.75" customHeight="1">
      <c r="F13" s="32"/>
      <c r="G13" s="32"/>
    </row>
    <row r="14" spans="2:38" ht="12.75" customHeight="1">
      <c r="F14" s="32"/>
      <c r="G14" s="32"/>
    </row>
    <row r="15" spans="2:38" ht="12.75" customHeight="1">
      <c r="F15" s="32"/>
      <c r="G15" s="32"/>
    </row>
    <row r="16" spans="2:38" ht="12.75" customHeight="1">
      <c r="F16" s="32"/>
      <c r="G16" s="32"/>
    </row>
    <row r="17" spans="6:7" ht="12.75" customHeight="1">
      <c r="F17" s="32"/>
      <c r="G17" s="32"/>
    </row>
    <row r="18" spans="6:7" ht="12.75" customHeight="1">
      <c r="F18" s="32"/>
      <c r="G18" s="32"/>
    </row>
    <row r="19" spans="6:7" ht="12.75" customHeight="1">
      <c r="F19" s="32"/>
      <c r="G19" s="32"/>
    </row>
    <row r="20" spans="6:7" ht="12.75" customHeight="1">
      <c r="F20" s="32"/>
      <c r="G20" s="32"/>
    </row>
    <row r="21" spans="6:7" ht="12.75" customHeight="1">
      <c r="F21" s="32"/>
      <c r="G21" s="32"/>
    </row>
    <row r="22" spans="6:7" ht="12.75" customHeight="1">
      <c r="F22" s="32"/>
      <c r="G22" s="32"/>
    </row>
    <row r="23" spans="6:7" ht="12.75" customHeight="1">
      <c r="F23" s="32"/>
      <c r="G23" s="32"/>
    </row>
    <row r="24" spans="6:7" ht="12.75" customHeight="1">
      <c r="F24" s="32"/>
      <c r="G24" s="32"/>
    </row>
    <row r="25" spans="6:7">
      <c r="F25" s="32"/>
      <c r="G25" s="32"/>
    </row>
    <row r="26" spans="6:7" ht="12.75" customHeight="1">
      <c r="F26" s="32"/>
      <c r="G26" s="32"/>
    </row>
    <row r="27" spans="6:7" ht="12.75" customHeight="1">
      <c r="F27" s="32"/>
      <c r="G27" s="32"/>
    </row>
    <row r="28" spans="6:7" ht="12.75" customHeight="1">
      <c r="F28" s="32"/>
      <c r="G28" s="32"/>
    </row>
    <row r="29" spans="6:7" ht="12.75" customHeight="1">
      <c r="F29" s="32"/>
      <c r="G29" s="32"/>
    </row>
    <row r="30" spans="6:7" ht="12.75" customHeight="1">
      <c r="F30" s="32"/>
      <c r="G30" s="32"/>
    </row>
    <row r="31" spans="6:7" ht="12.75" customHeight="1">
      <c r="F31" s="32"/>
      <c r="G31" s="32"/>
    </row>
    <row r="32" spans="6:7" ht="12.75" customHeight="1">
      <c r="F32" s="32"/>
      <c r="G32" s="32"/>
    </row>
    <row r="33" spans="1:28" ht="12.75" customHeight="1">
      <c r="F33" s="32"/>
      <c r="G33" s="32"/>
    </row>
    <row r="34" spans="1:28" ht="12.75" customHeight="1"/>
    <row r="35" spans="1:28" ht="12.75" customHeight="1"/>
    <row r="36" spans="1:28" ht="12.75" customHeight="1"/>
    <row r="37" spans="1:28" ht="12.75" customHeight="1"/>
    <row r="38" spans="1:28" s="20" customFormat="1" ht="12.75" customHeight="1">
      <c r="A38" s="28"/>
      <c r="B38" s="28"/>
      <c r="M38" s="28"/>
    </row>
    <row r="39" spans="1:28" s="20" customFormat="1" ht="12.75" customHeight="1">
      <c r="A39" s="28"/>
      <c r="B39" s="28"/>
      <c r="M39" s="28"/>
    </row>
    <row r="40" spans="1:28" s="20" customFormat="1" ht="12.75" customHeight="1">
      <c r="A40" s="28"/>
      <c r="B40" s="28"/>
      <c r="M40" s="28"/>
    </row>
    <row r="41" spans="1:28" ht="12.75" customHeight="1"/>
    <row r="48" spans="1:28" ht="15">
      <c r="Z48" s="64"/>
      <c r="AA48" s="64"/>
      <c r="AB48" s="68"/>
    </row>
    <row r="49" spans="10:28" ht="15">
      <c r="Z49" s="64"/>
      <c r="AA49" s="64"/>
      <c r="AB49" s="68"/>
    </row>
    <row r="50" spans="10:28" ht="15">
      <c r="Z50" s="64"/>
      <c r="AA50" s="64"/>
      <c r="AB50" s="68"/>
    </row>
    <row r="55" spans="10:28">
      <c r="J55" s="29"/>
      <c r="K55" s="35"/>
      <c r="L55" s="36"/>
      <c r="M55" s="36"/>
      <c r="N55" s="35"/>
      <c r="O55" s="35"/>
    </row>
    <row r="56" spans="10:28">
      <c r="K56" s="29"/>
      <c r="L56" s="35"/>
      <c r="M56" s="36"/>
      <c r="N56" s="36"/>
      <c r="O56" s="35"/>
      <c r="P56" s="35"/>
    </row>
    <row r="57" spans="10:28">
      <c r="K57" s="29"/>
      <c r="L57" s="35"/>
      <c r="M57" s="36"/>
      <c r="N57" s="36"/>
      <c r="O57" s="35"/>
      <c r="P57" s="35"/>
    </row>
    <row r="58" spans="10:28">
      <c r="K58" s="29"/>
      <c r="L58" s="35"/>
      <c r="M58" s="36"/>
      <c r="N58" s="36"/>
      <c r="O58" s="35"/>
      <c r="P58" s="35"/>
    </row>
    <row r="59" spans="10:28">
      <c r="K59" s="29"/>
      <c r="L59" s="35"/>
      <c r="M59" s="36"/>
      <c r="N59" s="36"/>
      <c r="O59" s="35"/>
      <c r="P59" s="35"/>
    </row>
    <row r="60" spans="10:28">
      <c r="K60" s="29"/>
      <c r="L60" s="35"/>
      <c r="M60" s="36"/>
      <c r="N60" s="36"/>
      <c r="O60" s="35"/>
      <c r="P60" s="35"/>
    </row>
    <row r="61" spans="10:28">
      <c r="K61" s="29"/>
      <c r="L61" s="35"/>
      <c r="M61" s="36"/>
      <c r="N61" s="36"/>
      <c r="O61" s="35"/>
      <c r="P61" s="35"/>
    </row>
    <row r="62" spans="10:28">
      <c r="K62" s="29"/>
      <c r="L62" s="35"/>
      <c r="M62" s="36"/>
      <c r="N62" s="36"/>
      <c r="O62" s="35"/>
      <c r="P62" s="35"/>
    </row>
    <row r="63" spans="10:28">
      <c r="K63" s="29"/>
      <c r="L63" s="35"/>
      <c r="M63" s="36"/>
      <c r="N63" s="36"/>
      <c r="O63" s="35"/>
      <c r="P63" s="35"/>
    </row>
    <row r="64" spans="10:28">
      <c r="K64" s="29"/>
      <c r="L64" s="35"/>
      <c r="M64" s="36"/>
      <c r="N64" s="36"/>
      <c r="O64" s="35"/>
      <c r="P64" s="35"/>
    </row>
    <row r="65" spans="1:16" s="20" customFormat="1">
      <c r="B65" s="28"/>
      <c r="C65" s="28"/>
      <c r="D65" s="28"/>
      <c r="E65" s="28"/>
      <c r="F65" s="28"/>
      <c r="G65" s="28"/>
      <c r="H65" s="28"/>
      <c r="I65" s="28"/>
      <c r="J65" s="28"/>
      <c r="K65" s="29"/>
      <c r="L65" s="35"/>
      <c r="M65" s="36"/>
      <c r="N65" s="37"/>
      <c r="O65" s="35"/>
      <c r="P65" s="35"/>
    </row>
    <row r="66" spans="1:16" s="20" customFormat="1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35"/>
      <c r="M66" s="37"/>
      <c r="N66" s="37"/>
      <c r="O66" s="35"/>
      <c r="P66" s="35"/>
    </row>
    <row r="67" spans="1:16">
      <c r="A67" s="20"/>
      <c r="K67" s="30"/>
      <c r="M67" s="36"/>
      <c r="N67" s="36"/>
      <c r="O67" s="35"/>
      <c r="P67" s="35"/>
    </row>
    <row r="68" spans="1:16">
      <c r="A68" s="20"/>
      <c r="B68" s="20"/>
      <c r="C68" s="20"/>
      <c r="D68" s="37"/>
      <c r="E68" s="37"/>
      <c r="F68" s="37"/>
      <c r="G68" s="37"/>
      <c r="H68" s="37"/>
      <c r="J68" s="34"/>
    </row>
    <row r="69" spans="1:16">
      <c r="J69" s="34"/>
    </row>
    <row r="70" spans="1:16">
      <c r="F70" s="32"/>
      <c r="G70" s="32"/>
      <c r="J70" s="34"/>
    </row>
  </sheetData>
  <mergeCells count="2">
    <mergeCell ref="B10:B12"/>
    <mergeCell ref="B7:B8"/>
  </mergeCells>
  <conditionalFormatting sqref="K67">
    <cfRule type="cellIs" dxfId="0" priority="1" operator="notBetween">
      <formula>0.001</formula>
      <formula>-0.001</formula>
    </cfRule>
  </conditionalFormatting>
  <printOptions horizontalCentered="1" verticalCentered="1"/>
  <pageMargins left="0.78740157480314965" right="0.78740157480314965" top="0.98425196850393704" bottom="0.98425196850393704" header="0" footer="0"/>
  <pageSetup paperSize="9" scale="86" orientation="landscape" horizontalDpi="355" verticalDpi="35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5C076-F6C3-4EA1-ACA5-8AD02FFFD80D}">
  <sheetPr codeName="Hoja12">
    <pageSetUpPr autoPageBreaks="0"/>
  </sheetPr>
  <dimension ref="B1:AM34"/>
  <sheetViews>
    <sheetView showGridLines="0" showRowColHeaders="0" topLeftCell="A2" zoomScale="106" zoomScaleNormal="106" workbookViewId="0">
      <selection activeCell="E28" sqref="E28:E29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6" max="6" width="11.42578125" style="7" customWidth="1"/>
    <col min="7" max="7" width="28.42578125" customWidth="1"/>
    <col min="8" max="20" width="9.42578125" customWidth="1"/>
    <col min="24" max="36" width="13.42578125" bestFit="1" customWidth="1"/>
  </cols>
  <sheetData>
    <row r="1" spans="2:39" ht="0.6" customHeight="1">
      <c r="F1"/>
    </row>
    <row r="2" spans="2:39" ht="21" customHeight="1">
      <c r="E2" s="17" t="s">
        <v>30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2:39" ht="15" customHeight="1">
      <c r="E3" s="76" t="str">
        <f>Indice!E3</f>
        <v>Agosto 2026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2:39" s="1" customFormat="1" ht="20.100000000000001" customHeight="1">
      <c r="C4" s="19" t="s">
        <v>29</v>
      </c>
    </row>
    <row r="5" spans="2:39" s="1" customFormat="1" ht="12.6" customHeight="1">
      <c r="B5" s="2"/>
      <c r="C5" s="3"/>
    </row>
    <row r="6" spans="2:39" s="1" customFormat="1" ht="13.35" customHeight="1">
      <c r="B6" s="2"/>
      <c r="C6" s="4"/>
      <c r="D6" s="5"/>
      <c r="E6" s="5"/>
    </row>
    <row r="7" spans="2:39" s="1" customFormat="1" ht="12.75" customHeight="1">
      <c r="B7" s="2"/>
      <c r="C7" s="48" t="s">
        <v>143</v>
      </c>
      <c r="D7" s="5"/>
      <c r="E7" s="12"/>
    </row>
    <row r="8" spans="2:39" s="1" customFormat="1" ht="12.75" customHeight="1">
      <c r="B8" s="2"/>
      <c r="C8" s="47" t="s">
        <v>14</v>
      </c>
      <c r="D8" s="5"/>
      <c r="E8" s="12"/>
    </row>
    <row r="9" spans="2:39" s="1" customFormat="1" ht="12.75" customHeight="1">
      <c r="B9" s="2"/>
      <c r="C9" s="48"/>
      <c r="D9" s="5"/>
      <c r="E9" s="12"/>
    </row>
    <row r="10" spans="2:39" s="1" customFormat="1" ht="12.75" customHeight="1">
      <c r="B10" s="2"/>
      <c r="C10" s="47"/>
      <c r="D10" s="5"/>
      <c r="E10" s="12"/>
    </row>
    <row r="11" spans="2:39" s="1" customFormat="1" ht="12.75" customHeight="1">
      <c r="B11" s="2"/>
      <c r="C11" s="47"/>
      <c r="D11" s="5"/>
      <c r="E11" s="9"/>
    </row>
    <row r="12" spans="2:39" s="1" customFormat="1" ht="12.75" customHeight="1">
      <c r="B12" s="2"/>
      <c r="C12" s="47"/>
      <c r="D12" s="5"/>
      <c r="E12" s="9"/>
    </row>
    <row r="13" spans="2:39" s="1" customFormat="1" ht="12.75" customHeight="1">
      <c r="B13" s="2"/>
      <c r="C13" s="4"/>
      <c r="D13" s="5"/>
      <c r="E13" s="9"/>
    </row>
    <row r="14" spans="2:39" s="1" customFormat="1" ht="12.75" customHeight="1">
      <c r="B14" s="2"/>
      <c r="C14" s="4"/>
      <c r="D14" s="5"/>
      <c r="E14" s="9"/>
    </row>
    <row r="15" spans="2:39" s="1" customFormat="1" ht="12.75" customHeight="1">
      <c r="B15" s="2"/>
      <c r="C15" s="4"/>
      <c r="D15" s="5"/>
      <c r="E15" s="9"/>
    </row>
    <row r="16" spans="2:39" s="72" customFormat="1" ht="12.75" customHeight="1">
      <c r="C16" s="73"/>
      <c r="D16" s="74"/>
      <c r="E16" s="75"/>
      <c r="AL16" s="1"/>
      <c r="AM16" s="1"/>
    </row>
    <row r="17" spans="2:39" s="1" customFormat="1" ht="12.75" customHeight="1">
      <c r="B17" s="2"/>
      <c r="C17" s="4"/>
      <c r="D17" s="5"/>
      <c r="E17" s="9"/>
    </row>
    <row r="18" spans="2:39" s="1" customFormat="1" ht="12.75" customHeight="1">
      <c r="B18" s="2"/>
      <c r="C18" s="4"/>
      <c r="D18" s="5"/>
      <c r="E18" s="9"/>
    </row>
    <row r="19" spans="2:39" s="1" customFormat="1" ht="12.75" customHeight="1">
      <c r="B19" s="2"/>
      <c r="C19" s="4"/>
      <c r="D19" s="5"/>
      <c r="E19" s="9"/>
      <c r="AL19" s="72"/>
      <c r="AM19" s="72"/>
    </row>
    <row r="20" spans="2:39" s="1" customFormat="1" ht="12.75" customHeight="1">
      <c r="B20" s="2"/>
      <c r="C20" s="4"/>
      <c r="D20" s="5"/>
      <c r="E20" s="9"/>
    </row>
    <row r="21" spans="2:39" s="1" customFormat="1" ht="12.75" customHeight="1">
      <c r="B21" s="2"/>
      <c r="C21" s="4"/>
      <c r="D21" s="5"/>
      <c r="E21" s="9"/>
    </row>
    <row r="22" spans="2:39">
      <c r="E22" s="13"/>
      <c r="AL22" s="1"/>
      <c r="AM22" s="1"/>
    </row>
    <row r="23" spans="2:39">
      <c r="E23" s="13"/>
      <c r="AL23" s="1"/>
      <c r="AM23" s="1"/>
    </row>
    <row r="24" spans="2:39">
      <c r="E24" s="13"/>
      <c r="AL24" s="1"/>
      <c r="AM24" s="1"/>
    </row>
    <row r="25" spans="2:39" ht="16.350000000000001" customHeight="1">
      <c r="E25" s="39"/>
    </row>
    <row r="27" spans="2:39">
      <c r="E27" s="149"/>
    </row>
    <row r="34" spans="6:6">
      <c r="F34" s="69"/>
    </row>
  </sheetData>
  <printOptions horizontalCentered="1" verticalCentered="1"/>
  <pageMargins left="0.78740157480314965" right="0.78740157480314965" top="0.78740157480314965" bottom="0.98425196850393704" header="0" footer="0"/>
  <pageSetup paperSize="9" orientation="landscape" verticalDpi="300" r:id="rId1"/>
  <headerFooter alignWithMargins="0">
    <oddFooter>&amp;R&amp;A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12160-71B8-46AD-A6E2-A4BF288571C0}">
  <sheetPr codeName="Hoja15">
    <pageSetUpPr autoPageBreaks="0"/>
  </sheetPr>
  <dimension ref="B1:AM34"/>
  <sheetViews>
    <sheetView showGridLines="0" showRowColHeaders="0" topLeftCell="A2" zoomScale="106" zoomScaleNormal="106" workbookViewId="0">
      <selection activeCell="G34" sqref="G34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6" max="6" width="11.42578125" style="7" customWidth="1"/>
    <col min="7" max="7" width="28.42578125" customWidth="1"/>
    <col min="8" max="20" width="9.42578125" customWidth="1"/>
    <col min="24" max="36" width="13.42578125" bestFit="1" customWidth="1"/>
  </cols>
  <sheetData>
    <row r="1" spans="2:39" ht="0.6" customHeight="1">
      <c r="F1"/>
    </row>
    <row r="2" spans="2:39" ht="21" customHeight="1">
      <c r="E2" s="17" t="s">
        <v>30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2:39" ht="15" customHeight="1">
      <c r="E3" s="76" t="str">
        <f>Indice!E3</f>
        <v>Agosto 2026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2:39" s="1" customFormat="1" ht="20.100000000000001" customHeight="1">
      <c r="C4" s="19" t="s">
        <v>29</v>
      </c>
    </row>
    <row r="5" spans="2:39" s="1" customFormat="1" ht="12.6" customHeight="1">
      <c r="B5" s="2"/>
      <c r="C5" s="3"/>
    </row>
    <row r="6" spans="2:39" s="1" customFormat="1" ht="13.35" customHeight="1">
      <c r="B6" s="2"/>
      <c r="C6" s="4"/>
      <c r="D6" s="5"/>
      <c r="E6" s="5"/>
    </row>
    <row r="7" spans="2:39" s="1" customFormat="1" ht="12.75" customHeight="1">
      <c r="B7" s="2"/>
      <c r="C7" s="255" t="s">
        <v>150</v>
      </c>
      <c r="D7" s="5"/>
      <c r="E7" s="12"/>
    </row>
    <row r="8" spans="2:39" s="1" customFormat="1" ht="12.75" customHeight="1">
      <c r="B8" s="2"/>
      <c r="C8" s="255"/>
      <c r="D8" s="5"/>
      <c r="E8" s="12"/>
    </row>
    <row r="9" spans="2:39" s="1" customFormat="1" ht="12.75" customHeight="1">
      <c r="B9" s="2"/>
      <c r="C9" s="255"/>
      <c r="D9" s="5"/>
      <c r="E9" s="12"/>
    </row>
    <row r="10" spans="2:39" s="1" customFormat="1" ht="12.75" customHeight="1">
      <c r="B10" s="2"/>
      <c r="C10" s="255"/>
      <c r="D10" s="5"/>
      <c r="E10" s="12"/>
    </row>
    <row r="11" spans="2:39" s="1" customFormat="1" ht="12.75" customHeight="1">
      <c r="B11" s="2"/>
      <c r="C11" s="255"/>
      <c r="D11" s="5"/>
      <c r="E11" s="9"/>
    </row>
    <row r="12" spans="2:39" s="1" customFormat="1" ht="12.75" customHeight="1">
      <c r="B12" s="2"/>
      <c r="C12" s="47" t="s">
        <v>142</v>
      </c>
      <c r="D12" s="5"/>
      <c r="E12" s="9"/>
    </row>
    <row r="13" spans="2:39" s="1" customFormat="1" ht="12.75" customHeight="1">
      <c r="B13" s="2"/>
      <c r="C13" s="4"/>
      <c r="D13" s="5"/>
      <c r="E13" s="9"/>
    </row>
    <row r="14" spans="2:39" s="1" customFormat="1" ht="12.75" customHeight="1">
      <c r="B14" s="2"/>
      <c r="C14" s="4"/>
      <c r="D14" s="5"/>
      <c r="E14" s="9"/>
    </row>
    <row r="15" spans="2:39" s="1" customFormat="1" ht="12.75" customHeight="1">
      <c r="B15" s="2"/>
      <c r="C15" s="4"/>
      <c r="D15" s="5"/>
      <c r="E15" s="9"/>
    </row>
    <row r="16" spans="2:39" s="72" customFormat="1" ht="12.75" customHeight="1">
      <c r="C16" s="73"/>
      <c r="D16" s="74"/>
      <c r="E16" s="75"/>
      <c r="AL16" s="1"/>
      <c r="AM16" s="1"/>
    </row>
    <row r="17" spans="2:39" s="1" customFormat="1" ht="12.75" customHeight="1">
      <c r="B17" s="2"/>
      <c r="C17" s="4"/>
      <c r="D17" s="5"/>
      <c r="E17" s="9"/>
    </row>
    <row r="18" spans="2:39" s="1" customFormat="1" ht="12.75" customHeight="1">
      <c r="B18" s="2"/>
      <c r="C18" s="4"/>
      <c r="D18" s="5"/>
      <c r="E18" s="9"/>
    </row>
    <row r="19" spans="2:39" s="1" customFormat="1" ht="12.75" customHeight="1">
      <c r="B19" s="2"/>
      <c r="C19" s="4"/>
      <c r="D19" s="5"/>
      <c r="E19" s="9"/>
      <c r="AL19" s="72"/>
      <c r="AM19" s="72"/>
    </row>
    <row r="20" spans="2:39" s="1" customFormat="1" ht="12.75" customHeight="1">
      <c r="B20" s="2"/>
      <c r="C20" s="4"/>
      <c r="D20" s="5"/>
      <c r="E20" s="9"/>
    </row>
    <row r="21" spans="2:39" s="1" customFormat="1" ht="12.75" customHeight="1">
      <c r="B21" s="2"/>
      <c r="C21" s="4"/>
      <c r="D21" s="5"/>
      <c r="E21" s="9"/>
    </row>
    <row r="22" spans="2:39">
      <c r="E22" s="13"/>
      <c r="AL22" s="1"/>
      <c r="AM22" s="1"/>
    </row>
    <row r="23" spans="2:39">
      <c r="E23" s="13"/>
      <c r="AL23" s="1"/>
      <c r="AM23" s="1"/>
    </row>
    <row r="24" spans="2:39">
      <c r="E24" s="13"/>
      <c r="AL24" s="1"/>
      <c r="AM24" s="1"/>
    </row>
    <row r="25" spans="2:39" ht="16.350000000000001" customHeight="1">
      <c r="E25" s="39"/>
    </row>
    <row r="27" spans="2:39">
      <c r="E27" s="149"/>
    </row>
    <row r="34" spans="6:6">
      <c r="F34" s="69"/>
    </row>
  </sheetData>
  <mergeCells count="1">
    <mergeCell ref="C7:C11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300" r:id="rId1"/>
  <headerFooter alignWithMargins="0">
    <oddFooter>&amp;R&amp;A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9"/>
  <dimension ref="A1:AQ710"/>
  <sheetViews>
    <sheetView topLeftCell="A7" zoomScaleNormal="100" workbookViewId="0">
      <selection activeCell="AI8" sqref="AI8"/>
    </sheetView>
  </sheetViews>
  <sheetFormatPr baseColWidth="10" defaultColWidth="16.28515625" defaultRowHeight="12.75"/>
  <cols>
    <col min="1" max="15" width="15.7109375" customWidth="1"/>
    <col min="16" max="16" width="8.85546875" bestFit="1" customWidth="1"/>
    <col min="17" max="17" width="4.85546875" bestFit="1" customWidth="1"/>
    <col min="18" max="25" width="5.7109375" bestFit="1" customWidth="1"/>
    <col min="26" max="26" width="6.85546875" bestFit="1" customWidth="1"/>
    <col min="27" max="27" width="7.140625" bestFit="1" customWidth="1"/>
    <col min="28" max="28" width="8.7109375" bestFit="1" customWidth="1"/>
    <col min="29" max="29" width="8.85546875" bestFit="1" customWidth="1"/>
    <col min="30" max="30" width="21.140625" bestFit="1" customWidth="1"/>
    <col min="31" max="32" width="7" bestFit="1" customWidth="1"/>
    <col min="33" max="33" width="31.85546875" bestFit="1" customWidth="1"/>
    <col min="35" max="35" width="19.5703125" bestFit="1" customWidth="1"/>
    <col min="37" max="37" width="32.7109375" bestFit="1" customWidth="1"/>
    <col min="39" max="39" width="20.140625" bestFit="1" customWidth="1"/>
    <col min="40" max="40" width="7.5703125" bestFit="1" customWidth="1"/>
    <col min="43" max="43" width="3" bestFit="1" customWidth="1"/>
  </cols>
  <sheetData>
    <row r="1" spans="1:43" ht="14.25">
      <c r="A1" s="110" t="s">
        <v>108</v>
      </c>
    </row>
    <row r="2" spans="1:43" ht="14.25">
      <c r="A2" s="114" t="str">
        <f>MID(B5,6,LEN(B5))&amp;" "&amp;MID(B5,1,4)</f>
        <v>Agosto 2026</v>
      </c>
      <c r="D2" s="62"/>
    </row>
    <row r="4" spans="1:43">
      <c r="A4" s="120" t="s">
        <v>26</v>
      </c>
      <c r="B4" s="238" t="s">
        <v>75</v>
      </c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</row>
    <row r="5" spans="1:43">
      <c r="A5" s="120" t="s">
        <v>74</v>
      </c>
      <c r="B5" s="253" t="s">
        <v>253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</row>
    <row r="6" spans="1:43">
      <c r="A6" s="120" t="s">
        <v>102</v>
      </c>
      <c r="B6" s="163" t="s">
        <v>78</v>
      </c>
      <c r="C6" s="163" t="s">
        <v>79</v>
      </c>
      <c r="D6" s="163" t="s">
        <v>80</v>
      </c>
      <c r="E6" s="163" t="s">
        <v>81</v>
      </c>
      <c r="F6" s="163" t="s">
        <v>82</v>
      </c>
      <c r="G6" s="163" t="s">
        <v>83</v>
      </c>
      <c r="H6" s="163" t="s">
        <v>84</v>
      </c>
      <c r="I6" s="163" t="s">
        <v>85</v>
      </c>
      <c r="J6" s="163" t="s">
        <v>86</v>
      </c>
      <c r="K6" s="163" t="s">
        <v>87</v>
      </c>
      <c r="L6" s="163" t="s">
        <v>88</v>
      </c>
      <c r="M6" s="163" t="s">
        <v>89</v>
      </c>
      <c r="N6" s="163" t="s">
        <v>90</v>
      </c>
      <c r="O6" s="163" t="s">
        <v>91</v>
      </c>
      <c r="P6" s="163" t="s">
        <v>92</v>
      </c>
      <c r="Q6" s="163" t="s">
        <v>93</v>
      </c>
      <c r="R6" s="163" t="s">
        <v>94</v>
      </c>
      <c r="S6" s="163" t="s">
        <v>95</v>
      </c>
      <c r="T6" s="163" t="s">
        <v>96</v>
      </c>
      <c r="U6" s="163" t="s">
        <v>97</v>
      </c>
      <c r="V6" s="163" t="s">
        <v>98</v>
      </c>
      <c r="W6" s="163" t="s">
        <v>99</v>
      </c>
      <c r="X6" s="163" t="s">
        <v>100</v>
      </c>
      <c r="Y6" s="163" t="s">
        <v>101</v>
      </c>
      <c r="Z6" s="217">
        <v>25</v>
      </c>
      <c r="AA6" s="217" t="s">
        <v>76</v>
      </c>
      <c r="AB6" s="217" t="s">
        <v>77</v>
      </c>
      <c r="AC6" s="217" t="s">
        <v>182</v>
      </c>
    </row>
    <row r="7" spans="1:43">
      <c r="A7" s="120" t="s">
        <v>110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218"/>
      <c r="AA7" s="218"/>
      <c r="AB7" s="218"/>
      <c r="AC7" s="218"/>
      <c r="AD7" t="s">
        <v>168</v>
      </c>
      <c r="AG7" t="s">
        <v>174</v>
      </c>
      <c r="AI7" t="s">
        <v>175</v>
      </c>
      <c r="AK7" t="s">
        <v>178</v>
      </c>
      <c r="AM7" t="s">
        <v>179</v>
      </c>
      <c r="AN7" t="s">
        <v>208</v>
      </c>
    </row>
    <row r="8" spans="1:43">
      <c r="A8" s="216" t="s">
        <v>265</v>
      </c>
      <c r="B8" s="222">
        <v>174.28796360160001</v>
      </c>
      <c r="C8" s="222">
        <v>163.51889552169999</v>
      </c>
      <c r="D8" s="222">
        <v>160.15289447200001</v>
      </c>
      <c r="E8" s="222">
        <v>161.77329594130001</v>
      </c>
      <c r="F8" s="222">
        <v>172.4721657167</v>
      </c>
      <c r="G8" s="222">
        <v>172.77219688869999</v>
      </c>
      <c r="H8" s="222">
        <v>173.00248352840001</v>
      </c>
      <c r="I8" s="222">
        <v>174.43402248609999</v>
      </c>
      <c r="J8" s="222">
        <v>160.26248148069999</v>
      </c>
      <c r="K8" s="222">
        <v>101.2094768071</v>
      </c>
      <c r="L8" s="200">
        <v>28.048998287100002</v>
      </c>
      <c r="M8" s="223">
        <v>1.8608144988999999</v>
      </c>
      <c r="N8" s="223">
        <v>0.97445491110000004</v>
      </c>
      <c r="O8" s="223">
        <v>0.50248439950000001</v>
      </c>
      <c r="P8" s="223">
        <v>0.44773533069999999</v>
      </c>
      <c r="Q8" s="223">
        <v>0.4375602663</v>
      </c>
      <c r="R8" s="223">
        <v>0.77249648920000002</v>
      </c>
      <c r="S8" s="200">
        <v>26.036655124199999</v>
      </c>
      <c r="T8" s="222">
        <v>96.865428961999996</v>
      </c>
      <c r="U8" s="222">
        <v>153.96428432990001</v>
      </c>
      <c r="V8" s="222">
        <v>182.35731298440001</v>
      </c>
      <c r="W8" s="222">
        <v>194.4627740434</v>
      </c>
      <c r="X8" s="222">
        <v>191.59341158480001</v>
      </c>
      <c r="Y8" s="222">
        <v>182.7920730985</v>
      </c>
      <c r="Z8" s="225"/>
      <c r="AA8" s="219">
        <v>0.4375602663</v>
      </c>
      <c r="AB8" s="219">
        <v>194.4627740434</v>
      </c>
      <c r="AC8" s="219">
        <v>95.797772352799996</v>
      </c>
      <c r="AD8" s="177">
        <f>Dat_02!E19</f>
        <v>118.24515725809999</v>
      </c>
      <c r="AE8" s="189">
        <f>Dat_02!J54</f>
        <v>0.72760159731919449</v>
      </c>
      <c r="AF8" s="187">
        <f>AE8</f>
        <v>0.72760159731919449</v>
      </c>
      <c r="AG8" s="182">
        <f>Dat_02!E7</f>
        <v>68.444690860214948</v>
      </c>
      <c r="AI8" s="187">
        <f>AD8/AG8-1</f>
        <v>0.72760159731881724</v>
      </c>
      <c r="AK8" s="182">
        <f>Dat_02!E18</f>
        <v>104.75</v>
      </c>
      <c r="AM8" s="187">
        <f>AD8/AK8-1</f>
        <v>0.12883205019665867</v>
      </c>
      <c r="AN8" s="62">
        <f>AB8-AA8</f>
        <v>194.02521377709999</v>
      </c>
      <c r="AQ8" s="116">
        <v>1</v>
      </c>
    </row>
    <row r="9" spans="1:43">
      <c r="A9" s="216" t="s">
        <v>266</v>
      </c>
      <c r="B9" s="222">
        <v>177.6916623294</v>
      </c>
      <c r="C9" s="222">
        <v>173.56017909260001</v>
      </c>
      <c r="D9" s="222">
        <v>172.94857541939999</v>
      </c>
      <c r="E9" s="222">
        <v>170.8982796324</v>
      </c>
      <c r="F9" s="222">
        <v>168.01551793460001</v>
      </c>
      <c r="G9" s="222">
        <v>170.18873725169999</v>
      </c>
      <c r="H9" s="222">
        <v>170.99208604489999</v>
      </c>
      <c r="I9" s="222">
        <v>180.83975992129999</v>
      </c>
      <c r="J9" s="222">
        <v>134.88129032259999</v>
      </c>
      <c r="K9" s="222">
        <v>46.130361597399997</v>
      </c>
      <c r="L9" s="223">
        <v>0.3991986978</v>
      </c>
      <c r="M9" s="223">
        <v>-2.76076549E-2</v>
      </c>
      <c r="N9" s="223">
        <v>-0.1075153494</v>
      </c>
      <c r="O9" s="223">
        <v>-0.21702654120000001</v>
      </c>
      <c r="P9" s="223">
        <v>-8.4974179600000005E-2</v>
      </c>
      <c r="Q9" s="223">
        <v>-1.0022955E-2</v>
      </c>
      <c r="R9" s="223">
        <v>2.5735299000000001E-3</v>
      </c>
      <c r="S9" s="223">
        <v>2.0827567335000001</v>
      </c>
      <c r="T9" s="222">
        <v>50.357710914400002</v>
      </c>
      <c r="U9" s="222">
        <v>134.3488435939</v>
      </c>
      <c r="V9" s="222">
        <v>183.74481495570001</v>
      </c>
      <c r="W9" s="222">
        <v>198.56592267950001</v>
      </c>
      <c r="X9" s="222">
        <v>205.22897730209999</v>
      </c>
      <c r="Y9" s="222">
        <v>198.51017524849999</v>
      </c>
      <c r="Z9" s="225"/>
      <c r="AA9" s="219">
        <v>-0.21702654120000001</v>
      </c>
      <c r="AB9" s="219">
        <v>205.22897730209999</v>
      </c>
      <c r="AC9" s="219">
        <v>90.042371259099994</v>
      </c>
      <c r="AD9" s="62"/>
      <c r="AN9" s="62">
        <f t="shared" ref="AN9:AN37" si="0">AB9-AA9</f>
        <v>205.44600384329999</v>
      </c>
      <c r="AQ9" s="116">
        <v>2</v>
      </c>
    </row>
    <row r="10" spans="1:43">
      <c r="A10" s="216" t="s">
        <v>267</v>
      </c>
      <c r="B10" s="222">
        <v>182.0533779143</v>
      </c>
      <c r="C10" s="222">
        <v>177.2146754892</v>
      </c>
      <c r="D10" s="222">
        <v>172.92608093889999</v>
      </c>
      <c r="E10" s="222">
        <v>164.99985503190001</v>
      </c>
      <c r="F10" s="222">
        <v>163.0365417223</v>
      </c>
      <c r="G10" s="222">
        <v>172.7050085612</v>
      </c>
      <c r="H10" s="222">
        <v>182.9105013201</v>
      </c>
      <c r="I10" s="222">
        <v>184.447320211</v>
      </c>
      <c r="J10" s="222">
        <v>175.63737831809999</v>
      </c>
      <c r="K10" s="222">
        <v>173.09516436589999</v>
      </c>
      <c r="L10" s="222">
        <v>149.8084637053</v>
      </c>
      <c r="M10" s="222">
        <v>106.8793606218</v>
      </c>
      <c r="N10" s="222">
        <v>93.135631372500001</v>
      </c>
      <c r="O10" s="222">
        <v>83.698664733900003</v>
      </c>
      <c r="P10" s="222">
        <v>80.100355331599999</v>
      </c>
      <c r="Q10" s="222">
        <v>81.978560711599997</v>
      </c>
      <c r="R10" s="222">
        <v>95.4181815468</v>
      </c>
      <c r="S10" s="222">
        <v>110.125415988</v>
      </c>
      <c r="T10" s="222">
        <v>137.61486129990001</v>
      </c>
      <c r="U10" s="222">
        <v>168.56341181369999</v>
      </c>
      <c r="V10" s="222">
        <v>187.00322693859999</v>
      </c>
      <c r="W10" s="222">
        <v>213.0531988386</v>
      </c>
      <c r="X10" s="222">
        <v>197.69214348610001</v>
      </c>
      <c r="Y10" s="222">
        <v>189.02006899560001</v>
      </c>
      <c r="Z10" s="225"/>
      <c r="AA10" s="219">
        <v>80.100355331599999</v>
      </c>
      <c r="AB10" s="219">
        <v>213.0531988386</v>
      </c>
      <c r="AC10" s="219">
        <v>146.4991882464</v>
      </c>
      <c r="AN10" s="62">
        <f t="shared" si="0"/>
        <v>132.95284350700001</v>
      </c>
      <c r="AQ10" s="116">
        <v>3</v>
      </c>
    </row>
    <row r="11" spans="1:43">
      <c r="A11" s="216" t="s">
        <v>268</v>
      </c>
      <c r="B11" s="222">
        <v>184.7790452783</v>
      </c>
      <c r="C11" s="222">
        <v>183.08430422009999</v>
      </c>
      <c r="D11" s="222">
        <v>180.4963649602</v>
      </c>
      <c r="E11" s="222">
        <v>166.67090347409999</v>
      </c>
      <c r="F11" s="222">
        <v>165.13744225069999</v>
      </c>
      <c r="G11" s="222">
        <v>172.41009239260001</v>
      </c>
      <c r="H11" s="222">
        <v>183.22080494069999</v>
      </c>
      <c r="I11" s="222">
        <v>184.84361810429999</v>
      </c>
      <c r="J11" s="222">
        <v>174.53090260990001</v>
      </c>
      <c r="K11" s="222">
        <v>145.3792003419</v>
      </c>
      <c r="L11" s="222">
        <v>106.7885157919</v>
      </c>
      <c r="M11" s="222">
        <v>97.631825376199998</v>
      </c>
      <c r="N11" s="222">
        <v>87.299068577</v>
      </c>
      <c r="O11" s="222">
        <v>76.463422385900003</v>
      </c>
      <c r="P11" s="222">
        <v>84.074685667500006</v>
      </c>
      <c r="Q11" s="222">
        <v>82.721559148099999</v>
      </c>
      <c r="R11" s="222">
        <v>77.991830750800005</v>
      </c>
      <c r="S11" s="222">
        <v>99.026604664600001</v>
      </c>
      <c r="T11" s="222">
        <v>120.8481429627</v>
      </c>
      <c r="U11" s="222">
        <v>157.31403912600001</v>
      </c>
      <c r="V11" s="222">
        <v>188.9379723019</v>
      </c>
      <c r="W11" s="222">
        <v>208.45863400210001</v>
      </c>
      <c r="X11" s="222">
        <v>196.13770121269999</v>
      </c>
      <c r="Y11" s="222">
        <v>185.5274845438</v>
      </c>
      <c r="Z11" s="225"/>
      <c r="AA11" s="219">
        <v>76.463422385900003</v>
      </c>
      <c r="AB11" s="219">
        <v>208.45863400210001</v>
      </c>
      <c r="AC11" s="219">
        <v>139.64350684249999</v>
      </c>
      <c r="AN11" s="62">
        <f t="shared" si="0"/>
        <v>131.99521161620001</v>
      </c>
      <c r="AQ11" s="116">
        <v>4</v>
      </c>
    </row>
    <row r="12" spans="1:43">
      <c r="A12" s="216" t="s">
        <v>269</v>
      </c>
      <c r="B12" s="222">
        <v>183.5450958202</v>
      </c>
      <c r="C12" s="222">
        <v>173.93433272109999</v>
      </c>
      <c r="D12" s="222">
        <v>164.76423219739999</v>
      </c>
      <c r="E12" s="222">
        <v>164.9691664023</v>
      </c>
      <c r="F12" s="222">
        <v>165.1586802951</v>
      </c>
      <c r="G12" s="222">
        <v>172.96124751420001</v>
      </c>
      <c r="H12" s="222">
        <v>179.3240549763</v>
      </c>
      <c r="I12" s="222">
        <v>185.81971731549999</v>
      </c>
      <c r="J12" s="222">
        <v>164.6371730852</v>
      </c>
      <c r="K12" s="222">
        <v>125.9025968354</v>
      </c>
      <c r="L12" s="222">
        <v>63.332583391</v>
      </c>
      <c r="M12" s="200">
        <v>33.951469561300001</v>
      </c>
      <c r="N12" s="223">
        <v>10.3463271602</v>
      </c>
      <c r="O12" s="223">
        <v>11.9305837941</v>
      </c>
      <c r="P12" s="223">
        <v>7.7286688363999998</v>
      </c>
      <c r="Q12" s="223">
        <v>4.5023246744999996</v>
      </c>
      <c r="R12" s="223">
        <v>11.697298522100001</v>
      </c>
      <c r="S12" s="222">
        <v>55.962046393400001</v>
      </c>
      <c r="T12" s="222">
        <v>97.999595161100004</v>
      </c>
      <c r="U12" s="222">
        <v>139.17683657399999</v>
      </c>
      <c r="V12" s="222">
        <v>170.06254970840001</v>
      </c>
      <c r="W12" s="222">
        <v>194.6915872017</v>
      </c>
      <c r="X12" s="222">
        <v>186.92830018020001</v>
      </c>
      <c r="Y12" s="222">
        <v>179.63403854180001</v>
      </c>
      <c r="Z12" s="225"/>
      <c r="AA12" s="219">
        <v>4.5023246744999996</v>
      </c>
      <c r="AB12" s="219">
        <v>194.6915872017</v>
      </c>
      <c r="AC12" s="219">
        <v>106.2550668544</v>
      </c>
      <c r="AN12" s="62">
        <f t="shared" si="0"/>
        <v>190.18926252720001</v>
      </c>
      <c r="AQ12" s="116">
        <v>5</v>
      </c>
    </row>
    <row r="13" spans="1:43">
      <c r="A13" s="216" t="s">
        <v>270</v>
      </c>
      <c r="B13" s="222">
        <v>167.31461143089999</v>
      </c>
      <c r="C13" s="222">
        <v>164.1629220058</v>
      </c>
      <c r="D13" s="222">
        <v>160.9088373454</v>
      </c>
      <c r="E13" s="222">
        <v>155.95863630880001</v>
      </c>
      <c r="F13" s="222">
        <v>155.06</v>
      </c>
      <c r="G13" s="222">
        <v>159.32525718900001</v>
      </c>
      <c r="H13" s="222">
        <v>165.24985677640001</v>
      </c>
      <c r="I13" s="222">
        <v>170.4236371396</v>
      </c>
      <c r="J13" s="222">
        <v>159.3350012553</v>
      </c>
      <c r="K13" s="222">
        <v>95.496279935800004</v>
      </c>
      <c r="L13" s="200">
        <v>31.729649027099999</v>
      </c>
      <c r="M13" s="223">
        <v>4.2376475493000001</v>
      </c>
      <c r="N13" s="223">
        <v>5.1355259852000001</v>
      </c>
      <c r="O13" s="223">
        <v>1.8293724952999999</v>
      </c>
      <c r="P13" s="223">
        <v>3.0101281003999998</v>
      </c>
      <c r="Q13" s="223">
        <v>2.2713277989999998</v>
      </c>
      <c r="R13" s="223">
        <v>3.5698826556999999</v>
      </c>
      <c r="S13" s="222">
        <v>45.511979230999998</v>
      </c>
      <c r="T13" s="222">
        <v>93.684802310099997</v>
      </c>
      <c r="U13" s="222">
        <v>142.53338185909999</v>
      </c>
      <c r="V13" s="222">
        <v>171.5861610156</v>
      </c>
      <c r="W13" s="222">
        <v>206.3634407429</v>
      </c>
      <c r="X13" s="222">
        <v>186.57590663670001</v>
      </c>
      <c r="Y13" s="222">
        <v>172.00409553009999</v>
      </c>
      <c r="Z13" s="225"/>
      <c r="AA13" s="219">
        <v>1.8293724952999999</v>
      </c>
      <c r="AB13" s="219">
        <v>206.3634407429</v>
      </c>
      <c r="AC13" s="219">
        <v>96.260461631300004</v>
      </c>
      <c r="AN13" s="62">
        <f t="shared" si="0"/>
        <v>204.5340682476</v>
      </c>
      <c r="AQ13" s="116">
        <v>6</v>
      </c>
    </row>
    <row r="14" spans="1:43">
      <c r="A14" s="216" t="s">
        <v>271</v>
      </c>
      <c r="B14" s="222">
        <v>163.27413685080001</v>
      </c>
      <c r="C14" s="222">
        <v>158.02087337259999</v>
      </c>
      <c r="D14" s="222">
        <v>157.5307725294</v>
      </c>
      <c r="E14" s="222">
        <v>157.13164854019999</v>
      </c>
      <c r="F14" s="222">
        <v>156.59947395820001</v>
      </c>
      <c r="G14" s="222">
        <v>157.36442439219999</v>
      </c>
      <c r="H14" s="222">
        <v>162.6363762391</v>
      </c>
      <c r="I14" s="222">
        <v>176.9572767276</v>
      </c>
      <c r="J14" s="222">
        <v>155.53576040159999</v>
      </c>
      <c r="K14" s="222">
        <v>121.05551791320001</v>
      </c>
      <c r="L14" s="222">
        <v>65.5227791306</v>
      </c>
      <c r="M14" s="200">
        <v>30.737089432299999</v>
      </c>
      <c r="N14" s="223">
        <v>20.436339994600001</v>
      </c>
      <c r="O14" s="223">
        <v>7.7155818352000001</v>
      </c>
      <c r="P14" s="223">
        <v>14.491913746</v>
      </c>
      <c r="Q14" s="223">
        <v>17.986782463200001</v>
      </c>
      <c r="R14" s="200">
        <v>28.278623613299999</v>
      </c>
      <c r="S14" s="222">
        <v>81.539732023799999</v>
      </c>
      <c r="T14" s="222">
        <v>120.62637641649999</v>
      </c>
      <c r="U14" s="222">
        <v>150.07755742649999</v>
      </c>
      <c r="V14" s="222">
        <v>174.14906640250001</v>
      </c>
      <c r="W14" s="222">
        <v>215.14121588309999</v>
      </c>
      <c r="X14" s="222">
        <v>185.21026888860001</v>
      </c>
      <c r="Y14" s="222">
        <v>175.424443846</v>
      </c>
      <c r="Z14" s="225"/>
      <c r="AA14" s="219">
        <v>7.7155818352000001</v>
      </c>
      <c r="AB14" s="219">
        <v>215.14121588309999</v>
      </c>
      <c r="AC14" s="219">
        <v>108.672210599</v>
      </c>
      <c r="AN14" s="62">
        <f t="shared" si="0"/>
        <v>207.42563404789999</v>
      </c>
      <c r="AQ14" s="116">
        <v>7</v>
      </c>
    </row>
    <row r="15" spans="1:43">
      <c r="A15" s="216" t="s">
        <v>272</v>
      </c>
      <c r="B15" s="222">
        <v>181.2676641406</v>
      </c>
      <c r="C15" s="222">
        <v>174.13667789019999</v>
      </c>
      <c r="D15" s="222">
        <v>170.81950200630001</v>
      </c>
      <c r="E15" s="222">
        <v>166.6091331522</v>
      </c>
      <c r="F15" s="222">
        <v>165.03523299770001</v>
      </c>
      <c r="G15" s="222">
        <v>164.71843754459999</v>
      </c>
      <c r="H15" s="222">
        <v>171.82763068720001</v>
      </c>
      <c r="I15" s="222">
        <v>173.59084454059999</v>
      </c>
      <c r="J15" s="222">
        <v>166.26897612319999</v>
      </c>
      <c r="K15" s="222">
        <v>77.090823554099998</v>
      </c>
      <c r="L15" s="223">
        <v>4.5848670855</v>
      </c>
      <c r="M15" s="223">
        <v>0.12782212709999999</v>
      </c>
      <c r="N15" s="224">
        <v>0</v>
      </c>
      <c r="O15" s="224">
        <v>0</v>
      </c>
      <c r="P15" s="224">
        <v>0</v>
      </c>
      <c r="Q15" s="224">
        <v>0</v>
      </c>
      <c r="R15" s="223">
        <v>2.5197018999999999E-3</v>
      </c>
      <c r="S15" s="223">
        <v>20.490775931200002</v>
      </c>
      <c r="T15" s="222">
        <v>86.943162194899998</v>
      </c>
      <c r="U15" s="222">
        <v>142.32779294049999</v>
      </c>
      <c r="V15" s="222">
        <v>175.92226157729999</v>
      </c>
      <c r="W15" s="222">
        <v>187.99764379000001</v>
      </c>
      <c r="X15" s="222">
        <v>189.49297514060001</v>
      </c>
      <c r="Y15" s="222">
        <v>181.7052856912</v>
      </c>
      <c r="Z15" s="225"/>
      <c r="AA15" s="219">
        <v>0</v>
      </c>
      <c r="AB15" s="219">
        <v>189.49297514060001</v>
      </c>
      <c r="AC15" s="219">
        <v>95.727147237899999</v>
      </c>
      <c r="AN15" s="62">
        <f t="shared" si="0"/>
        <v>189.49297514060001</v>
      </c>
      <c r="AQ15" s="116">
        <v>8</v>
      </c>
    </row>
    <row r="16" spans="1:43">
      <c r="A16" s="216" t="s">
        <v>273</v>
      </c>
      <c r="B16" s="222">
        <v>170.29859089230001</v>
      </c>
      <c r="C16" s="222">
        <v>161.94148674089999</v>
      </c>
      <c r="D16" s="222">
        <v>160.36493557079999</v>
      </c>
      <c r="E16" s="222">
        <v>158.7980043474</v>
      </c>
      <c r="F16" s="222">
        <v>155.8330929848</v>
      </c>
      <c r="G16" s="222">
        <v>156.30839721429999</v>
      </c>
      <c r="H16" s="222">
        <v>157.4507221524</v>
      </c>
      <c r="I16" s="222">
        <v>156.54124922419999</v>
      </c>
      <c r="J16" s="222">
        <v>118.8940539983</v>
      </c>
      <c r="K16" s="200">
        <v>25.2564394433</v>
      </c>
      <c r="L16" s="223">
        <v>0.323815356</v>
      </c>
      <c r="M16" s="223">
        <v>-1.5040286599999999E-2</v>
      </c>
      <c r="N16" s="223">
        <v>-4.2670791700000002E-2</v>
      </c>
      <c r="O16" s="223">
        <v>-0.1050321585</v>
      </c>
      <c r="P16" s="223">
        <v>-9.7498820200000003E-2</v>
      </c>
      <c r="Q16" s="223">
        <v>-9.9560520999999996E-3</v>
      </c>
      <c r="R16" s="223">
        <v>0.2171998959</v>
      </c>
      <c r="S16" s="223">
        <v>2.2647070598000001</v>
      </c>
      <c r="T16" s="200">
        <v>43.651531022299999</v>
      </c>
      <c r="U16" s="222">
        <v>108.98512064160001</v>
      </c>
      <c r="V16" s="222">
        <v>162.85376523400001</v>
      </c>
      <c r="W16" s="222">
        <v>175.60603140480001</v>
      </c>
      <c r="X16" s="222">
        <v>175.48073427899999</v>
      </c>
      <c r="Y16" s="222">
        <v>168.52065591019999</v>
      </c>
      <c r="Z16" s="225"/>
      <c r="AA16" s="219">
        <v>-0.1050321585</v>
      </c>
      <c r="AB16" s="219">
        <v>175.60603140480001</v>
      </c>
      <c r="AC16" s="219">
        <v>80.7267515084</v>
      </c>
      <c r="AN16" s="62">
        <f t="shared" si="0"/>
        <v>175.7110635633</v>
      </c>
      <c r="AQ16" s="116">
        <v>9</v>
      </c>
    </row>
    <row r="17" spans="1:43">
      <c r="A17" s="216" t="s">
        <v>274</v>
      </c>
      <c r="B17" s="222">
        <v>163.39213990990001</v>
      </c>
      <c r="C17" s="222">
        <v>160.9594919214</v>
      </c>
      <c r="D17" s="222">
        <v>161.13796239690001</v>
      </c>
      <c r="E17" s="222">
        <v>158.31268827509999</v>
      </c>
      <c r="F17" s="222">
        <v>152.7935249505</v>
      </c>
      <c r="G17" s="222">
        <v>157.4873167826</v>
      </c>
      <c r="H17" s="222">
        <v>167.77844435470001</v>
      </c>
      <c r="I17" s="222">
        <v>180.53501446269999</v>
      </c>
      <c r="J17" s="222">
        <v>168.9655206553</v>
      </c>
      <c r="K17" s="222">
        <v>133.89751514209999</v>
      </c>
      <c r="L17" s="222">
        <v>89.353265184799994</v>
      </c>
      <c r="M17" s="222">
        <v>66.486799498600007</v>
      </c>
      <c r="N17" s="200">
        <v>37.686628090799999</v>
      </c>
      <c r="O17" s="200">
        <v>30.038316919300001</v>
      </c>
      <c r="P17" s="200">
        <v>34.047621716999998</v>
      </c>
      <c r="Q17" s="223">
        <v>23.779136980600001</v>
      </c>
      <c r="R17" s="200">
        <v>38.113943351099998</v>
      </c>
      <c r="S17" s="222">
        <v>83.333347407000005</v>
      </c>
      <c r="T17" s="222">
        <v>99.4974407765</v>
      </c>
      <c r="U17" s="222">
        <v>134.39976557520001</v>
      </c>
      <c r="V17" s="222">
        <v>187.89789067199999</v>
      </c>
      <c r="W17" s="222">
        <v>223.36426500850001</v>
      </c>
      <c r="X17" s="222">
        <v>200.52459691070001</v>
      </c>
      <c r="Y17" s="222">
        <v>185.11304637129999</v>
      </c>
      <c r="Z17" s="225"/>
      <c r="AA17" s="219">
        <v>23.779136980600001</v>
      </c>
      <c r="AB17" s="219">
        <v>223.36426500850001</v>
      </c>
      <c r="AC17" s="219">
        <v>116.4802002567</v>
      </c>
      <c r="AN17" s="62">
        <f t="shared" si="0"/>
        <v>199.5851280279</v>
      </c>
      <c r="AQ17" s="116">
        <v>10</v>
      </c>
    </row>
    <row r="18" spans="1:43">
      <c r="A18" s="216" t="s">
        <v>275</v>
      </c>
      <c r="B18" s="222">
        <v>178.36900140770001</v>
      </c>
      <c r="C18" s="222">
        <v>169.08785540389999</v>
      </c>
      <c r="D18" s="222">
        <v>168.52881430389999</v>
      </c>
      <c r="E18" s="222">
        <v>168.7263297117</v>
      </c>
      <c r="F18" s="222">
        <v>168.2550646599</v>
      </c>
      <c r="G18" s="222">
        <v>169.83850571190001</v>
      </c>
      <c r="H18" s="222">
        <v>173.99136558250001</v>
      </c>
      <c r="I18" s="222">
        <v>180.03477152150001</v>
      </c>
      <c r="J18" s="222">
        <v>156.13920853869999</v>
      </c>
      <c r="K18" s="222">
        <v>121.796262497</v>
      </c>
      <c r="L18" s="222">
        <v>63.496579769699999</v>
      </c>
      <c r="M18" s="200">
        <v>27.355062889500001</v>
      </c>
      <c r="N18" s="223">
        <v>14.827938012000001</v>
      </c>
      <c r="O18" s="223">
        <v>21.921958597900002</v>
      </c>
      <c r="P18" s="200">
        <v>38.7424974965</v>
      </c>
      <c r="Q18" s="200">
        <v>37.913777551499997</v>
      </c>
      <c r="R18" s="222">
        <v>57.990889131599999</v>
      </c>
      <c r="S18" s="222">
        <v>96.510025501599998</v>
      </c>
      <c r="T18" s="222">
        <v>119.0122724598</v>
      </c>
      <c r="U18" s="222">
        <v>155.2562922729</v>
      </c>
      <c r="V18" s="222">
        <v>191.0756224781</v>
      </c>
      <c r="W18" s="222">
        <v>231.01023176359999</v>
      </c>
      <c r="X18" s="222">
        <v>195.62963660930001</v>
      </c>
      <c r="Y18" s="222">
        <v>182.52075699229999</v>
      </c>
      <c r="Z18" s="225"/>
      <c r="AA18" s="219">
        <v>14.827938012000001</v>
      </c>
      <c r="AB18" s="219">
        <v>231.01023176359999</v>
      </c>
      <c r="AC18" s="219">
        <v>117.3206882465</v>
      </c>
      <c r="AN18" s="62">
        <f t="shared" si="0"/>
        <v>216.18229375159999</v>
      </c>
      <c r="AQ18" s="116">
        <v>11</v>
      </c>
    </row>
    <row r="19" spans="1:43">
      <c r="A19" s="216" t="s">
        <v>276</v>
      </c>
      <c r="B19" s="222">
        <v>181.36441476499999</v>
      </c>
      <c r="C19" s="222">
        <v>170.3163352576</v>
      </c>
      <c r="D19" s="222">
        <v>178.19614428689999</v>
      </c>
      <c r="E19" s="222">
        <v>179.32541780950001</v>
      </c>
      <c r="F19" s="222">
        <v>179.8546987057</v>
      </c>
      <c r="G19" s="222">
        <v>169.4182581437</v>
      </c>
      <c r="H19" s="222">
        <v>173.29834991679999</v>
      </c>
      <c r="I19" s="222">
        <v>185.58824265839999</v>
      </c>
      <c r="J19" s="222">
        <v>185.29603977389999</v>
      </c>
      <c r="K19" s="222">
        <v>136.33315439840001</v>
      </c>
      <c r="L19" s="222">
        <v>81.350828463699997</v>
      </c>
      <c r="M19" s="200">
        <v>36.638596992300002</v>
      </c>
      <c r="N19" s="200">
        <v>25.7410939341</v>
      </c>
      <c r="O19" s="223">
        <v>16.333896703899999</v>
      </c>
      <c r="P19" s="200">
        <v>36.4185087372</v>
      </c>
      <c r="Q19" s="200">
        <v>42.522976633100001</v>
      </c>
      <c r="R19" s="222">
        <v>68.238629950399996</v>
      </c>
      <c r="S19" s="222">
        <v>93.820263080100005</v>
      </c>
      <c r="T19" s="222">
        <v>113.6663017293</v>
      </c>
      <c r="U19" s="222">
        <v>159.03756516519999</v>
      </c>
      <c r="V19" s="222">
        <v>224.61743506260001</v>
      </c>
      <c r="W19" s="222">
        <v>230.1213465607</v>
      </c>
      <c r="X19" s="222">
        <v>193.58255200970001</v>
      </c>
      <c r="Y19" s="222">
        <v>183.04386190560001</v>
      </c>
      <c r="Z19" s="225"/>
      <c r="AA19" s="219">
        <v>16.333896703899999</v>
      </c>
      <c r="AB19" s="219">
        <v>230.1213465607</v>
      </c>
      <c r="AC19" s="219">
        <v>125.22120875429999</v>
      </c>
      <c r="AN19" s="62">
        <f t="shared" si="0"/>
        <v>213.78744985680001</v>
      </c>
      <c r="AQ19" s="116">
        <v>12</v>
      </c>
    </row>
    <row r="20" spans="1:43">
      <c r="A20" s="216" t="s">
        <v>277</v>
      </c>
      <c r="B20" s="222">
        <v>186.99338377110001</v>
      </c>
      <c r="C20" s="222">
        <v>176.30726089410001</v>
      </c>
      <c r="D20" s="222">
        <v>184.20081925989999</v>
      </c>
      <c r="E20" s="222">
        <v>182.3776416051</v>
      </c>
      <c r="F20" s="222">
        <v>183.63448478870001</v>
      </c>
      <c r="G20" s="222">
        <v>172.84636781360001</v>
      </c>
      <c r="H20" s="222">
        <v>186.80165871809999</v>
      </c>
      <c r="I20" s="222">
        <v>191.75934391280001</v>
      </c>
      <c r="J20" s="222">
        <v>179.79777575599999</v>
      </c>
      <c r="K20" s="222">
        <v>136.3562805981</v>
      </c>
      <c r="L20" s="222">
        <v>87.712812783299995</v>
      </c>
      <c r="M20" s="200">
        <v>38.822191532799998</v>
      </c>
      <c r="N20" s="200">
        <v>29.065465920800001</v>
      </c>
      <c r="O20" s="200">
        <v>32.152434879499999</v>
      </c>
      <c r="P20" s="200">
        <v>38.880038533499999</v>
      </c>
      <c r="Q20" s="200">
        <v>39.069985982299997</v>
      </c>
      <c r="R20" s="222">
        <v>63.335583028899997</v>
      </c>
      <c r="S20" s="222">
        <v>94.738052063699996</v>
      </c>
      <c r="T20" s="222">
        <v>113.4204962461</v>
      </c>
      <c r="U20" s="222">
        <v>158.64826234220001</v>
      </c>
      <c r="V20" s="222">
        <v>209.00942037479999</v>
      </c>
      <c r="W20" s="222">
        <v>244.3945170943</v>
      </c>
      <c r="X20" s="222">
        <v>213.67510179320001</v>
      </c>
      <c r="Y20" s="222">
        <v>188.5378889916</v>
      </c>
      <c r="Z20" s="225"/>
      <c r="AA20" s="219">
        <v>29.065465920800001</v>
      </c>
      <c r="AB20" s="219">
        <v>244.3945170943</v>
      </c>
      <c r="AC20" s="219">
        <v>130.1705923616</v>
      </c>
      <c r="AN20" s="62">
        <f t="shared" si="0"/>
        <v>215.32905117350001</v>
      </c>
      <c r="AQ20" s="116">
        <v>13</v>
      </c>
    </row>
    <row r="21" spans="1:43">
      <c r="A21" s="216" t="s">
        <v>278</v>
      </c>
      <c r="B21" s="222">
        <v>181.86108828690001</v>
      </c>
      <c r="C21" s="222">
        <v>179.43907666129999</v>
      </c>
      <c r="D21" s="222">
        <v>182.4419324664</v>
      </c>
      <c r="E21" s="222">
        <v>175</v>
      </c>
      <c r="F21" s="222">
        <v>170.79376981780001</v>
      </c>
      <c r="G21" s="222">
        <v>171.591497672</v>
      </c>
      <c r="H21" s="222">
        <v>174.13237625830001</v>
      </c>
      <c r="I21" s="222">
        <v>181.07939883500001</v>
      </c>
      <c r="J21" s="222">
        <v>155.9943231421</v>
      </c>
      <c r="K21" s="222">
        <v>137.31180560679999</v>
      </c>
      <c r="L21" s="222">
        <v>98.4859196779</v>
      </c>
      <c r="M21" s="222">
        <v>49.007353072199997</v>
      </c>
      <c r="N21" s="200">
        <v>42.195738952799999</v>
      </c>
      <c r="O21" s="200">
        <v>33.395696375500002</v>
      </c>
      <c r="P21" s="222">
        <v>50.585830823099997</v>
      </c>
      <c r="Q21" s="222">
        <v>72.010035248400001</v>
      </c>
      <c r="R21" s="222">
        <v>90.199906466900003</v>
      </c>
      <c r="S21" s="222">
        <v>109.9826532284</v>
      </c>
      <c r="T21" s="222">
        <v>132.6666119761</v>
      </c>
      <c r="U21" s="222">
        <v>161.53073892149999</v>
      </c>
      <c r="V21" s="222">
        <v>202.5999417589</v>
      </c>
      <c r="W21" s="222">
        <v>231.96481639530001</v>
      </c>
      <c r="X21" s="222">
        <v>198.11923053999999</v>
      </c>
      <c r="Y21" s="222">
        <v>177.6152370751</v>
      </c>
      <c r="Z21" s="225"/>
      <c r="AA21" s="219">
        <v>33.395696375500002</v>
      </c>
      <c r="AB21" s="219">
        <v>231.96481639530001</v>
      </c>
      <c r="AC21" s="219">
        <v>133.14363613699999</v>
      </c>
      <c r="AN21" s="62">
        <f t="shared" si="0"/>
        <v>198.56912001980001</v>
      </c>
      <c r="AQ21" s="116">
        <v>14</v>
      </c>
    </row>
    <row r="22" spans="1:43">
      <c r="A22" s="216" t="s">
        <v>279</v>
      </c>
      <c r="B22" s="222">
        <v>179.05391036029999</v>
      </c>
      <c r="C22" s="222">
        <v>173.556664345</v>
      </c>
      <c r="D22" s="222">
        <v>178.710794548</v>
      </c>
      <c r="E22" s="222">
        <v>163.4583374227</v>
      </c>
      <c r="F22" s="222">
        <v>154.518235879</v>
      </c>
      <c r="G22" s="222">
        <v>153.779104641</v>
      </c>
      <c r="H22" s="222">
        <v>185.3564563544</v>
      </c>
      <c r="I22" s="222">
        <v>178.32825327309999</v>
      </c>
      <c r="J22" s="222">
        <v>145.0170638779</v>
      </c>
      <c r="K22" s="222">
        <v>100.5061420008</v>
      </c>
      <c r="L22" s="200">
        <v>27.078879673799999</v>
      </c>
      <c r="M22" s="223">
        <v>1.3098106071</v>
      </c>
      <c r="N22" s="223">
        <v>0.56809386049999999</v>
      </c>
      <c r="O22" s="223">
        <v>0.9832114676</v>
      </c>
      <c r="P22" s="223">
        <v>1.08</v>
      </c>
      <c r="Q22" s="223">
        <v>1.4344920226</v>
      </c>
      <c r="R22" s="223">
        <v>5.4493276986000003</v>
      </c>
      <c r="S22" s="222">
        <v>71.851609259200004</v>
      </c>
      <c r="T22" s="222">
        <v>122.6930476273</v>
      </c>
      <c r="U22" s="222">
        <v>176.28678762499999</v>
      </c>
      <c r="V22" s="222">
        <v>185.19949818090001</v>
      </c>
      <c r="W22" s="222">
        <v>203.4462017928</v>
      </c>
      <c r="X22" s="222">
        <v>196.03826826720001</v>
      </c>
      <c r="Y22" s="222">
        <v>186.03913038330001</v>
      </c>
      <c r="Z22" s="225"/>
      <c r="AA22" s="219">
        <v>0.56809386049999999</v>
      </c>
      <c r="AB22" s="219">
        <v>203.4462017928</v>
      </c>
      <c r="AC22" s="219">
        <v>102.5489149357</v>
      </c>
      <c r="AN22" s="62">
        <f t="shared" si="0"/>
        <v>202.8781079323</v>
      </c>
      <c r="AQ22" s="116">
        <v>15</v>
      </c>
    </row>
    <row r="23" spans="1:43">
      <c r="A23" s="216" t="s">
        <v>280</v>
      </c>
      <c r="B23" s="222">
        <v>191.57164057899999</v>
      </c>
      <c r="C23" s="222">
        <v>181.52143333980001</v>
      </c>
      <c r="D23" s="222">
        <v>178.71428623419999</v>
      </c>
      <c r="E23" s="222">
        <v>181.97519421019999</v>
      </c>
      <c r="F23" s="222">
        <v>167.24352468609999</v>
      </c>
      <c r="G23" s="222">
        <v>163.1958982756</v>
      </c>
      <c r="H23" s="222">
        <v>158.995728789</v>
      </c>
      <c r="I23" s="222">
        <v>158.50878516540001</v>
      </c>
      <c r="J23" s="222">
        <v>154.6893811619</v>
      </c>
      <c r="K23" s="222">
        <v>94.833872018999998</v>
      </c>
      <c r="L23" s="223">
        <v>11.231402470600001</v>
      </c>
      <c r="M23" s="223">
        <v>0.12943089220000001</v>
      </c>
      <c r="N23" s="224">
        <v>0</v>
      </c>
      <c r="O23" s="223">
        <v>2.5265719999999999E-3</v>
      </c>
      <c r="P23" s="223">
        <v>0.4925746882</v>
      </c>
      <c r="Q23" s="223">
        <v>0.85266703509999997</v>
      </c>
      <c r="R23" s="223">
        <v>2.5938773038999998</v>
      </c>
      <c r="S23" s="222">
        <v>48.6454673693</v>
      </c>
      <c r="T23" s="222">
        <v>102.24769542200001</v>
      </c>
      <c r="U23" s="222">
        <v>170.2192184052</v>
      </c>
      <c r="V23" s="222">
        <v>200.13963357329999</v>
      </c>
      <c r="W23" s="222">
        <v>211.5327906368</v>
      </c>
      <c r="X23" s="222">
        <v>206.553108202</v>
      </c>
      <c r="Y23" s="222">
        <v>192.80459767369999</v>
      </c>
      <c r="Z23" s="225"/>
      <c r="AA23" s="219">
        <v>0</v>
      </c>
      <c r="AB23" s="219">
        <v>211.5327906368</v>
      </c>
      <c r="AC23" s="219">
        <v>101.7005967987</v>
      </c>
      <c r="AN23" s="62">
        <f t="shared" si="0"/>
        <v>211.5327906368</v>
      </c>
      <c r="AQ23" s="116">
        <v>16</v>
      </c>
    </row>
    <row r="24" spans="1:43">
      <c r="A24" s="216" t="s">
        <v>281</v>
      </c>
      <c r="B24" s="222">
        <v>195.86942894489999</v>
      </c>
      <c r="C24" s="222">
        <v>181.90559276420001</v>
      </c>
      <c r="D24" s="222">
        <v>187.47742581209999</v>
      </c>
      <c r="E24" s="222">
        <v>186.31819823719999</v>
      </c>
      <c r="F24" s="222">
        <v>183.9211950326</v>
      </c>
      <c r="G24" s="222">
        <v>187.07924787510001</v>
      </c>
      <c r="H24" s="222">
        <v>197.49400047509999</v>
      </c>
      <c r="I24" s="222">
        <v>205.0679555035</v>
      </c>
      <c r="J24" s="222">
        <v>207.5290504859</v>
      </c>
      <c r="K24" s="222">
        <v>172.72587057480001</v>
      </c>
      <c r="L24" s="222">
        <v>105.46473673129999</v>
      </c>
      <c r="M24" s="222">
        <v>74.631681883900001</v>
      </c>
      <c r="N24" s="200">
        <v>41.993817596500001</v>
      </c>
      <c r="O24" s="222">
        <v>53.633677009800003</v>
      </c>
      <c r="P24" s="222">
        <v>83.385414494299994</v>
      </c>
      <c r="Q24" s="222">
        <v>87.340348419600005</v>
      </c>
      <c r="R24" s="222">
        <v>100.158351393</v>
      </c>
      <c r="S24" s="222">
        <v>123.0317213416</v>
      </c>
      <c r="T24" s="222">
        <v>166.3662802067</v>
      </c>
      <c r="U24" s="222">
        <v>185.41751988670001</v>
      </c>
      <c r="V24" s="222">
        <v>211.0918730864</v>
      </c>
      <c r="W24" s="222">
        <v>234.06867757680001</v>
      </c>
      <c r="X24" s="222">
        <v>208.79698320450001</v>
      </c>
      <c r="Y24" s="222">
        <v>192.8034852177</v>
      </c>
      <c r="Z24" s="225"/>
      <c r="AA24" s="219">
        <v>41.993817596500001</v>
      </c>
      <c r="AB24" s="219">
        <v>234.06867757680001</v>
      </c>
      <c r="AC24" s="219">
        <v>147.00898587149999</v>
      </c>
      <c r="AN24" s="62">
        <f t="shared" si="0"/>
        <v>192.0748599803</v>
      </c>
      <c r="AQ24" s="116">
        <v>17</v>
      </c>
    </row>
    <row r="25" spans="1:43">
      <c r="A25" s="216" t="s">
        <v>282</v>
      </c>
      <c r="B25" s="222">
        <v>181.87980268730001</v>
      </c>
      <c r="C25" s="222">
        <v>183.87104217129999</v>
      </c>
      <c r="D25" s="222">
        <v>182.8694109708</v>
      </c>
      <c r="E25" s="222">
        <v>173.23009288349999</v>
      </c>
      <c r="F25" s="222">
        <v>169.5765550756</v>
      </c>
      <c r="G25" s="222">
        <v>175.44518735809999</v>
      </c>
      <c r="H25" s="222">
        <v>180.2356835841</v>
      </c>
      <c r="I25" s="222">
        <v>189.7921050404</v>
      </c>
      <c r="J25" s="222">
        <v>184.60811735679999</v>
      </c>
      <c r="K25" s="222">
        <v>141.52357276719999</v>
      </c>
      <c r="L25" s="222">
        <v>56.728641939699997</v>
      </c>
      <c r="M25" s="223">
        <v>1.2928402629</v>
      </c>
      <c r="N25" s="223">
        <v>0.94510903329999996</v>
      </c>
      <c r="O25" s="223">
        <v>1.2431961654000001</v>
      </c>
      <c r="P25" s="223">
        <v>1.7775883959000001</v>
      </c>
      <c r="Q25" s="223">
        <v>1.7874939971999999</v>
      </c>
      <c r="R25" s="223">
        <v>5.2091463840000003</v>
      </c>
      <c r="S25" s="222">
        <v>82.7335587866</v>
      </c>
      <c r="T25" s="222">
        <v>106.9384572907</v>
      </c>
      <c r="U25" s="222">
        <v>156.31244422169999</v>
      </c>
      <c r="V25" s="222">
        <v>206.31810778260001</v>
      </c>
      <c r="W25" s="222">
        <v>242.55630976309999</v>
      </c>
      <c r="X25" s="222">
        <v>219.46184652790001</v>
      </c>
      <c r="Y25" s="222">
        <v>212.23753276330001</v>
      </c>
      <c r="Z25" s="225"/>
      <c r="AA25" s="219">
        <v>0.94510903329999996</v>
      </c>
      <c r="AB25" s="219">
        <v>242.55630976309999</v>
      </c>
      <c r="AC25" s="219">
        <v>112.8322429806</v>
      </c>
      <c r="AN25" s="62">
        <f t="shared" si="0"/>
        <v>241.61120072979998</v>
      </c>
      <c r="AQ25" s="116">
        <v>18</v>
      </c>
    </row>
    <row r="26" spans="1:43">
      <c r="A26" s="216" t="s">
        <v>283</v>
      </c>
      <c r="B26" s="222">
        <v>200.61046369300001</v>
      </c>
      <c r="C26" s="222">
        <v>181.19565194020001</v>
      </c>
      <c r="D26" s="222">
        <v>180.55367032000001</v>
      </c>
      <c r="E26" s="222">
        <v>184.71862426929999</v>
      </c>
      <c r="F26" s="222">
        <v>180.0025101045</v>
      </c>
      <c r="G26" s="222">
        <v>169.10467961649999</v>
      </c>
      <c r="H26" s="222">
        <v>184.86684337809999</v>
      </c>
      <c r="I26" s="222">
        <v>192.5759925541</v>
      </c>
      <c r="J26" s="222">
        <v>190.72727601010001</v>
      </c>
      <c r="K26" s="222">
        <v>158.85303287139999</v>
      </c>
      <c r="L26" s="222">
        <v>86.635300496200003</v>
      </c>
      <c r="M26" s="223">
        <v>18.4503763134</v>
      </c>
      <c r="N26" s="223">
        <v>2.7108913603000002</v>
      </c>
      <c r="O26" s="223">
        <v>3.43</v>
      </c>
      <c r="P26" s="223">
        <v>3.43</v>
      </c>
      <c r="Q26" s="223">
        <v>2.2024285960999999</v>
      </c>
      <c r="R26" s="223">
        <v>4.0464958139</v>
      </c>
      <c r="S26" s="222">
        <v>45.471611066400001</v>
      </c>
      <c r="T26" s="222">
        <v>96.611446639299999</v>
      </c>
      <c r="U26" s="222">
        <v>159.4082334005</v>
      </c>
      <c r="V26" s="222">
        <v>209.44533985480001</v>
      </c>
      <c r="W26" s="222">
        <v>210.79055564239999</v>
      </c>
      <c r="X26" s="222">
        <v>200.17156096119999</v>
      </c>
      <c r="Y26" s="222">
        <v>188.7891274605</v>
      </c>
      <c r="Z26" s="225"/>
      <c r="AA26" s="219">
        <v>2.2024285960999999</v>
      </c>
      <c r="AB26" s="219">
        <v>210.79055564239999</v>
      </c>
      <c r="AC26" s="219">
        <v>112.7797530358</v>
      </c>
      <c r="AN26" s="62">
        <f t="shared" si="0"/>
        <v>208.5881270463</v>
      </c>
      <c r="AQ26" s="116">
        <v>19</v>
      </c>
    </row>
    <row r="27" spans="1:43">
      <c r="A27" s="216" t="s">
        <v>284</v>
      </c>
      <c r="B27" s="222">
        <v>194.65197113510001</v>
      </c>
      <c r="C27" s="222">
        <v>182.17301281920001</v>
      </c>
      <c r="D27" s="222">
        <v>186.4768731424</v>
      </c>
      <c r="E27" s="222">
        <v>164.75798546830001</v>
      </c>
      <c r="F27" s="222">
        <v>161.36967284510001</v>
      </c>
      <c r="G27" s="222">
        <v>163.0131797354</v>
      </c>
      <c r="H27" s="222">
        <v>173.13774013700001</v>
      </c>
      <c r="I27" s="222">
        <v>182.5038756452</v>
      </c>
      <c r="J27" s="222">
        <v>171.2289000669</v>
      </c>
      <c r="K27" s="222">
        <v>154.16489901080001</v>
      </c>
      <c r="L27" s="222">
        <v>119.8222226007</v>
      </c>
      <c r="M27" s="222">
        <v>80.142805644399999</v>
      </c>
      <c r="N27" s="222">
        <v>50.362581778500001</v>
      </c>
      <c r="O27" s="222">
        <v>50</v>
      </c>
      <c r="P27" s="222">
        <v>66.510598064899995</v>
      </c>
      <c r="Q27" s="222">
        <v>62.609022910199997</v>
      </c>
      <c r="R27" s="222">
        <v>74.743195883799999</v>
      </c>
      <c r="S27" s="222">
        <v>90.101043497199996</v>
      </c>
      <c r="T27" s="222">
        <v>107.63562246399999</v>
      </c>
      <c r="U27" s="222">
        <v>150.21446326669999</v>
      </c>
      <c r="V27" s="222">
        <v>182.39289113629999</v>
      </c>
      <c r="W27" s="222">
        <v>195.6431173691</v>
      </c>
      <c r="X27" s="222">
        <v>187.94691294059999</v>
      </c>
      <c r="Y27" s="222">
        <v>173.09738583149999</v>
      </c>
      <c r="Z27" s="225"/>
      <c r="AA27" s="219">
        <v>50</v>
      </c>
      <c r="AB27" s="219">
        <v>195.6431173691</v>
      </c>
      <c r="AC27" s="219">
        <v>128.8975053787</v>
      </c>
      <c r="AN27" s="62">
        <f t="shared" si="0"/>
        <v>145.6431173691</v>
      </c>
      <c r="AQ27" s="116">
        <v>20</v>
      </c>
    </row>
    <row r="28" spans="1:43">
      <c r="A28" s="216" t="s">
        <v>285</v>
      </c>
      <c r="B28" s="222">
        <v>196.66130832420001</v>
      </c>
      <c r="C28" s="222">
        <v>169.4098627727</v>
      </c>
      <c r="D28" s="222">
        <v>167.48097492150001</v>
      </c>
      <c r="E28" s="222">
        <v>157.71184273270001</v>
      </c>
      <c r="F28" s="222">
        <v>153.37574475369999</v>
      </c>
      <c r="G28" s="222">
        <v>160.4434246694</v>
      </c>
      <c r="H28" s="222">
        <v>177.2779741361</v>
      </c>
      <c r="I28" s="222">
        <v>193.87763275500001</v>
      </c>
      <c r="J28" s="222">
        <v>191.3545873324</v>
      </c>
      <c r="K28" s="222">
        <v>105.6896644776</v>
      </c>
      <c r="L28" s="200">
        <v>40.867828147200001</v>
      </c>
      <c r="M28" s="223">
        <v>2.9165952646000002</v>
      </c>
      <c r="N28" s="223">
        <v>2.0497664094000001</v>
      </c>
      <c r="O28" s="223">
        <v>2</v>
      </c>
      <c r="P28" s="223">
        <v>2</v>
      </c>
      <c r="Q28" s="223">
        <v>2</v>
      </c>
      <c r="R28" s="223">
        <v>2.7437509857000002</v>
      </c>
      <c r="S28" s="223">
        <v>15.848888672699999</v>
      </c>
      <c r="T28" s="222">
        <v>79.621860935200004</v>
      </c>
      <c r="U28" s="222">
        <v>152.6300322658</v>
      </c>
      <c r="V28" s="222">
        <v>192.40794596500001</v>
      </c>
      <c r="W28" s="222">
        <v>198.67404202309999</v>
      </c>
      <c r="X28" s="222">
        <v>187.51238045950001</v>
      </c>
      <c r="Y28" s="222">
        <v>173.49890538450001</v>
      </c>
      <c r="Z28" s="225"/>
      <c r="AA28" s="219">
        <v>2</v>
      </c>
      <c r="AB28" s="219">
        <v>198.67404202309999</v>
      </c>
      <c r="AC28" s="219">
        <v>92.602093627800002</v>
      </c>
      <c r="AN28" s="62">
        <f t="shared" si="0"/>
        <v>196.67404202309999</v>
      </c>
      <c r="AQ28" s="116">
        <v>21</v>
      </c>
    </row>
    <row r="29" spans="1:43">
      <c r="A29" s="216" t="s">
        <v>286</v>
      </c>
      <c r="B29" s="222">
        <v>169.06842824329999</v>
      </c>
      <c r="C29" s="222">
        <v>161.6151739064</v>
      </c>
      <c r="D29" s="222">
        <v>160.41240985589999</v>
      </c>
      <c r="E29" s="222">
        <v>156.90537588430001</v>
      </c>
      <c r="F29" s="222">
        <v>154.87615366489999</v>
      </c>
      <c r="G29" s="222">
        <v>159.23294024270001</v>
      </c>
      <c r="H29" s="222">
        <v>168.6514120706</v>
      </c>
      <c r="I29" s="222">
        <v>170.15211820810001</v>
      </c>
      <c r="J29" s="222">
        <v>130.54896817970001</v>
      </c>
      <c r="K29" s="222">
        <v>60.958782615600001</v>
      </c>
      <c r="L29" s="223">
        <v>2.2802073555</v>
      </c>
      <c r="M29" s="223">
        <v>-2.5087104000000001E-3</v>
      </c>
      <c r="N29" s="223">
        <v>-7.5034838000000003E-3</v>
      </c>
      <c r="O29" s="223">
        <v>-0.01</v>
      </c>
      <c r="P29" s="223">
        <v>-0.01</v>
      </c>
      <c r="Q29" s="223">
        <v>-0.01</v>
      </c>
      <c r="R29" s="223">
        <v>-7.5132081999999996E-3</v>
      </c>
      <c r="S29" s="223">
        <v>0.4035719149</v>
      </c>
      <c r="T29" s="223">
        <v>12.2979106691</v>
      </c>
      <c r="U29" s="222">
        <v>92.188330835200006</v>
      </c>
      <c r="V29" s="222">
        <v>168.17649578410001</v>
      </c>
      <c r="W29" s="222">
        <v>172.50952833549999</v>
      </c>
      <c r="X29" s="222">
        <v>166.0288989485</v>
      </c>
      <c r="Y29" s="222">
        <v>155.6203465369</v>
      </c>
      <c r="Z29" s="225"/>
      <c r="AA29" s="219">
        <v>-0.01</v>
      </c>
      <c r="AB29" s="219">
        <v>172.50952833549999</v>
      </c>
      <c r="AC29" s="219">
        <v>75.972940415699995</v>
      </c>
      <c r="AN29" s="62">
        <f t="shared" si="0"/>
        <v>172.51952833549998</v>
      </c>
      <c r="AQ29" s="116">
        <v>22</v>
      </c>
    </row>
    <row r="30" spans="1:43">
      <c r="A30" s="216" t="s">
        <v>287</v>
      </c>
      <c r="B30" s="222">
        <v>159.66759212119999</v>
      </c>
      <c r="C30" s="222">
        <v>158.47917327190001</v>
      </c>
      <c r="D30" s="222">
        <v>161.79537649529999</v>
      </c>
      <c r="E30" s="222">
        <v>158.81381910979999</v>
      </c>
      <c r="F30" s="222">
        <v>158.34579985600001</v>
      </c>
      <c r="G30" s="222">
        <v>158.1103922568</v>
      </c>
      <c r="H30" s="222">
        <v>159.33720518429999</v>
      </c>
      <c r="I30" s="222">
        <v>157.75248163750001</v>
      </c>
      <c r="J30" s="222">
        <v>87.678262537699993</v>
      </c>
      <c r="K30" s="223">
        <v>2.2700697195999999</v>
      </c>
      <c r="L30" s="223">
        <v>-0.34722106860000002</v>
      </c>
      <c r="M30" s="223">
        <v>-1.2396393397000001</v>
      </c>
      <c r="N30" s="223">
        <v>-2.0753008962999999</v>
      </c>
      <c r="O30" s="223">
        <v>-2.1</v>
      </c>
      <c r="P30" s="223">
        <v>-2.1</v>
      </c>
      <c r="Q30" s="223">
        <v>-1.1481397982999999</v>
      </c>
      <c r="R30" s="223">
        <v>-1</v>
      </c>
      <c r="S30" s="223">
        <v>-0.46528810250000002</v>
      </c>
      <c r="T30" s="223">
        <v>1.1497228075000001</v>
      </c>
      <c r="U30" s="222">
        <v>54.787585730899998</v>
      </c>
      <c r="V30" s="222">
        <v>146.7071313635</v>
      </c>
      <c r="W30" s="222">
        <v>164.4259430701</v>
      </c>
      <c r="X30" s="222">
        <v>161.34592101480001</v>
      </c>
      <c r="Y30" s="222">
        <v>154.72733749509999</v>
      </c>
      <c r="Z30" s="225"/>
      <c r="AA30" s="219">
        <v>-2.1</v>
      </c>
      <c r="AB30" s="219">
        <v>164.4259430701</v>
      </c>
      <c r="AC30" s="219">
        <v>70.010568364500003</v>
      </c>
      <c r="AN30" s="62">
        <f t="shared" si="0"/>
        <v>166.5259430701</v>
      </c>
      <c r="AQ30" s="116">
        <v>23</v>
      </c>
    </row>
    <row r="31" spans="1:43">
      <c r="A31" s="216" t="s">
        <v>288</v>
      </c>
      <c r="B31" s="222">
        <v>159.95797308179999</v>
      </c>
      <c r="C31" s="222">
        <v>155.34496485669999</v>
      </c>
      <c r="D31" s="222">
        <v>139.7403085645</v>
      </c>
      <c r="E31" s="222">
        <v>130.28141139460001</v>
      </c>
      <c r="F31" s="222">
        <v>129.26034065499999</v>
      </c>
      <c r="G31" s="222">
        <v>128.04150389259999</v>
      </c>
      <c r="H31" s="222">
        <v>150.78629757709999</v>
      </c>
      <c r="I31" s="222">
        <v>165.7153574319</v>
      </c>
      <c r="J31" s="222">
        <v>161.4242869281</v>
      </c>
      <c r="K31" s="222">
        <v>91.186686257999995</v>
      </c>
      <c r="L31" s="200">
        <v>34.840503474899997</v>
      </c>
      <c r="M31" s="223">
        <v>5.0313054662000001</v>
      </c>
      <c r="N31" s="223">
        <v>1.413828007</v>
      </c>
      <c r="O31" s="223">
        <v>0.91990361369999996</v>
      </c>
      <c r="P31" s="223">
        <v>0.82781000680000005</v>
      </c>
      <c r="Q31" s="223">
        <v>0.30281073730000002</v>
      </c>
      <c r="R31" s="223">
        <v>0.59251850910000003</v>
      </c>
      <c r="S31" s="223">
        <v>2.3268972868</v>
      </c>
      <c r="T31" s="223">
        <v>19.4688944617</v>
      </c>
      <c r="U31" s="222">
        <v>100.144823098</v>
      </c>
      <c r="V31" s="222">
        <v>169.72841649930001</v>
      </c>
      <c r="W31" s="222">
        <v>189.4519968699</v>
      </c>
      <c r="X31" s="222">
        <v>174.93285176250001</v>
      </c>
      <c r="Y31" s="222">
        <v>162.1676708947</v>
      </c>
      <c r="Z31" s="225"/>
      <c r="AA31" s="219">
        <v>0.30281073730000002</v>
      </c>
      <c r="AB31" s="219">
        <v>189.4519968699</v>
      </c>
      <c r="AC31" s="219">
        <v>75.104390378600002</v>
      </c>
      <c r="AN31" s="62">
        <f t="shared" si="0"/>
        <v>189.14918613259999</v>
      </c>
      <c r="AQ31" s="116">
        <v>24</v>
      </c>
    </row>
    <row r="32" spans="1:43">
      <c r="A32" s="216" t="s">
        <v>289</v>
      </c>
      <c r="B32" s="222">
        <v>162.18716290649999</v>
      </c>
      <c r="C32" s="222">
        <v>156.12784474579999</v>
      </c>
      <c r="D32" s="222">
        <v>148.03017131959999</v>
      </c>
      <c r="E32" s="222">
        <v>141.28478081980001</v>
      </c>
      <c r="F32" s="222">
        <v>141.61821550709999</v>
      </c>
      <c r="G32" s="222">
        <v>149.6098040114</v>
      </c>
      <c r="H32" s="222">
        <v>168.3941096563</v>
      </c>
      <c r="I32" s="222">
        <v>180.57750904049999</v>
      </c>
      <c r="J32" s="222">
        <v>174.5888426521</v>
      </c>
      <c r="K32" s="222">
        <v>132.30215081790001</v>
      </c>
      <c r="L32" s="222">
        <v>77.417080447800004</v>
      </c>
      <c r="M32" s="200">
        <v>27.651136081299999</v>
      </c>
      <c r="N32" s="223">
        <v>6.5800789710999998</v>
      </c>
      <c r="O32" s="223">
        <v>5.6845242338000004</v>
      </c>
      <c r="P32" s="223">
        <v>5.8003958461999998</v>
      </c>
      <c r="Q32" s="223">
        <v>4.1331579678999999</v>
      </c>
      <c r="R32" s="223">
        <v>6.9949420419999999</v>
      </c>
      <c r="S32" s="222">
        <v>50.770783952199999</v>
      </c>
      <c r="T32" s="222">
        <v>112.3331304145</v>
      </c>
      <c r="U32" s="222">
        <v>184.46116268860001</v>
      </c>
      <c r="V32" s="222">
        <v>211.54104509429999</v>
      </c>
      <c r="W32" s="222">
        <v>224.42244562240001</v>
      </c>
      <c r="X32" s="222">
        <v>206.1266357017</v>
      </c>
      <c r="Y32" s="222">
        <v>204.50244408419999</v>
      </c>
      <c r="Z32" s="225"/>
      <c r="AA32" s="219">
        <v>4.1331579678999999</v>
      </c>
      <c r="AB32" s="219">
        <v>224.42244562240001</v>
      </c>
      <c r="AC32" s="219">
        <v>100.6293461643</v>
      </c>
      <c r="AN32" s="62">
        <f t="shared" si="0"/>
        <v>220.28928765450001</v>
      </c>
      <c r="AQ32" s="116">
        <v>25</v>
      </c>
    </row>
    <row r="33" spans="1:43">
      <c r="A33" s="216" t="s">
        <v>290</v>
      </c>
      <c r="B33" s="222">
        <v>207.7464517352</v>
      </c>
      <c r="C33" s="222">
        <v>205.41643538919999</v>
      </c>
      <c r="D33" s="222">
        <v>182.8297487401</v>
      </c>
      <c r="E33" s="222">
        <v>174.47064231799999</v>
      </c>
      <c r="F33" s="222">
        <v>171.1527771936</v>
      </c>
      <c r="G33" s="222">
        <v>170.59497302310001</v>
      </c>
      <c r="H33" s="222">
        <v>178.34240812780001</v>
      </c>
      <c r="I33" s="222">
        <v>190.26960492079999</v>
      </c>
      <c r="J33" s="222">
        <v>193.097279585</v>
      </c>
      <c r="K33" s="222">
        <v>135.14709391220001</v>
      </c>
      <c r="L33" s="200">
        <v>37.943295733200003</v>
      </c>
      <c r="M33" s="223">
        <v>2.1497605572</v>
      </c>
      <c r="N33" s="223">
        <v>0.38252960279999998</v>
      </c>
      <c r="O33" s="224">
        <v>0</v>
      </c>
      <c r="P33" s="224">
        <v>0</v>
      </c>
      <c r="Q33" s="224">
        <v>0</v>
      </c>
      <c r="R33" s="223">
        <v>5.0105528E-3</v>
      </c>
      <c r="S33" s="223">
        <v>1.1443717662999999</v>
      </c>
      <c r="T33" s="223">
        <v>10.0995306102</v>
      </c>
      <c r="U33" s="222">
        <v>86.752972854899994</v>
      </c>
      <c r="V33" s="222">
        <v>181.12966244200001</v>
      </c>
      <c r="W33" s="222">
        <v>182.822320314</v>
      </c>
      <c r="X33" s="222">
        <v>171.51487222470001</v>
      </c>
      <c r="Y33" s="222">
        <v>170.74335932490001</v>
      </c>
      <c r="Z33" s="225"/>
      <c r="AA33" s="219">
        <v>0</v>
      </c>
      <c r="AB33" s="219">
        <v>207.7464517352</v>
      </c>
      <c r="AC33" s="219">
        <v>88.3145428638</v>
      </c>
      <c r="AN33" s="62">
        <f t="shared" si="0"/>
        <v>207.7464517352</v>
      </c>
      <c r="AQ33" s="116">
        <v>26</v>
      </c>
    </row>
    <row r="34" spans="1:43">
      <c r="A34" s="216" t="s">
        <v>291</v>
      </c>
      <c r="B34" s="222">
        <v>176.4215823525</v>
      </c>
      <c r="C34" s="222">
        <v>174.70077092810001</v>
      </c>
      <c r="D34" s="222">
        <v>174.02018988520001</v>
      </c>
      <c r="E34" s="222">
        <v>172.4854686784</v>
      </c>
      <c r="F34" s="222">
        <v>166.28</v>
      </c>
      <c r="G34" s="222">
        <v>159.02677548220001</v>
      </c>
      <c r="H34" s="222">
        <v>170.0132159238</v>
      </c>
      <c r="I34" s="222">
        <v>175.69933383110001</v>
      </c>
      <c r="J34" s="222">
        <v>176.02683338310001</v>
      </c>
      <c r="K34" s="222">
        <v>157.3612867208</v>
      </c>
      <c r="L34" s="222">
        <v>93.213782734399999</v>
      </c>
      <c r="M34" s="223">
        <v>17.568200790399999</v>
      </c>
      <c r="N34" s="223">
        <v>3.3278514142</v>
      </c>
      <c r="O34" s="223">
        <v>1.3949345344999999</v>
      </c>
      <c r="P34" s="223">
        <v>0.93514621019999999</v>
      </c>
      <c r="Q34" s="223">
        <v>0.51</v>
      </c>
      <c r="R34" s="223">
        <v>0.67031926760000005</v>
      </c>
      <c r="S34" s="223">
        <v>1.9453582392</v>
      </c>
      <c r="T34" s="223">
        <v>19.979047983800001</v>
      </c>
      <c r="U34" s="222">
        <v>109.630890151</v>
      </c>
      <c r="V34" s="222">
        <v>172.88546663540001</v>
      </c>
      <c r="W34" s="222">
        <v>181.20850950240001</v>
      </c>
      <c r="X34" s="222">
        <v>182.59022770589999</v>
      </c>
      <c r="Y34" s="222">
        <v>167.02137347350001</v>
      </c>
      <c r="Z34" s="225"/>
      <c r="AA34" s="219">
        <v>0.51</v>
      </c>
      <c r="AB34" s="219">
        <v>182.59022770589999</v>
      </c>
      <c r="AC34" s="219">
        <v>90.678930532699994</v>
      </c>
      <c r="AN34" s="62">
        <f t="shared" si="0"/>
        <v>182.0802277059</v>
      </c>
      <c r="AQ34" s="116">
        <v>27</v>
      </c>
    </row>
    <row r="35" spans="1:43">
      <c r="A35" s="216" t="s">
        <v>292</v>
      </c>
      <c r="B35" s="222">
        <v>173.47431841060001</v>
      </c>
      <c r="C35" s="222">
        <v>159.37524006859999</v>
      </c>
      <c r="D35" s="222">
        <v>150.728581687</v>
      </c>
      <c r="E35" s="222">
        <v>144.6439092411</v>
      </c>
      <c r="F35" s="222">
        <v>144.86081789069999</v>
      </c>
      <c r="G35" s="222">
        <v>152.3703988581</v>
      </c>
      <c r="H35" s="222">
        <v>174.82058849379999</v>
      </c>
      <c r="I35" s="222">
        <v>180.74459584229999</v>
      </c>
      <c r="J35" s="222">
        <v>165.82710933710001</v>
      </c>
      <c r="K35" s="222">
        <v>76.508253758799995</v>
      </c>
      <c r="L35" s="223">
        <v>3.0088236177000001</v>
      </c>
      <c r="M35" s="223">
        <v>0.13274380320000001</v>
      </c>
      <c r="N35" s="224">
        <v>0</v>
      </c>
      <c r="O35" s="223">
        <v>0.01</v>
      </c>
      <c r="P35" s="223">
        <v>7.5192478E-3</v>
      </c>
      <c r="Q35" s="224">
        <v>0</v>
      </c>
      <c r="R35" s="223">
        <v>2.4926068999999999E-3</v>
      </c>
      <c r="S35" s="223">
        <v>1.1454442535</v>
      </c>
      <c r="T35" s="200">
        <v>33.072286942799998</v>
      </c>
      <c r="U35" s="222">
        <v>149.62537634009999</v>
      </c>
      <c r="V35" s="222">
        <v>188.42586290439999</v>
      </c>
      <c r="W35" s="222">
        <v>214.7572262692</v>
      </c>
      <c r="X35" s="222">
        <v>189.09242818429999</v>
      </c>
      <c r="Y35" s="222">
        <v>178.33573967429999</v>
      </c>
      <c r="Z35" s="225"/>
      <c r="AA35" s="219">
        <v>0</v>
      </c>
      <c r="AB35" s="219">
        <v>214.7572262692</v>
      </c>
      <c r="AC35" s="219">
        <v>80.920491553299996</v>
      </c>
      <c r="AE35" s="62"/>
      <c r="AN35" s="62">
        <f t="shared" si="0"/>
        <v>214.7572262692</v>
      </c>
      <c r="AQ35" s="116">
        <v>28</v>
      </c>
    </row>
    <row r="36" spans="1:43">
      <c r="A36" s="216" t="s">
        <v>293</v>
      </c>
      <c r="B36" s="222">
        <v>189.195203158</v>
      </c>
      <c r="C36" s="222">
        <v>185.1983228439</v>
      </c>
      <c r="D36" s="222">
        <v>183.47215949759999</v>
      </c>
      <c r="E36" s="222">
        <v>179.05622921969999</v>
      </c>
      <c r="F36" s="222">
        <v>175.8449009343</v>
      </c>
      <c r="G36" s="222">
        <v>175.45835641880001</v>
      </c>
      <c r="H36" s="222">
        <v>175.55083931819999</v>
      </c>
      <c r="I36" s="222">
        <v>176.55380413719999</v>
      </c>
      <c r="J36" s="222">
        <v>126.2592341989</v>
      </c>
      <c r="K36" s="223">
        <v>10.559608358</v>
      </c>
      <c r="L36" s="223">
        <v>-4.9466199999999997E-3</v>
      </c>
      <c r="M36" s="223">
        <v>-7.9973565600000004E-2</v>
      </c>
      <c r="N36" s="223">
        <v>-0.5024923349</v>
      </c>
      <c r="O36" s="223">
        <v>-0.44974145100000001</v>
      </c>
      <c r="P36" s="223">
        <v>-0.5</v>
      </c>
      <c r="Q36" s="223">
        <v>-0.72995858260000002</v>
      </c>
      <c r="R36" s="223">
        <v>-0.3494936984</v>
      </c>
      <c r="S36" s="223">
        <v>-1.2514315200000001E-2</v>
      </c>
      <c r="T36" s="223">
        <v>7.7999572174000003</v>
      </c>
      <c r="U36" s="222">
        <v>98.222046519499997</v>
      </c>
      <c r="V36" s="222">
        <v>177.13699443230001</v>
      </c>
      <c r="W36" s="222">
        <v>212.9815965876</v>
      </c>
      <c r="X36" s="222">
        <v>209.46555938700001</v>
      </c>
      <c r="Y36" s="222">
        <v>193.95284112420001</v>
      </c>
      <c r="Z36" s="225"/>
      <c r="AA36" s="219">
        <v>-0.72995858260000002</v>
      </c>
      <c r="AB36" s="219">
        <v>212.9815965876</v>
      </c>
      <c r="AC36" s="219">
        <v>81.395934650499996</v>
      </c>
      <c r="AN36" s="62">
        <f t="shared" si="0"/>
        <v>213.7115551702</v>
      </c>
      <c r="AQ36" s="116">
        <v>29</v>
      </c>
    </row>
    <row r="37" spans="1:43">
      <c r="A37" s="216" t="s">
        <v>294</v>
      </c>
      <c r="B37" s="222">
        <v>192.89962495349999</v>
      </c>
      <c r="C37" s="222">
        <v>186.86296150250001</v>
      </c>
      <c r="D37" s="222">
        <v>178.06761195729999</v>
      </c>
      <c r="E37" s="222">
        <v>174.37712456860001</v>
      </c>
      <c r="F37" s="222">
        <v>171.30036337109999</v>
      </c>
      <c r="G37" s="222">
        <v>170.94226469820001</v>
      </c>
      <c r="H37" s="222">
        <v>173.641088239</v>
      </c>
      <c r="I37" s="222">
        <v>174.9160744303</v>
      </c>
      <c r="J37" s="222">
        <v>113.35128946419999</v>
      </c>
      <c r="K37" s="223">
        <v>9.7461198694999993</v>
      </c>
      <c r="L37" s="223">
        <v>-7.5434954700000001E-2</v>
      </c>
      <c r="M37" s="223">
        <v>-0.45511404620000001</v>
      </c>
      <c r="N37" s="223">
        <v>-0.73740980710000004</v>
      </c>
      <c r="O37" s="223">
        <v>-1.0121638708</v>
      </c>
      <c r="P37" s="223">
        <v>-0.97748971250000005</v>
      </c>
      <c r="Q37" s="223">
        <v>-0.81</v>
      </c>
      <c r="R37" s="223">
        <v>-0.73472190010000005</v>
      </c>
      <c r="S37" s="223">
        <v>-0.14778639869999999</v>
      </c>
      <c r="T37" s="223">
        <v>2.7928652024999998</v>
      </c>
      <c r="U37" s="222">
        <v>111.5323783611</v>
      </c>
      <c r="V37" s="222">
        <v>193.8292977056</v>
      </c>
      <c r="W37" s="222">
        <v>199.201041758</v>
      </c>
      <c r="X37" s="222">
        <v>188.7681728961</v>
      </c>
      <c r="Y37" s="222">
        <v>176.52319319680001</v>
      </c>
      <c r="Z37" s="225"/>
      <c r="AA37" s="219">
        <v>-1.0121638708</v>
      </c>
      <c r="AB37" s="219">
        <v>199.201041758</v>
      </c>
      <c r="AC37" s="219">
        <v>80.872539131500005</v>
      </c>
      <c r="AN37" s="62">
        <f t="shared" si="0"/>
        <v>200.21320562880001</v>
      </c>
      <c r="AQ37" s="116">
        <v>30</v>
      </c>
    </row>
    <row r="38" spans="1:43">
      <c r="A38" s="216" t="s">
        <v>295</v>
      </c>
      <c r="B38" s="222">
        <v>176.3752595718</v>
      </c>
      <c r="C38" s="222">
        <v>163.62345733570001</v>
      </c>
      <c r="D38" s="222">
        <v>143.52232210919999</v>
      </c>
      <c r="E38" s="222">
        <v>132.83000000000001</v>
      </c>
      <c r="F38" s="222">
        <v>133.86287987</v>
      </c>
      <c r="G38" s="222">
        <v>151.50864595179999</v>
      </c>
      <c r="H38" s="222">
        <v>177.3986504792</v>
      </c>
      <c r="I38" s="222">
        <v>198.88201983139999</v>
      </c>
      <c r="J38" s="222">
        <v>169.78572561780001</v>
      </c>
      <c r="K38" s="222">
        <v>78.733000180199994</v>
      </c>
      <c r="L38" s="223">
        <v>0.78213117570000001</v>
      </c>
      <c r="M38" s="224">
        <v>0</v>
      </c>
      <c r="N38" s="224">
        <v>0</v>
      </c>
      <c r="O38" s="224">
        <v>0</v>
      </c>
      <c r="P38" s="224">
        <v>0</v>
      </c>
      <c r="Q38" s="224">
        <v>0</v>
      </c>
      <c r="R38" s="224">
        <v>0</v>
      </c>
      <c r="S38" s="223">
        <v>3.0625164372999998</v>
      </c>
      <c r="T38" s="222">
        <v>65.961335682599994</v>
      </c>
      <c r="U38" s="222">
        <v>167.0613497324</v>
      </c>
      <c r="V38" s="222">
        <v>202.91139191159999</v>
      </c>
      <c r="W38" s="222">
        <v>213.82303310469999</v>
      </c>
      <c r="X38" s="222">
        <v>187.1292705887</v>
      </c>
      <c r="Y38" s="222">
        <v>176.82656203689999</v>
      </c>
      <c r="Z38" s="225"/>
      <c r="AA38" s="219">
        <v>0</v>
      </c>
      <c r="AB38" s="219">
        <v>213.82303310469999</v>
      </c>
      <c r="AC38" s="219">
        <v>85.153326844199995</v>
      </c>
      <c r="AN38" s="62">
        <f>AB38-AA38</f>
        <v>213.82303310469999</v>
      </c>
      <c r="AQ38" s="116">
        <v>31</v>
      </c>
    </row>
    <row r="43" spans="1:43">
      <c r="A43" s="228" t="s">
        <v>244</v>
      </c>
      <c r="B43" s="228" t="s">
        <v>245</v>
      </c>
    </row>
    <row r="44" spans="1:43">
      <c r="A44" s="120" t="s">
        <v>26</v>
      </c>
      <c r="B44" s="238" t="s">
        <v>252</v>
      </c>
      <c r="C44" s="239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39"/>
    </row>
    <row r="45" spans="1:43">
      <c r="A45" s="120" t="s">
        <v>74</v>
      </c>
      <c r="B45" s="161">
        <v>202508</v>
      </c>
      <c r="C45" s="161">
        <v>202509</v>
      </c>
      <c r="D45" s="161">
        <v>202510</v>
      </c>
      <c r="E45" s="161">
        <v>202511</v>
      </c>
      <c r="F45" s="161">
        <v>202512</v>
      </c>
      <c r="G45" s="161">
        <v>202601</v>
      </c>
      <c r="H45" s="161">
        <v>202602</v>
      </c>
      <c r="I45" s="161">
        <v>202603</v>
      </c>
      <c r="J45" s="161">
        <v>202604</v>
      </c>
      <c r="K45" s="161">
        <v>202605</v>
      </c>
      <c r="L45" s="161">
        <v>202606</v>
      </c>
      <c r="M45" s="161">
        <v>202607</v>
      </c>
      <c r="N45" s="161">
        <v>202608</v>
      </c>
      <c r="O45" s="62"/>
      <c r="P45" s="204"/>
      <c r="Q45" s="141"/>
    </row>
    <row r="46" spans="1:43">
      <c r="A46" s="120"/>
      <c r="B46" s="163" t="s">
        <v>210</v>
      </c>
      <c r="C46" s="163" t="s">
        <v>212</v>
      </c>
      <c r="D46" s="163" t="s">
        <v>214</v>
      </c>
      <c r="E46" s="163" t="s">
        <v>218</v>
      </c>
      <c r="F46" s="163" t="s">
        <v>221</v>
      </c>
      <c r="G46" s="163" t="s">
        <v>223</v>
      </c>
      <c r="H46" s="163" t="s">
        <v>227</v>
      </c>
      <c r="I46" s="163" t="s">
        <v>229</v>
      </c>
      <c r="J46" s="163" t="s">
        <v>231</v>
      </c>
      <c r="K46" s="163" t="s">
        <v>233</v>
      </c>
      <c r="L46" s="163" t="s">
        <v>239</v>
      </c>
      <c r="M46" s="163" t="s">
        <v>242</v>
      </c>
      <c r="N46" s="163" t="s">
        <v>253</v>
      </c>
      <c r="Q46" s="141"/>
    </row>
    <row r="47" spans="1:43">
      <c r="A47" s="120" t="s">
        <v>259</v>
      </c>
      <c r="B47" s="163" t="s">
        <v>254</v>
      </c>
      <c r="C47" s="163" t="s">
        <v>255</v>
      </c>
      <c r="D47" s="163" t="s">
        <v>254</v>
      </c>
      <c r="E47" s="163" t="s">
        <v>254</v>
      </c>
      <c r="F47" s="163" t="s">
        <v>254</v>
      </c>
      <c r="G47" s="163" t="s">
        <v>256</v>
      </c>
      <c r="H47" s="163" t="s">
        <v>256</v>
      </c>
      <c r="I47" s="163" t="s">
        <v>256</v>
      </c>
      <c r="J47" s="163" t="s">
        <v>256</v>
      </c>
      <c r="K47" s="163" t="s">
        <v>256</v>
      </c>
      <c r="L47" s="163" t="s">
        <v>257</v>
      </c>
      <c r="M47" s="163" t="s">
        <v>257</v>
      </c>
      <c r="N47" s="163" t="s">
        <v>258</v>
      </c>
      <c r="Q47" s="196"/>
    </row>
    <row r="48" spans="1:43">
      <c r="A48" s="120" t="s">
        <v>260</v>
      </c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Q48" s="141"/>
    </row>
    <row r="49" spans="1:17">
      <c r="A49" s="216" t="s">
        <v>1</v>
      </c>
      <c r="B49" s="200">
        <v>67.971779283100005</v>
      </c>
      <c r="C49" s="200">
        <v>60.835528935100001</v>
      </c>
      <c r="D49" s="200">
        <v>76.625034286499996</v>
      </c>
      <c r="E49" s="200">
        <v>60.513136074800002</v>
      </c>
      <c r="F49" s="200">
        <v>80.190623150799993</v>
      </c>
      <c r="G49" s="200">
        <v>73.478981588699995</v>
      </c>
      <c r="H49" s="200">
        <v>17.935995286899999</v>
      </c>
      <c r="I49" s="200">
        <v>44.074282876300003</v>
      </c>
      <c r="J49" s="200">
        <v>42.954241151600002</v>
      </c>
      <c r="K49" s="200">
        <v>53.691555497099998</v>
      </c>
      <c r="L49" s="200">
        <v>69.599228460299997</v>
      </c>
      <c r="M49" s="200">
        <v>104.5357384583</v>
      </c>
      <c r="N49" s="200">
        <v>117.1824954099</v>
      </c>
      <c r="Q49" s="196"/>
    </row>
    <row r="50" spans="1:17">
      <c r="A50" s="216" t="s">
        <v>2</v>
      </c>
      <c r="B50" s="200">
        <v>-0.1044271398</v>
      </c>
      <c r="C50" s="200">
        <v>-0.1387680976</v>
      </c>
      <c r="D50" s="200">
        <v>-0.2096887402</v>
      </c>
      <c r="E50" s="200">
        <v>-0.20737476830000001</v>
      </c>
      <c r="F50" s="200">
        <v>-0.19548364230000001</v>
      </c>
      <c r="G50" s="200">
        <v>-0.128192892</v>
      </c>
      <c r="H50" s="200">
        <v>-0.1702995809</v>
      </c>
      <c r="I50" s="200">
        <v>-0.1349723867</v>
      </c>
      <c r="J50" s="200">
        <v>-8.4694488999999998E-2</v>
      </c>
      <c r="K50" s="200">
        <v>-0.2010751882</v>
      </c>
      <c r="L50" s="200">
        <v>-0.1242286572</v>
      </c>
      <c r="M50" s="200">
        <v>-0.1518089091</v>
      </c>
      <c r="N50" s="200">
        <v>-0.24033575190000001</v>
      </c>
      <c r="Q50" s="141"/>
    </row>
    <row r="51" spans="1:17">
      <c r="A51" s="216" t="s">
        <v>44</v>
      </c>
      <c r="B51" s="200">
        <v>8.3172733096000009</v>
      </c>
      <c r="C51" s="200">
        <v>10.013033700999999</v>
      </c>
      <c r="D51" s="200">
        <v>11.0648208413</v>
      </c>
      <c r="E51" s="200">
        <v>13.1341028947</v>
      </c>
      <c r="F51" s="200">
        <v>11.4145450111</v>
      </c>
      <c r="G51" s="200">
        <v>11.970237106700001</v>
      </c>
      <c r="H51" s="200">
        <v>21.6334626845</v>
      </c>
      <c r="I51" s="200">
        <v>24.597781079600001</v>
      </c>
      <c r="J51" s="200">
        <v>17.4964251064</v>
      </c>
      <c r="K51" s="200">
        <v>16.0017990174</v>
      </c>
      <c r="L51" s="200">
        <v>12.7360501905</v>
      </c>
      <c r="M51" s="200">
        <v>12.7829078407</v>
      </c>
      <c r="N51" s="200">
        <v>13.1621093911</v>
      </c>
      <c r="Q51" s="196"/>
    </row>
    <row r="52" spans="1:17">
      <c r="A52" s="216" t="s">
        <v>246</v>
      </c>
      <c r="B52" s="200">
        <v>3.0296625466</v>
      </c>
      <c r="C52" s="200">
        <v>4.4346407675000004</v>
      </c>
      <c r="D52" s="200">
        <v>4.7822336275000001</v>
      </c>
      <c r="E52" s="200">
        <v>1.2714298793000001</v>
      </c>
      <c r="F52" s="200">
        <v>1.2625617999000001</v>
      </c>
      <c r="G52" s="200">
        <v>1.8598326861000001</v>
      </c>
      <c r="H52" s="200">
        <v>1.4358494881999999</v>
      </c>
      <c r="I52" s="200">
        <v>1.9075089032999999</v>
      </c>
      <c r="J52" s="200">
        <v>2.4546829225</v>
      </c>
      <c r="K52" s="200">
        <v>3.4046782386999999</v>
      </c>
      <c r="L52" s="200">
        <v>4.0053070122000003</v>
      </c>
      <c r="M52" s="200">
        <v>4.5318259035999997</v>
      </c>
      <c r="N52" s="200">
        <v>2.6655073215999998</v>
      </c>
      <c r="Q52" s="141"/>
    </row>
    <row r="53" spans="1:17">
      <c r="A53" s="216" t="s">
        <v>247</v>
      </c>
      <c r="B53" s="200">
        <v>3.0643609133999998</v>
      </c>
      <c r="C53" s="200">
        <v>3.4183796629000001</v>
      </c>
      <c r="D53" s="200">
        <v>3.5003681948000001</v>
      </c>
      <c r="E53" s="200">
        <v>2.8457156008000002</v>
      </c>
      <c r="F53" s="200">
        <v>2.1806151651999999</v>
      </c>
      <c r="G53" s="200">
        <v>2.9064976129</v>
      </c>
      <c r="H53" s="200">
        <v>3.0122198654000001</v>
      </c>
      <c r="I53" s="200">
        <v>3.0886704305000001</v>
      </c>
      <c r="J53" s="200">
        <v>3.3760902361</v>
      </c>
      <c r="K53" s="200">
        <v>3.5880910248000002</v>
      </c>
      <c r="L53" s="200">
        <v>3.3604573068999999</v>
      </c>
      <c r="M53" s="200">
        <v>2.6099082342000002</v>
      </c>
      <c r="N53" s="200">
        <v>3.3836886223999998</v>
      </c>
      <c r="Q53" s="196"/>
    </row>
    <row r="54" spans="1:17">
      <c r="A54" s="216" t="s">
        <v>248</v>
      </c>
      <c r="B54" s="200">
        <v>-0.40278040170000001</v>
      </c>
      <c r="C54" s="200">
        <v>-0.3920110389</v>
      </c>
      <c r="D54" s="200">
        <v>-0.4217273413</v>
      </c>
      <c r="E54" s="200">
        <v>-0.2591310188</v>
      </c>
      <c r="F54" s="200">
        <v>-0.27214773840000001</v>
      </c>
      <c r="G54" s="200">
        <v>-0.35893515259999997</v>
      </c>
      <c r="H54" s="200">
        <v>-0.16065442690000001</v>
      </c>
      <c r="I54" s="200">
        <v>-0.26395337099999999</v>
      </c>
      <c r="J54" s="200">
        <v>-0.37278463680000001</v>
      </c>
      <c r="K54" s="200">
        <v>-0.3418519444</v>
      </c>
      <c r="L54" s="200">
        <v>-0.41104431609999997</v>
      </c>
      <c r="M54" s="200">
        <v>-0.51788736059999996</v>
      </c>
      <c r="N54" s="200">
        <v>-0.63182217200000002</v>
      </c>
      <c r="Q54" s="212"/>
    </row>
    <row r="55" spans="1:17">
      <c r="A55" s="216" t="s">
        <v>180</v>
      </c>
      <c r="B55" s="200">
        <v>-1.0346112711</v>
      </c>
      <c r="C55" s="200">
        <v>-1.2037416037999999</v>
      </c>
      <c r="D55" s="200">
        <v>-1.2846020227999999</v>
      </c>
      <c r="E55" s="200">
        <v>-1.1152159369000001</v>
      </c>
      <c r="F55" s="200">
        <v>-0.96148799370000004</v>
      </c>
      <c r="G55" s="200">
        <v>-1.8345580468</v>
      </c>
      <c r="H55" s="200">
        <v>-2.0537877611000002</v>
      </c>
      <c r="I55" s="200">
        <v>-2.1581527162</v>
      </c>
      <c r="J55" s="200">
        <v>-2.2361829282999999</v>
      </c>
      <c r="K55" s="200">
        <v>-2.1509008767000002</v>
      </c>
      <c r="L55" s="200">
        <v>-2.1074881346000001</v>
      </c>
      <c r="M55" s="200">
        <v>-1.2953741562000001</v>
      </c>
      <c r="N55" s="200">
        <v>-1.2535146162999999</v>
      </c>
      <c r="Q55" s="141"/>
    </row>
    <row r="56" spans="1:17">
      <c r="A56" s="216" t="s">
        <v>45</v>
      </c>
      <c r="B56" s="200">
        <v>0.45057550540000002</v>
      </c>
      <c r="C56" s="200">
        <v>0.50400812340000001</v>
      </c>
      <c r="D56" s="200">
        <v>0.24539827189999999</v>
      </c>
      <c r="E56" s="200">
        <v>0.38107416049999998</v>
      </c>
      <c r="F56" s="200">
        <v>0.25541812660000002</v>
      </c>
      <c r="G56" s="200">
        <v>0.40723766010000001</v>
      </c>
      <c r="H56" s="200">
        <v>0.40600740839999999</v>
      </c>
      <c r="I56" s="200">
        <v>0.55703470430000002</v>
      </c>
      <c r="J56" s="200">
        <v>0.50838588620000003</v>
      </c>
      <c r="K56" s="200">
        <v>0.40169608849999999</v>
      </c>
      <c r="L56" s="200">
        <v>0.37758129699999998</v>
      </c>
      <c r="M56" s="200">
        <v>0.38929480529999999</v>
      </c>
      <c r="N56" s="200">
        <v>0.71142052879999995</v>
      </c>
      <c r="Q56" s="196"/>
    </row>
    <row r="57" spans="1:17">
      <c r="A57" s="216" t="s">
        <v>46</v>
      </c>
      <c r="B57" s="200">
        <v>-0.3003998624</v>
      </c>
      <c r="C57" s="200">
        <v>-0.33396459890000002</v>
      </c>
      <c r="D57" s="200">
        <v>-0.53516769490000005</v>
      </c>
      <c r="E57" s="200">
        <v>-0.25310388439999998</v>
      </c>
      <c r="F57" s="200">
        <v>-0.248547658</v>
      </c>
      <c r="G57" s="200">
        <v>-0.63929019080000005</v>
      </c>
      <c r="H57" s="200">
        <v>-0.39624519879999998</v>
      </c>
      <c r="I57" s="200">
        <v>-0.47887055569999998</v>
      </c>
      <c r="J57" s="200">
        <v>-0.70663214409999997</v>
      </c>
      <c r="K57" s="200">
        <v>-0.67484169670000005</v>
      </c>
      <c r="L57" s="200">
        <v>-0.541069719</v>
      </c>
      <c r="M57" s="200">
        <v>-0.73091203339999999</v>
      </c>
      <c r="N57" s="200">
        <v>-0.52908874689999996</v>
      </c>
      <c r="Q57" s="141"/>
    </row>
    <row r="58" spans="1:17">
      <c r="A58" s="216" t="s">
        <v>249</v>
      </c>
      <c r="B58" s="200">
        <v>4.5886520600000001E-2</v>
      </c>
      <c r="C58" s="200">
        <v>4.5838618300000002E-2</v>
      </c>
      <c r="D58" s="200">
        <v>5.7668581199999999E-2</v>
      </c>
      <c r="E58" s="200">
        <v>3.8589501200000001E-2</v>
      </c>
      <c r="F58" s="200">
        <v>4.7065211900000001E-2</v>
      </c>
      <c r="G58" s="200">
        <v>4.8204775900000003E-2</v>
      </c>
      <c r="H58" s="200">
        <v>5.1486579599999999E-2</v>
      </c>
      <c r="I58" s="200">
        <v>6.9791495100000003E-2</v>
      </c>
      <c r="J58" s="200">
        <v>0.13952396959999999</v>
      </c>
      <c r="K58" s="200">
        <v>6.1218855500000002E-2</v>
      </c>
      <c r="L58" s="200">
        <v>4.05742547E-2</v>
      </c>
      <c r="M58" s="200">
        <v>3.1481494300000003E-2</v>
      </c>
      <c r="N58" s="200">
        <v>7.6322389000000004E-2</v>
      </c>
      <c r="Q58" s="196"/>
    </row>
    <row r="59" spans="1:17">
      <c r="A59" s="216" t="s">
        <v>250</v>
      </c>
      <c r="B59" s="200">
        <v>-9.2217392800000006E-2</v>
      </c>
      <c r="C59" s="200">
        <v>-0.105220197</v>
      </c>
      <c r="D59" s="200">
        <v>-0.10065099299999999</v>
      </c>
      <c r="E59" s="200">
        <v>-2.19189337E-2</v>
      </c>
      <c r="F59" s="200">
        <v>-2.3110223900000001E-2</v>
      </c>
      <c r="G59" s="200">
        <v>-1.2980321499999999E-2</v>
      </c>
      <c r="H59" s="200">
        <v>-9.1083589000000003E-3</v>
      </c>
      <c r="I59" s="200">
        <v>-1.07512891E-2</v>
      </c>
      <c r="J59" s="200">
        <v>-1.3438166E-2</v>
      </c>
      <c r="K59" s="200">
        <v>-1.39425381E-2</v>
      </c>
      <c r="L59" s="200">
        <v>-1.28734986E-2</v>
      </c>
      <c r="M59" s="200">
        <v>-1.18789668E-2</v>
      </c>
      <c r="N59" s="200">
        <v>-1.24192347E-2</v>
      </c>
      <c r="Q59" s="141"/>
    </row>
    <row r="60" spans="1:17">
      <c r="A60" s="216" t="s">
        <v>47</v>
      </c>
      <c r="B60" s="200">
        <v>0.1428973409</v>
      </c>
      <c r="C60" s="200">
        <v>0.15202778519999999</v>
      </c>
      <c r="D60" s="200">
        <v>0.1437232759</v>
      </c>
      <c r="E60" s="200">
        <v>0.1762569182</v>
      </c>
      <c r="F60" s="200">
        <v>0.26816459869999998</v>
      </c>
      <c r="G60" s="200">
        <v>0.24420658989999999</v>
      </c>
      <c r="H60" s="200">
        <v>0.25911674759999997</v>
      </c>
      <c r="I60" s="200">
        <v>0.17325188799999999</v>
      </c>
      <c r="J60" s="200">
        <v>0.13393517329999999</v>
      </c>
      <c r="K60" s="200">
        <v>0.117391838</v>
      </c>
      <c r="L60" s="200">
        <v>0.14573198609999999</v>
      </c>
      <c r="M60" s="200">
        <v>0.2639183175</v>
      </c>
      <c r="N60" s="200">
        <v>0.14158742299999999</v>
      </c>
      <c r="Q60" s="196"/>
    </row>
    <row r="61" spans="1:17">
      <c r="A61" s="216" t="s">
        <v>217</v>
      </c>
      <c r="B61" s="200">
        <v>-7.1994994E-3</v>
      </c>
      <c r="C61" s="200">
        <v>-9.0481981999999996E-3</v>
      </c>
      <c r="D61" s="200">
        <v>-9.3650743999999994E-3</v>
      </c>
      <c r="E61" s="200">
        <v>-9.6264314999999993E-3</v>
      </c>
      <c r="F61" s="200">
        <v>-6.0686467999999999E-3</v>
      </c>
      <c r="G61" s="200">
        <v>-7.8761326999999999E-3</v>
      </c>
      <c r="H61" s="200">
        <v>-7.9624767000000003E-3</v>
      </c>
      <c r="I61" s="200">
        <v>-8.9332396000000001E-3</v>
      </c>
      <c r="J61" s="200">
        <v>-9.3682056999999999E-3</v>
      </c>
      <c r="K61" s="200">
        <v>-1.4168355699999999E-2</v>
      </c>
      <c r="L61" s="200">
        <v>-1.0402473400000001E-2</v>
      </c>
      <c r="M61" s="200">
        <v>-7.9975652000000008E-3</v>
      </c>
      <c r="N61" s="200">
        <v>-9.1797436E-3</v>
      </c>
      <c r="Q61" s="141"/>
    </row>
    <row r="62" spans="1:17">
      <c r="A62" s="216" t="s">
        <v>251</v>
      </c>
      <c r="B62" s="200">
        <v>81.080799852300004</v>
      </c>
      <c r="C62" s="200">
        <v>77.220703858899995</v>
      </c>
      <c r="D62" s="200">
        <v>93.858045212600004</v>
      </c>
      <c r="E62" s="200">
        <v>76.493934055899999</v>
      </c>
      <c r="F62" s="200">
        <v>93.912147161199997</v>
      </c>
      <c r="G62" s="200">
        <v>87.933365283800001</v>
      </c>
      <c r="H62" s="200">
        <v>41.936080257299999</v>
      </c>
      <c r="I62" s="200">
        <v>71.412687818600006</v>
      </c>
      <c r="J62" s="200">
        <v>63.6401838759</v>
      </c>
      <c r="K62" s="200">
        <v>73.869649960100006</v>
      </c>
      <c r="L62" s="200">
        <v>87.057823708800001</v>
      </c>
      <c r="M62" s="200">
        <v>122.42921606279999</v>
      </c>
      <c r="N62" s="200">
        <v>134.64677082060001</v>
      </c>
      <c r="O62" s="155">
        <f>(N62/M62-1)</f>
        <v>9.9792803962193366E-2</v>
      </c>
      <c r="P62" s="155">
        <f>(N62/B62-1)</f>
        <v>0.66064926672995217</v>
      </c>
      <c r="Q62" s="196"/>
    </row>
    <row r="63" spans="1:17">
      <c r="Q63" s="196"/>
    </row>
    <row r="64" spans="1:17" ht="13.5" customHeight="1">
      <c r="Q64" s="196"/>
    </row>
    <row r="65" spans="1:17">
      <c r="Q65" s="196"/>
    </row>
    <row r="66" spans="1:17">
      <c r="A66" s="228" t="s">
        <v>244</v>
      </c>
      <c r="B66" s="228" t="s">
        <v>245</v>
      </c>
      <c r="Q66" s="196"/>
    </row>
    <row r="67" spans="1:17">
      <c r="A67" s="120" t="s">
        <v>259</v>
      </c>
      <c r="B67" s="163" t="s">
        <v>254</v>
      </c>
      <c r="C67" s="163" t="s">
        <v>255</v>
      </c>
      <c r="D67" s="238" t="s">
        <v>254</v>
      </c>
      <c r="E67" s="239"/>
      <c r="F67" s="252"/>
      <c r="G67" s="238" t="s">
        <v>256</v>
      </c>
      <c r="H67" s="239"/>
      <c r="I67" s="239"/>
      <c r="J67" s="239"/>
      <c r="K67" s="252"/>
      <c r="L67" s="238" t="s">
        <v>257</v>
      </c>
      <c r="M67" s="252"/>
      <c r="N67" s="163" t="s">
        <v>258</v>
      </c>
    </row>
    <row r="68" spans="1:17">
      <c r="A68" s="120" t="s">
        <v>74</v>
      </c>
      <c r="B68" s="163" t="s">
        <v>210</v>
      </c>
      <c r="C68" s="163" t="s">
        <v>212</v>
      </c>
      <c r="D68" s="163" t="s">
        <v>214</v>
      </c>
      <c r="E68" s="163" t="s">
        <v>218</v>
      </c>
      <c r="F68" s="163" t="s">
        <v>221</v>
      </c>
      <c r="G68" s="163" t="s">
        <v>223</v>
      </c>
      <c r="H68" s="163" t="s">
        <v>227</v>
      </c>
      <c r="I68" s="163" t="s">
        <v>229</v>
      </c>
      <c r="J68" s="163" t="s">
        <v>231</v>
      </c>
      <c r="K68" s="163" t="s">
        <v>233</v>
      </c>
      <c r="L68" s="163" t="s">
        <v>239</v>
      </c>
      <c r="M68" s="163" t="s">
        <v>242</v>
      </c>
      <c r="N68" s="163" t="s">
        <v>253</v>
      </c>
    </row>
    <row r="69" spans="1:17">
      <c r="A69" s="120" t="s">
        <v>26</v>
      </c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</row>
    <row r="70" spans="1:17">
      <c r="A70" s="216" t="s">
        <v>261</v>
      </c>
      <c r="B70" s="229">
        <v>20983429.715999998</v>
      </c>
      <c r="C70" s="229">
        <v>19616305.504999999</v>
      </c>
      <c r="D70" s="229">
        <v>19234647.993999999</v>
      </c>
      <c r="E70" s="229">
        <v>19924028.947999999</v>
      </c>
      <c r="F70" s="229">
        <v>21437217.204999998</v>
      </c>
      <c r="G70" s="229">
        <v>22790441.230999999</v>
      </c>
      <c r="H70" s="229">
        <v>19587221.914000001</v>
      </c>
      <c r="I70" s="229">
        <v>20587271.289999999</v>
      </c>
      <c r="J70" s="229">
        <v>18283089.006000001</v>
      </c>
      <c r="K70" s="229">
        <v>19207686.73</v>
      </c>
      <c r="L70" s="229">
        <v>20742421.578000002</v>
      </c>
      <c r="M70" s="229">
        <v>23416414.204999998</v>
      </c>
      <c r="N70" s="229">
        <v>21512750.127</v>
      </c>
    </row>
    <row r="71" spans="1:17">
      <c r="D71" s="62"/>
      <c r="N71" s="155"/>
    </row>
    <row r="72" spans="1:17">
      <c r="D72" s="62"/>
      <c r="N72" s="155"/>
    </row>
    <row r="73" spans="1:17">
      <c r="N73" s="155"/>
    </row>
    <row r="74" spans="1:17">
      <c r="N74" s="155"/>
    </row>
    <row r="75" spans="1:17">
      <c r="M75" s="62"/>
      <c r="N75" s="62"/>
    </row>
    <row r="79" spans="1:17">
      <c r="A79" s="195" t="s">
        <v>18</v>
      </c>
      <c r="B79" s="195"/>
      <c r="C79" s="195"/>
      <c r="D79" s="87"/>
      <c r="E79" s="88"/>
      <c r="F79" s="88"/>
      <c r="I79" s="88"/>
      <c r="J79" s="88"/>
      <c r="K79" s="88"/>
      <c r="L79" s="88"/>
      <c r="M79" s="88"/>
      <c r="N79" s="88"/>
    </row>
    <row r="80" spans="1:17">
      <c r="A80" s="84"/>
      <c r="B80" s="89" t="str">
        <f>MID(B46,6,1)</f>
        <v>A</v>
      </c>
      <c r="C80" s="89" t="str">
        <f t="shared" ref="C80:N80" si="1">MID(C46,6,1)</f>
        <v>S</v>
      </c>
      <c r="D80" s="89" t="str">
        <f t="shared" si="1"/>
        <v>O</v>
      </c>
      <c r="E80" s="89" t="str">
        <f t="shared" si="1"/>
        <v>N</v>
      </c>
      <c r="F80" s="89" t="str">
        <f t="shared" si="1"/>
        <v>D</v>
      </c>
      <c r="G80" s="89" t="str">
        <f t="shared" si="1"/>
        <v>E</v>
      </c>
      <c r="H80" s="89" t="str">
        <f t="shared" si="1"/>
        <v>F</v>
      </c>
      <c r="I80" s="89" t="str">
        <f t="shared" si="1"/>
        <v>M</v>
      </c>
      <c r="J80" s="89" t="str">
        <f t="shared" si="1"/>
        <v>A</v>
      </c>
      <c r="K80" s="89" t="str">
        <f t="shared" si="1"/>
        <v>M</v>
      </c>
      <c r="L80" s="89" t="str">
        <f t="shared" si="1"/>
        <v>J</v>
      </c>
      <c r="M80" s="89" t="str">
        <f t="shared" si="1"/>
        <v>J</v>
      </c>
      <c r="N80" s="89" t="str">
        <f t="shared" si="1"/>
        <v>A</v>
      </c>
    </row>
    <row r="81" spans="1:16">
      <c r="A81" s="85" t="s">
        <v>20</v>
      </c>
      <c r="B81" s="90">
        <f>VLOOKUP("Restricciones PBF",$A$45:$N$62,2,FALSE)</f>
        <v>8.3172733096000009</v>
      </c>
      <c r="C81" s="90">
        <f>VLOOKUP("Restricciones PBF",$A$45:$N$67,3,FALSE)</f>
        <v>10.013033700999999</v>
      </c>
      <c r="D81" s="90">
        <f>VLOOKUP("Restricciones PBF",$A$45:$N$67,4,FALSE)</f>
        <v>11.0648208413</v>
      </c>
      <c r="E81" s="90">
        <f>VLOOKUP("Restricciones PBF",$A$45:$N$67,5,FALSE)</f>
        <v>13.1341028947</v>
      </c>
      <c r="F81" s="90">
        <f>VLOOKUP("Restricciones PBF",$A$45:$N$67,6,FALSE)</f>
        <v>11.4145450111</v>
      </c>
      <c r="G81" s="90">
        <f>VLOOKUP("Restricciones PBF",$A$45:$N$67,7,FALSE)</f>
        <v>11.970237106700001</v>
      </c>
      <c r="H81" s="90">
        <f>VLOOKUP("Restricciones PBF",$A$45:$N$67,8,FALSE)</f>
        <v>21.6334626845</v>
      </c>
      <c r="I81" s="90">
        <f>VLOOKUP("Restricciones PBF",$A$45:$N$67,9,FALSE)</f>
        <v>24.597781079600001</v>
      </c>
      <c r="J81" s="90">
        <f>VLOOKUP("Restricciones PBF",$A$45:$N$67,10,FALSE)</f>
        <v>17.4964251064</v>
      </c>
      <c r="K81" s="90">
        <f>VLOOKUP("Restricciones PBF",$A$45:$N$67,11,FALSE)</f>
        <v>16.0017990174</v>
      </c>
      <c r="L81" s="90">
        <f>VLOOKUP("Restricciones PBF",$A$45:$N$67,12,FALSE)</f>
        <v>12.7360501905</v>
      </c>
      <c r="M81" s="90">
        <f>VLOOKUP("Restricciones PBF",$A$45:$N$67,13,FALSE)</f>
        <v>12.7829078407</v>
      </c>
      <c r="N81" s="90">
        <f>VLOOKUP("Restricciones PBF",$A$45:$N$67,14,FALSE)</f>
        <v>13.1621093911</v>
      </c>
    </row>
    <row r="82" spans="1:16">
      <c r="A82" s="85" t="s">
        <v>23</v>
      </c>
      <c r="B82" s="90">
        <f>VLOOKUP("Restricciones tiempo real",$A$45:$N$62,2,FALSE)</f>
        <v>3.0296625466</v>
      </c>
      <c r="C82" s="90">
        <f>VLOOKUP("Restricciones tiempo real",$A$45:$N$67,3,FALSE)</f>
        <v>4.4346407675000004</v>
      </c>
      <c r="D82" s="90">
        <f>VLOOKUP("Restricciones tiempo real",$A$45:$N$67,4,FALSE)</f>
        <v>4.7822336275000001</v>
      </c>
      <c r="E82" s="90">
        <f>VLOOKUP("Restricciones tiempo real",$A$45:$N$67,5,FALSE)</f>
        <v>1.2714298793000001</v>
      </c>
      <c r="F82" s="90">
        <f>VLOOKUP("Restricciones tiempo real",$A$45:$N$67,6,FALSE)</f>
        <v>1.2625617999000001</v>
      </c>
      <c r="G82" s="90">
        <f>VLOOKUP("Restricciones tiempo real",$A$45:$N$67,7,FALSE)</f>
        <v>1.8598326861000001</v>
      </c>
      <c r="H82" s="90">
        <f>VLOOKUP("Restricciones tiempo real",$A$45:$N$67,8,FALSE)</f>
        <v>1.4358494881999999</v>
      </c>
      <c r="I82" s="90">
        <f>VLOOKUP("Restricciones tiempo real",$A$45:$N$67,9,FALSE)</f>
        <v>1.9075089032999999</v>
      </c>
      <c r="J82" s="90">
        <f>VLOOKUP("Restricciones tiempo real",$A$45:$N$67,10,FALSE)</f>
        <v>2.4546829225</v>
      </c>
      <c r="K82" s="90">
        <f>VLOOKUP("Restricciones tiempo real",$A$45:$N$67,11,FALSE)</f>
        <v>3.4046782386999999</v>
      </c>
      <c r="L82" s="90">
        <f>VLOOKUP("Restricciones tiempo real",$A$45:$N$67,12,FALSE)</f>
        <v>4.0053070122000003</v>
      </c>
      <c r="M82" s="90">
        <f>VLOOKUP("Restricciones tiempo real",$A$45:$N$67,13,FALSE)</f>
        <v>4.5318259035999997</v>
      </c>
      <c r="N82" s="90">
        <f>VLOOKUP("Restricciones tiempo real",$A$45:$N$67,14,FALSE)</f>
        <v>2.6655073215999998</v>
      </c>
    </row>
    <row r="83" spans="1:16">
      <c r="A83" s="85" t="s">
        <v>297</v>
      </c>
      <c r="B83" s="90">
        <f>VLOOKUP("Banda secundaria y RAD",$A$45:$N$67,2,FALSE)</f>
        <v>3.0643609133999998</v>
      </c>
      <c r="C83" s="90">
        <f>VLOOKUP("Banda secundaria y RAD",$A$45:$N$67,3,FALSE)</f>
        <v>3.4183796629000001</v>
      </c>
      <c r="D83" s="90">
        <f>VLOOKUP("Banda secundaria y RAD",$A$45:$N$67,4,FALSE)</f>
        <v>3.5003681948000001</v>
      </c>
      <c r="E83" s="90">
        <f>VLOOKUP("Banda secundaria y RAD",$A$45:$N$67,5,FALSE)</f>
        <v>2.8457156008000002</v>
      </c>
      <c r="F83" s="90">
        <f>VLOOKUP("Banda secundaria y RAD",$A$45:$N$67,6,FALSE)</f>
        <v>2.1806151651999999</v>
      </c>
      <c r="G83" s="90">
        <f>VLOOKUP("Banda secundaria y RAD",$A$45:$N$67,7,FALSE)</f>
        <v>2.9064976129</v>
      </c>
      <c r="H83" s="90">
        <f>VLOOKUP("Banda secundaria y RAD",$A$45:$N$67,8,FALSE)</f>
        <v>3.0122198654000001</v>
      </c>
      <c r="I83" s="90">
        <f>VLOOKUP("Banda secundaria y RAD",$A$45:$N$67,9,FALSE)</f>
        <v>3.0886704305000001</v>
      </c>
      <c r="J83" s="90">
        <f>VLOOKUP("Banda secundaria y RAD",$A$45:$N$67,10,FALSE)</f>
        <v>3.3760902361</v>
      </c>
      <c r="K83" s="90">
        <f>VLOOKUP("Banda secundaria y RAD",$A$45:$N$67,11,FALSE)</f>
        <v>3.5880910248000002</v>
      </c>
      <c r="L83" s="90">
        <f>VLOOKUP("Banda secundaria y RAD",$A$45:$N$67,12,FALSE)</f>
        <v>3.3604573068999999</v>
      </c>
      <c r="M83" s="90">
        <f>VLOOKUP("Banda secundaria y RAD",$A$45:$N$67,13,FALSE)</f>
        <v>2.6099082342000002</v>
      </c>
      <c r="N83" s="90">
        <f>VLOOKUP("Banda secundaria y RAD",$A$45:$N$67,14,FALSE)</f>
        <v>3.3836886223999998</v>
      </c>
    </row>
    <row r="84" spans="1:16">
      <c r="A84" s="85" t="s">
        <v>248</v>
      </c>
      <c r="B84" s="90">
        <f>VLOOKUP($A84,$A$45:$N$67,2,FALSE)</f>
        <v>-0.40278040170000001</v>
      </c>
      <c r="C84" s="90">
        <f>VLOOKUP($A84,$A$45:$N$67,3,FALSE)</f>
        <v>-0.3920110389</v>
      </c>
      <c r="D84" s="90">
        <f>VLOOKUP($A84,$A$45:$N$67,4,FALSE)</f>
        <v>-0.4217273413</v>
      </c>
      <c r="E84" s="90">
        <f>VLOOKUP($A84,$A$45:$N$67,5,FALSE)</f>
        <v>-0.2591310188</v>
      </c>
      <c r="F84" s="90">
        <f>VLOOKUP($A84,$A$45:$N$67,6,FALSE)</f>
        <v>-0.27214773840000001</v>
      </c>
      <c r="G84" s="90">
        <f>VLOOKUP($A84,$A$45:$N$67,7,FALSE)</f>
        <v>-0.35893515259999997</v>
      </c>
      <c r="H84" s="90">
        <f>VLOOKUP($A84,$A$45:$N$67,8,FALSE)</f>
        <v>-0.16065442690000001</v>
      </c>
      <c r="I84" s="90">
        <f>VLOOKUP($A84,$A$45:$N$67,9,FALSE)</f>
        <v>-0.26395337099999999</v>
      </c>
      <c r="J84" s="90">
        <f>VLOOKUP($A84,$A$45:$N$67,10,FALSE)</f>
        <v>-0.37278463680000001</v>
      </c>
      <c r="K84" s="90">
        <f>VLOOKUP($A84,$A$45:$N$67,11,FALSE)</f>
        <v>-0.3418519444</v>
      </c>
      <c r="L84" s="90">
        <f>VLOOKUP($A84,$A$45:$N$67,12,FALSE)</f>
        <v>-0.41104431609999997</v>
      </c>
      <c r="M84" s="90">
        <f>VLOOKUP($A84,$A$45:$N$67,13,FALSE)</f>
        <v>-0.51788736059999996</v>
      </c>
      <c r="N84" s="90">
        <f>VLOOKUP($A84,$A$45:$N$67,14,FALSE)</f>
        <v>-0.63182217200000002</v>
      </c>
    </row>
    <row r="85" spans="1:16">
      <c r="A85" s="85" t="s">
        <v>45</v>
      </c>
      <c r="B85" s="90">
        <f t="shared" ref="B85:B89" si="2">VLOOKUP($A85,$A$45:$N$67,2,FALSE)</f>
        <v>0.45057550540000002</v>
      </c>
      <c r="C85" s="90">
        <f t="shared" ref="C85:C89" si="3">VLOOKUP($A85,$A$45:$N$67,3,FALSE)</f>
        <v>0.50400812340000001</v>
      </c>
      <c r="D85" s="90">
        <f t="shared" ref="D85:D89" si="4">VLOOKUP($A85,$A$45:$N$67,4,FALSE)</f>
        <v>0.24539827189999999</v>
      </c>
      <c r="E85" s="90">
        <f t="shared" ref="E85:E89" si="5">VLOOKUP($A85,$A$45:$N$67,5,FALSE)</f>
        <v>0.38107416049999998</v>
      </c>
      <c r="F85" s="90">
        <f t="shared" ref="F85:F89" si="6">VLOOKUP($A85,$A$45:$N$67,6,FALSE)</f>
        <v>0.25541812660000002</v>
      </c>
      <c r="G85" s="90">
        <f t="shared" ref="G85:G89" si="7">VLOOKUP($A85,$A$45:$N$67,7,FALSE)</f>
        <v>0.40723766010000001</v>
      </c>
      <c r="H85" s="90">
        <f t="shared" ref="H85:H89" si="8">VLOOKUP($A85,$A$45:$N$67,8,FALSE)</f>
        <v>0.40600740839999999</v>
      </c>
      <c r="I85" s="90">
        <f t="shared" ref="I85:I89" si="9">VLOOKUP($A85,$A$45:$N$67,9,FALSE)</f>
        <v>0.55703470430000002</v>
      </c>
      <c r="J85" s="90">
        <f t="shared" ref="J85:J89" si="10">VLOOKUP($A85,$A$45:$N$67,10,FALSE)</f>
        <v>0.50838588620000003</v>
      </c>
      <c r="K85" s="90">
        <f t="shared" ref="K85:K89" si="11">VLOOKUP($A85,$A$45:$N$67,11,FALSE)</f>
        <v>0.40169608849999999</v>
      </c>
      <c r="L85" s="90">
        <f t="shared" ref="L85:L89" si="12">VLOOKUP($A85,$A$45:$N$67,12,FALSE)</f>
        <v>0.37758129699999998</v>
      </c>
      <c r="M85" s="90">
        <f t="shared" ref="M85:M89" si="13">VLOOKUP($A85,$A$45:$N$67,13,FALSE)</f>
        <v>0.38929480529999999</v>
      </c>
      <c r="N85" s="90">
        <f t="shared" ref="N85:N89" si="14">VLOOKUP($A85,$A$45:$N$67,14,FALSE)</f>
        <v>0.71142052879999995</v>
      </c>
    </row>
    <row r="86" spans="1:16">
      <c r="A86" s="85" t="s">
        <v>46</v>
      </c>
      <c r="B86" s="90">
        <f t="shared" si="2"/>
        <v>-0.3003998624</v>
      </c>
      <c r="C86" s="90">
        <f t="shared" si="3"/>
        <v>-0.33396459890000002</v>
      </c>
      <c r="D86" s="90">
        <f t="shared" si="4"/>
        <v>-0.53516769490000005</v>
      </c>
      <c r="E86" s="90">
        <f t="shared" si="5"/>
        <v>-0.25310388439999998</v>
      </c>
      <c r="F86" s="90">
        <f t="shared" si="6"/>
        <v>-0.248547658</v>
      </c>
      <c r="G86" s="90">
        <f t="shared" si="7"/>
        <v>-0.63929019080000005</v>
      </c>
      <c r="H86" s="90">
        <f t="shared" si="8"/>
        <v>-0.39624519879999998</v>
      </c>
      <c r="I86" s="90">
        <f t="shared" si="9"/>
        <v>-0.47887055569999998</v>
      </c>
      <c r="J86" s="90">
        <f t="shared" si="10"/>
        <v>-0.70663214409999997</v>
      </c>
      <c r="K86" s="90">
        <f t="shared" si="11"/>
        <v>-0.67484169670000005</v>
      </c>
      <c r="L86" s="90">
        <f t="shared" si="12"/>
        <v>-0.541069719</v>
      </c>
      <c r="M86" s="90">
        <f t="shared" si="13"/>
        <v>-0.73091203339999999</v>
      </c>
      <c r="N86" s="90">
        <f t="shared" si="14"/>
        <v>-0.52908874689999996</v>
      </c>
    </row>
    <row r="87" spans="1:16">
      <c r="A87" s="85" t="s">
        <v>263</v>
      </c>
      <c r="B87" s="90">
        <f>VLOOKUP("Control FP",$A$45:$N$62,2,FALSE)</f>
        <v>-9.2217392800000006E-2</v>
      </c>
      <c r="C87" s="90">
        <f>VLOOKUP("Control FP",$A$45:$N$67,3,FALSE)</f>
        <v>-0.105220197</v>
      </c>
      <c r="D87" s="90">
        <f>VLOOKUP("Control FP",$A$45:$N$67,4,FALSE)</f>
        <v>-0.10065099299999999</v>
      </c>
      <c r="E87" s="90">
        <f>VLOOKUP("Control FP",$A$45:$N$67,5,FALSE)</f>
        <v>-2.19189337E-2</v>
      </c>
      <c r="F87" s="90">
        <f>VLOOKUP("Control FP",$A$45:$N$67,6,FALSE)</f>
        <v>-2.3110223900000001E-2</v>
      </c>
      <c r="G87" s="90">
        <f>VLOOKUP("Control FP",$A$45:$N$67,7,FALSE)</f>
        <v>-1.2980321499999999E-2</v>
      </c>
      <c r="H87" s="90">
        <f>VLOOKUP("Control FP",$A$45:$N$67,8,FALSE)</f>
        <v>-9.1083589000000003E-3</v>
      </c>
      <c r="I87" s="90">
        <f>VLOOKUP("Control FP",$A$45:$N$67,9,FALSE)</f>
        <v>-1.07512891E-2</v>
      </c>
      <c r="J87" s="90">
        <f>VLOOKUP("Control FP",$A$45:$N$67,10,FALSE)</f>
        <v>-1.3438166E-2</v>
      </c>
      <c r="K87" s="90">
        <f>VLOOKUP("Control FP",$A$45:$N$67,11,FALSE)</f>
        <v>-1.39425381E-2</v>
      </c>
      <c r="L87" s="90">
        <f>VLOOKUP("Control FP",$A$45:$N$67,12,FALSE)</f>
        <v>-1.28734986E-2</v>
      </c>
      <c r="M87" s="90">
        <f>VLOOKUP("Control FP",$A$45:$N$67,13,FALSE)</f>
        <v>-1.18789668E-2</v>
      </c>
      <c r="N87" s="90">
        <f>VLOOKUP("Control FP",$A$45:$N$67,14,FALSE)</f>
        <v>-1.24192347E-2</v>
      </c>
    </row>
    <row r="88" spans="1:16">
      <c r="A88" s="85" t="s">
        <v>180</v>
      </c>
      <c r="B88" s="90">
        <f t="shared" si="2"/>
        <v>-1.0346112711</v>
      </c>
      <c r="C88" s="90">
        <f t="shared" si="3"/>
        <v>-1.2037416037999999</v>
      </c>
      <c r="D88" s="90">
        <f t="shared" si="4"/>
        <v>-1.2846020227999999</v>
      </c>
      <c r="E88" s="90">
        <f t="shared" si="5"/>
        <v>-1.1152159369000001</v>
      </c>
      <c r="F88" s="90">
        <f t="shared" si="6"/>
        <v>-0.96148799370000004</v>
      </c>
      <c r="G88" s="90">
        <f t="shared" si="7"/>
        <v>-1.8345580468</v>
      </c>
      <c r="H88" s="90">
        <f t="shared" si="8"/>
        <v>-2.0537877611000002</v>
      </c>
      <c r="I88" s="90">
        <f t="shared" si="9"/>
        <v>-2.1581527162</v>
      </c>
      <c r="J88" s="90">
        <f t="shared" si="10"/>
        <v>-2.2361829282999999</v>
      </c>
      <c r="K88" s="90">
        <f t="shared" si="11"/>
        <v>-2.1509008767000002</v>
      </c>
      <c r="L88" s="90">
        <f t="shared" si="12"/>
        <v>-2.1074881346000001</v>
      </c>
      <c r="M88" s="90">
        <f t="shared" si="13"/>
        <v>-1.2953741562000001</v>
      </c>
      <c r="N88" s="90">
        <f t="shared" si="14"/>
        <v>-1.2535146162999999</v>
      </c>
    </row>
    <row r="89" spans="1:16">
      <c r="A89" s="85" t="s">
        <v>217</v>
      </c>
      <c r="B89" s="90">
        <f t="shared" si="2"/>
        <v>-7.1994994E-3</v>
      </c>
      <c r="C89" s="90">
        <f t="shared" si="3"/>
        <v>-9.0481981999999996E-3</v>
      </c>
      <c r="D89" s="90">
        <f t="shared" si="4"/>
        <v>-9.3650743999999994E-3</v>
      </c>
      <c r="E89" s="90">
        <f t="shared" si="5"/>
        <v>-9.6264314999999993E-3</v>
      </c>
      <c r="F89" s="90">
        <f t="shared" si="6"/>
        <v>-6.0686467999999999E-3</v>
      </c>
      <c r="G89" s="90">
        <f t="shared" si="7"/>
        <v>-7.8761326999999999E-3</v>
      </c>
      <c r="H89" s="90">
        <f t="shared" si="8"/>
        <v>-7.9624767000000003E-3</v>
      </c>
      <c r="I89" s="90">
        <f t="shared" si="9"/>
        <v>-8.9332396000000001E-3</v>
      </c>
      <c r="J89" s="90">
        <f t="shared" si="10"/>
        <v>-9.3682056999999999E-3</v>
      </c>
      <c r="K89" s="90">
        <f t="shared" si="11"/>
        <v>-1.4168355699999999E-2</v>
      </c>
      <c r="L89" s="90">
        <f t="shared" si="12"/>
        <v>-1.0402473400000001E-2</v>
      </c>
      <c r="M89" s="90">
        <f t="shared" si="13"/>
        <v>-7.9975652000000008E-3</v>
      </c>
      <c r="N89" s="90">
        <f t="shared" si="14"/>
        <v>-9.1797436E-3</v>
      </c>
    </row>
    <row r="90" spans="1:16" ht="12" customHeight="1">
      <c r="A90" s="86" t="s">
        <v>249</v>
      </c>
      <c r="B90" s="91">
        <f>VLOOKUP($A90,$A$45:$N$67,2,FALSE)</f>
        <v>4.5886520600000001E-2</v>
      </c>
      <c r="C90" s="91">
        <f>VLOOKUP($A90,$A$45:$N$67,3,FALSE)</f>
        <v>4.5838618300000002E-2</v>
      </c>
      <c r="D90" s="91">
        <f>VLOOKUP($A90,$A$45:$N$67,4,FALSE)</f>
        <v>5.7668581199999999E-2</v>
      </c>
      <c r="E90" s="91">
        <f>VLOOKUP($A90,$A$45:$N$67,5,FALSE)</f>
        <v>3.8589501200000001E-2</v>
      </c>
      <c r="F90" s="91">
        <f>VLOOKUP($A90,$A$45:$N$67,6,FALSE)</f>
        <v>4.7065211900000001E-2</v>
      </c>
      <c r="G90" s="91">
        <f>VLOOKUP($A90,$A$45:$N$67,7,FALSE)</f>
        <v>4.8204775900000003E-2</v>
      </c>
      <c r="H90" s="91">
        <f>VLOOKUP($A90,$A$45:$N$67,8,FALSE)</f>
        <v>5.1486579599999999E-2</v>
      </c>
      <c r="I90" s="91">
        <f>VLOOKUP($A90,$A$45:$N$67,9,FALSE)</f>
        <v>6.9791495100000003E-2</v>
      </c>
      <c r="J90" s="91">
        <f>VLOOKUP($A90,$A$45:$N$67,10,FALSE)</f>
        <v>0.13952396959999999</v>
      </c>
      <c r="K90" s="91">
        <f>VLOOKUP($A90,$A$45:$N$67,11,FALSE)</f>
        <v>6.1218855500000002E-2</v>
      </c>
      <c r="L90" s="91">
        <f>VLOOKUP($A90,$A$45:$N$67,12,FALSE)</f>
        <v>4.05742547E-2</v>
      </c>
      <c r="M90" s="91">
        <f>VLOOKUP($A90,$A$45:$N$67,13,FALSE)</f>
        <v>3.1481494300000003E-2</v>
      </c>
      <c r="N90" s="91">
        <f>VLOOKUP($A90,$A$45:$N$67,14,FALSE)</f>
        <v>7.6322389000000004E-2</v>
      </c>
      <c r="O90" s="155">
        <f>(SUM(N81:N90)/SUM(B81:B90)-1)</f>
        <v>0.3437095795239018</v>
      </c>
      <c r="P90" s="168">
        <f>O90*100</f>
        <v>34.370957952390178</v>
      </c>
    </row>
    <row r="91" spans="1:16">
      <c r="L91" s="62"/>
      <c r="M91" s="62"/>
      <c r="N91" s="62">
        <f>SUM(N81:N90)</f>
        <v>17.563023739400002</v>
      </c>
    </row>
    <row r="92" spans="1:16">
      <c r="A92" s="104" t="s">
        <v>37</v>
      </c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N92" s="155"/>
    </row>
    <row r="93" spans="1:16" ht="39.6" customHeight="1">
      <c r="A93" s="163"/>
      <c r="B93" s="166" t="s">
        <v>1</v>
      </c>
      <c r="C93" s="166" t="s">
        <v>2</v>
      </c>
      <c r="D93" s="166" t="s">
        <v>38</v>
      </c>
      <c r="E93" s="166" t="s">
        <v>32</v>
      </c>
      <c r="F93" s="166"/>
      <c r="G93" s="166" t="s">
        <v>16</v>
      </c>
      <c r="H93" s="166" t="s">
        <v>31</v>
      </c>
      <c r="I93" s="163" t="s">
        <v>21</v>
      </c>
      <c r="J93" s="166" t="s">
        <v>35</v>
      </c>
      <c r="K93" s="163" t="s">
        <v>0</v>
      </c>
      <c r="L93" s="163" t="s">
        <v>104</v>
      </c>
    </row>
    <row r="94" spans="1:16">
      <c r="A94" s="81" t="s">
        <v>33</v>
      </c>
      <c r="B94" s="102">
        <f>VLOOKUP("Mercado Diario",$A$45:$N$62,14,FALSE)</f>
        <v>117.1824954099</v>
      </c>
      <c r="C94" s="102">
        <f>VLOOKUP("Mercado Intradiario",$A$45:$N$62,14,FALSE)</f>
        <v>-0.24033575190000001</v>
      </c>
      <c r="D94" s="102">
        <f>SUM(B94:C94)</f>
        <v>116.94215965799999</v>
      </c>
      <c r="E94" s="102">
        <f>VLOOKUP("Pago capacidad",$A$45:$N$62,14,FALSE)</f>
        <v>0.14158742299999999</v>
      </c>
      <c r="F94" s="102"/>
      <c r="G94" s="102">
        <f>N91</f>
        <v>17.563023739400002</v>
      </c>
      <c r="H94" s="102">
        <f>VLOOKUP("Restricciones PBF",$A$45:$N$62,14,FALSE)</f>
        <v>13.1621093911</v>
      </c>
      <c r="I94" s="102">
        <f>N83</f>
        <v>3.3836886223999998</v>
      </c>
      <c r="J94" s="102">
        <f>N82+N84+N85+N86+N87+N88+N90+N89</f>
        <v>1.0172257259000002</v>
      </c>
      <c r="K94" s="102">
        <f>N62</f>
        <v>134.64677082060001</v>
      </c>
      <c r="L94" s="215">
        <f>K94-SUM(D94:G94)</f>
        <v>2.00003569261753E-10</v>
      </c>
    </row>
    <row r="95" spans="1:16">
      <c r="A95" s="82"/>
      <c r="B95" s="82"/>
      <c r="C95" s="82"/>
      <c r="D95" s="206">
        <f>D94/$K$94</f>
        <v>0.8685106887101719</v>
      </c>
      <c r="E95" s="206">
        <f>E94/$K$94</f>
        <v>1.0515471120257874E-3</v>
      </c>
      <c r="F95" s="206"/>
      <c r="G95" s="206">
        <f>G94/$K$94</f>
        <v>0.13043776417631683</v>
      </c>
      <c r="H95" s="206">
        <f>H94/$K94</f>
        <v>9.7752878222656117E-2</v>
      </c>
      <c r="I95" s="206">
        <f t="shared" ref="I95:J95" si="15">I94/$K94</f>
        <v>2.5130113420308769E-2</v>
      </c>
      <c r="J95" s="206">
        <f t="shared" si="15"/>
        <v>7.5547725333519229E-3</v>
      </c>
    </row>
    <row r="96" spans="1:16">
      <c r="A96" s="82" t="s">
        <v>115</v>
      </c>
      <c r="B96" s="82"/>
      <c r="C96" s="82"/>
      <c r="D96" s="82"/>
      <c r="E96" s="82"/>
      <c r="F96" s="82"/>
      <c r="G96" s="82"/>
    </row>
    <row r="97" spans="1:7">
      <c r="A97" s="175"/>
      <c r="B97" s="176"/>
      <c r="C97" s="193" t="str">
        <f>N46</f>
        <v>2026 Agosto</v>
      </c>
      <c r="D97" s="163"/>
      <c r="E97" s="175"/>
      <c r="F97" s="176"/>
      <c r="G97" s="169" t="str">
        <f>B46</f>
        <v>2025 Agosto</v>
      </c>
    </row>
    <row r="98" spans="1:7">
      <c r="A98" s="119" t="s">
        <v>44</v>
      </c>
      <c r="B98" s="90"/>
      <c r="C98" s="90">
        <f>IF(VLOOKUP(A98,$A$45:$N$62,14,FALSE)=0,"-",VLOOKUP(A98,$A$45:$N$62,14,FALSE)*$N$70)</f>
        <v>283153170.47497439</v>
      </c>
      <c r="D98" s="90"/>
      <c r="E98" s="119" t="s">
        <v>44</v>
      </c>
      <c r="F98" s="90"/>
      <c r="G98" s="90">
        <f>IF(VLOOKUP(E98,$A$45:$N$62,2,FALSE)=0,"-",VLOOKUP(E98,$A$45:$N$62,2,FALSE)*$B$70)</f>
        <v>174524919.92075431</v>
      </c>
    </row>
    <row r="99" spans="1:7">
      <c r="A99" s="119" t="s">
        <v>246</v>
      </c>
      <c r="B99" s="90"/>
      <c r="C99" s="90">
        <f>IF(VLOOKUP(A99,$A$45:$N$62,14,FALSE)=0,"-",VLOOKUP(A99,$A$45:$N$62,14,FALSE)*$N$70)</f>
        <v>57342392.971269824</v>
      </c>
      <c r="D99" s="90"/>
      <c r="E99" s="119" t="s">
        <v>246</v>
      </c>
      <c r="F99" s="90"/>
      <c r="G99" s="90">
        <f t="shared" ref="G99:G106" si="16">IF(VLOOKUP(E99,$A$45:$N$62,2,FALSE)=0,"-",VLOOKUP(E99,$A$45:$N$62,2,FALSE)*$B$70)</f>
        <v>63572711.109778672</v>
      </c>
    </row>
    <row r="100" spans="1:7">
      <c r="A100" s="119" t="s">
        <v>247</v>
      </c>
      <c r="B100" s="90"/>
      <c r="C100" s="90">
        <f t="shared" ref="C100:C107" si="17">IF(VLOOKUP(A100,$A$45:$N$62,14,FALSE)=0,"-",VLOOKUP(A100,$A$45:$N$62,14,FALSE)*$N$70)</f>
        <v>72792447.841264054</v>
      </c>
      <c r="D100" s="90"/>
      <c r="E100" s="119" t="s">
        <v>247</v>
      </c>
      <c r="F100" s="90"/>
      <c r="G100" s="90">
        <f t="shared" si="16"/>
        <v>64300801.850786455</v>
      </c>
    </row>
    <row r="101" spans="1:7">
      <c r="A101" s="85" t="s">
        <v>248</v>
      </c>
      <c r="B101" s="90"/>
      <c r="C101" s="90">
        <f t="shared" si="17"/>
        <v>-13592232.510934416</v>
      </c>
      <c r="D101" s="90"/>
      <c r="E101" s="85" t="s">
        <v>248</v>
      </c>
      <c r="F101" s="90"/>
      <c r="G101" s="90">
        <f t="shared" si="16"/>
        <v>-8451714.2500541955</v>
      </c>
    </row>
    <row r="102" spans="1:7">
      <c r="A102" s="119" t="s">
        <v>180</v>
      </c>
      <c r="B102" s="90"/>
      <c r="C102" s="90">
        <f t="shared" si="17"/>
        <v>-26966546.721004181</v>
      </c>
      <c r="D102" s="90"/>
      <c r="E102" s="119" t="s">
        <v>180</v>
      </c>
      <c r="F102" s="90"/>
      <c r="G102" s="90">
        <f t="shared" si="16"/>
        <v>-21709692.890508268</v>
      </c>
    </row>
    <row r="103" spans="1:7">
      <c r="A103" s="119" t="s">
        <v>45</v>
      </c>
      <c r="B103" s="90"/>
      <c r="C103" s="90">
        <f t="shared" si="17"/>
        <v>15304612.071292607</v>
      </c>
      <c r="D103" s="90"/>
      <c r="E103" s="119" t="s">
        <v>45</v>
      </c>
      <c r="F103" s="90"/>
      <c r="G103" s="90">
        <f t="shared" si="16"/>
        <v>9454619.4493120778</v>
      </c>
    </row>
    <row r="104" spans="1:7">
      <c r="A104" s="119" t="s">
        <v>46</v>
      </c>
      <c r="B104" s="90"/>
      <c r="C104" s="90">
        <f t="shared" si="17"/>
        <v>-11382154.007067244</v>
      </c>
      <c r="D104" s="90"/>
      <c r="E104" s="119" t="s">
        <v>46</v>
      </c>
      <c r="F104" s="90"/>
      <c r="G104" s="90">
        <f t="shared" si="16"/>
        <v>-6303419.3993664701</v>
      </c>
    </row>
    <row r="105" spans="1:7">
      <c r="A105" s="119" t="s">
        <v>249</v>
      </c>
      <c r="B105" s="90"/>
      <c r="C105" s="90">
        <f t="shared" si="17"/>
        <v>1641904.4836526935</v>
      </c>
      <c r="D105" s="90"/>
      <c r="E105" s="119" t="s">
        <v>249</v>
      </c>
      <c r="F105" s="90"/>
      <c r="G105" s="90">
        <f t="shared" si="16"/>
        <v>962856.57992188609</v>
      </c>
    </row>
    <row r="106" spans="1:7">
      <c r="A106" s="119" t="s">
        <v>250</v>
      </c>
      <c r="B106" s="90"/>
      <c r="C106" s="90">
        <f t="shared" si="17"/>
        <v>-267171.89286966779</v>
      </c>
      <c r="D106" s="90"/>
      <c r="E106" s="119" t="s">
        <v>250</v>
      </c>
      <c r="F106" s="90"/>
      <c r="G106" s="90">
        <f t="shared" si="16"/>
        <v>-1935037.1804115644</v>
      </c>
    </row>
    <row r="107" spans="1:7">
      <c r="A107" s="86" t="s">
        <v>217</v>
      </c>
      <c r="B107" s="118"/>
      <c r="C107" s="148">
        <f t="shared" si="17"/>
        <v>-197481.53029672743</v>
      </c>
      <c r="D107" s="86"/>
      <c r="E107" s="86" t="s">
        <v>217</v>
      </c>
      <c r="F107" s="86"/>
      <c r="G107" s="148">
        <f>IF(VLOOKUP(E107,$A$45:$N$62,2,FALSE)=0,"-",VLOOKUP(E107,$A$45:$N$62,2,FALSE)*$B$70)</f>
        <v>-151070.18965028416</v>
      </c>
    </row>
    <row r="109" spans="1:7" ht="12.6" customHeight="1">
      <c r="A109" s="213"/>
    </row>
    <row r="110" spans="1:7" ht="12.6" customHeight="1">
      <c r="A110" s="203" t="s">
        <v>188</v>
      </c>
    </row>
    <row r="111" spans="1:7" ht="12.6" customHeight="1">
      <c r="A111" s="203" t="s">
        <v>187</v>
      </c>
    </row>
    <row r="112" spans="1:7" ht="12.6" customHeight="1">
      <c r="A112" s="203" t="s">
        <v>189</v>
      </c>
    </row>
    <row r="113" spans="1:9" ht="12.6" customHeight="1">
      <c r="A113" s="203" t="s">
        <v>190</v>
      </c>
    </row>
    <row r="114" spans="1:9" ht="12.6" customHeight="1">
      <c r="A114" s="203">
        <f>A65</f>
        <v>0</v>
      </c>
    </row>
    <row r="115" spans="1:9" ht="12.6" customHeight="1">
      <c r="A115" s="203" t="str">
        <f>A66</f>
        <v>Contratación</v>
      </c>
    </row>
    <row r="116" spans="1:9" ht="12.6" customHeight="1"/>
    <row r="117" spans="1:9">
      <c r="A117" s="82" t="s">
        <v>169</v>
      </c>
      <c r="B117" s="162"/>
      <c r="C117" s="162"/>
    </row>
    <row r="118" spans="1:9">
      <c r="A118" s="120" t="s">
        <v>26</v>
      </c>
      <c r="B118" s="244"/>
      <c r="C118" s="245"/>
    </row>
    <row r="119" spans="1:9">
      <c r="A119" s="140" t="s">
        <v>74</v>
      </c>
      <c r="B119" s="163" t="s">
        <v>210</v>
      </c>
      <c r="C119" s="163" t="s">
        <v>253</v>
      </c>
    </row>
    <row r="120" spans="1:9">
      <c r="A120" s="120" t="s">
        <v>148</v>
      </c>
      <c r="B120" s="161"/>
      <c r="C120" s="161"/>
    </row>
    <row r="121" spans="1:9">
      <c r="A121" s="216" t="s">
        <v>57</v>
      </c>
      <c r="B121" s="143">
        <v>2436.9612999999999</v>
      </c>
      <c r="C121" s="143">
        <v>2959.7569250000001</v>
      </c>
      <c r="D121" t="str">
        <f>A121</f>
        <v>Restricciones Técnicas al PBF</v>
      </c>
      <c r="F121" s="158" t="s">
        <v>156</v>
      </c>
      <c r="H121" s="165">
        <f>SUM(B121:B122)</f>
        <v>2985.0774110000002</v>
      </c>
      <c r="I121" s="165">
        <f>SUM(C121:C122)</f>
        <v>3327.2888160000002</v>
      </c>
    </row>
    <row r="122" spans="1:9">
      <c r="A122" s="216" t="s">
        <v>58</v>
      </c>
      <c r="B122" s="143">
        <v>548.11611100000005</v>
      </c>
      <c r="C122" s="143">
        <v>367.53189099999997</v>
      </c>
      <c r="D122" t="s">
        <v>144</v>
      </c>
      <c r="F122" s="159" t="s">
        <v>157</v>
      </c>
      <c r="H122" s="165">
        <f>SUM(B123:B126)</f>
        <v>708.25901999999996</v>
      </c>
      <c r="I122" s="165">
        <f>SUM(C123:C126)</f>
        <v>1169.8850240000002</v>
      </c>
    </row>
    <row r="123" spans="1:9">
      <c r="A123" s="216" t="s">
        <v>52</v>
      </c>
      <c r="B123" s="143">
        <v>142.86923200000001</v>
      </c>
      <c r="C123" s="143">
        <v>151.69331299999999</v>
      </c>
      <c r="D123" t="str">
        <f>A123</f>
        <v>Regulación secundaria</v>
      </c>
    </row>
    <row r="124" spans="1:9">
      <c r="A124" s="216" t="s">
        <v>3</v>
      </c>
      <c r="B124" s="143">
        <v>503.98356799999999</v>
      </c>
      <c r="C124" s="143">
        <v>973.53226099999995</v>
      </c>
      <c r="D124" t="str">
        <f>A124</f>
        <v>Regulación terciaria</v>
      </c>
    </row>
    <row r="125" spans="1:9">
      <c r="A125" s="141" t="s">
        <v>149</v>
      </c>
      <c r="B125" s="143">
        <f>B317/1000</f>
        <v>0</v>
      </c>
      <c r="C125" s="143">
        <f>N317/1000</f>
        <v>0</v>
      </c>
      <c r="D125" t="s">
        <v>149</v>
      </c>
    </row>
    <row r="126" spans="1:9">
      <c r="A126" s="141" t="s">
        <v>158</v>
      </c>
      <c r="B126" s="143">
        <f>B394/1000</f>
        <v>61.406220000000005</v>
      </c>
      <c r="C126" s="143">
        <f>N394/1000</f>
        <v>44.65945</v>
      </c>
      <c r="D126" t="s">
        <v>160</v>
      </c>
    </row>
    <row r="127" spans="1:9">
      <c r="B127" s="184"/>
      <c r="C127" s="184"/>
    </row>
    <row r="128" spans="1:9">
      <c r="A128" s="82"/>
    </row>
    <row r="130" spans="1:17">
      <c r="A130" s="82" t="s">
        <v>164</v>
      </c>
      <c r="C130" s="160" t="str">
        <f>MID(C132,6,1)</f>
        <v>A</v>
      </c>
      <c r="D130" s="160" t="str">
        <f t="shared" ref="D130:O130" si="18">MID(D132,6,1)</f>
        <v>S</v>
      </c>
      <c r="E130" s="160" t="str">
        <f t="shared" si="18"/>
        <v>O</v>
      </c>
      <c r="F130" s="160" t="str">
        <f t="shared" si="18"/>
        <v>N</v>
      </c>
      <c r="G130" s="160" t="str">
        <f t="shared" si="18"/>
        <v>D</v>
      </c>
      <c r="H130" s="160" t="str">
        <f t="shared" si="18"/>
        <v>E</v>
      </c>
      <c r="I130" s="160" t="str">
        <f t="shared" si="18"/>
        <v>F</v>
      </c>
      <c r="J130" s="160" t="str">
        <f t="shared" si="18"/>
        <v>M</v>
      </c>
      <c r="K130" s="160" t="str">
        <f t="shared" si="18"/>
        <v>A</v>
      </c>
      <c r="L130" s="160" t="str">
        <f t="shared" si="18"/>
        <v>M</v>
      </c>
      <c r="M130" s="160" t="str">
        <f t="shared" si="18"/>
        <v>J</v>
      </c>
      <c r="N130" s="160" t="str">
        <f t="shared" si="18"/>
        <v>J</v>
      </c>
      <c r="O130" s="160" t="str">
        <f t="shared" si="18"/>
        <v>A</v>
      </c>
      <c r="P130" s="116"/>
      <c r="Q130" s="116"/>
    </row>
    <row r="131" spans="1:17">
      <c r="A131" s="120"/>
      <c r="B131" s="120" t="s">
        <v>26</v>
      </c>
      <c r="C131" s="248" t="s">
        <v>107</v>
      </c>
      <c r="D131" s="249"/>
      <c r="E131" s="249"/>
      <c r="F131" s="249"/>
      <c r="G131" s="249"/>
      <c r="H131" s="249"/>
      <c r="I131" s="249"/>
      <c r="J131" s="249"/>
      <c r="K131" s="249"/>
      <c r="L131" s="249"/>
      <c r="M131" s="249"/>
      <c r="N131" s="249"/>
      <c r="O131" s="249"/>
      <c r="P131" s="116"/>
      <c r="Q131" s="116"/>
    </row>
    <row r="132" spans="1:17">
      <c r="A132" s="120"/>
      <c r="B132" s="140" t="s">
        <v>74</v>
      </c>
      <c r="C132" s="163" t="s">
        <v>210</v>
      </c>
      <c r="D132" s="163" t="s">
        <v>212</v>
      </c>
      <c r="E132" s="163" t="s">
        <v>214</v>
      </c>
      <c r="F132" s="163" t="s">
        <v>218</v>
      </c>
      <c r="G132" s="163" t="s">
        <v>221</v>
      </c>
      <c r="H132" s="163" t="s">
        <v>223</v>
      </c>
      <c r="I132" s="163" t="s">
        <v>227</v>
      </c>
      <c r="J132" s="163" t="s">
        <v>229</v>
      </c>
      <c r="K132" s="163" t="s">
        <v>231</v>
      </c>
      <c r="L132" s="163" t="s">
        <v>233</v>
      </c>
      <c r="M132" s="163" t="s">
        <v>239</v>
      </c>
      <c r="N132" s="163" t="s">
        <v>242</v>
      </c>
      <c r="O132" s="163" t="s">
        <v>253</v>
      </c>
      <c r="P132" s="116"/>
      <c r="Q132" s="116"/>
    </row>
    <row r="133" spans="1:17">
      <c r="A133" s="120" t="s">
        <v>105</v>
      </c>
      <c r="B133" s="120" t="s">
        <v>106</v>
      </c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97"/>
      <c r="Q133" s="116"/>
    </row>
    <row r="134" spans="1:17">
      <c r="A134" s="237" t="s">
        <v>59</v>
      </c>
      <c r="B134" s="216" t="s">
        <v>19</v>
      </c>
      <c r="C134" s="108">
        <v>6200</v>
      </c>
      <c r="D134" s="108">
        <v>0</v>
      </c>
      <c r="E134" s="108">
        <v>0</v>
      </c>
      <c r="F134" s="108">
        <v>350</v>
      </c>
      <c r="G134" s="108">
        <v>325</v>
      </c>
      <c r="H134" s="108">
        <v>0</v>
      </c>
      <c r="I134" s="108">
        <v>0</v>
      </c>
      <c r="J134" s="108">
        <v>40.4</v>
      </c>
      <c r="K134" s="108">
        <v>0</v>
      </c>
      <c r="L134" s="108">
        <v>0</v>
      </c>
      <c r="M134" s="108">
        <v>560</v>
      </c>
      <c r="N134" s="108">
        <v>800.5</v>
      </c>
      <c r="O134" s="108">
        <v>2479.6</v>
      </c>
      <c r="P134" s="197"/>
      <c r="Q134" s="198"/>
    </row>
    <row r="135" spans="1:17">
      <c r="A135" s="235"/>
      <c r="B135" s="216" t="s">
        <v>64</v>
      </c>
      <c r="C135" s="108">
        <v>0</v>
      </c>
      <c r="D135" s="108">
        <v>0</v>
      </c>
      <c r="E135" s="108">
        <v>0</v>
      </c>
      <c r="F135" s="108">
        <v>4180</v>
      </c>
      <c r="G135" s="108">
        <v>20</v>
      </c>
      <c r="H135" s="108">
        <v>6400</v>
      </c>
      <c r="I135" s="108">
        <v>0</v>
      </c>
      <c r="J135" s="108">
        <v>222.5</v>
      </c>
      <c r="K135" s="108">
        <v>0</v>
      </c>
      <c r="L135" s="108">
        <v>0</v>
      </c>
      <c r="M135" s="108">
        <v>0</v>
      </c>
      <c r="N135" s="108">
        <v>0</v>
      </c>
      <c r="O135" s="108">
        <v>436.2</v>
      </c>
      <c r="P135" s="197"/>
      <c r="Q135" s="198"/>
    </row>
    <row r="136" spans="1:17">
      <c r="A136" s="235"/>
      <c r="B136" s="216" t="s">
        <v>60</v>
      </c>
      <c r="C136" s="108">
        <v>3428.3</v>
      </c>
      <c r="D136" s="108">
        <v>35476.800000000003</v>
      </c>
      <c r="E136" s="108">
        <v>116112.4</v>
      </c>
      <c r="F136" s="108">
        <v>47755.224999999999</v>
      </c>
      <c r="G136" s="108">
        <v>22947.875</v>
      </c>
      <c r="H136" s="108">
        <v>276494.25</v>
      </c>
      <c r="I136" s="108">
        <v>1412402.7749999999</v>
      </c>
      <c r="J136" s="108">
        <v>737126.35</v>
      </c>
      <c r="K136" s="108">
        <v>389717.02500000002</v>
      </c>
      <c r="L136" s="108">
        <v>66445.3</v>
      </c>
      <c r="M136" s="108">
        <v>0</v>
      </c>
      <c r="N136" s="108">
        <v>0</v>
      </c>
      <c r="O136" s="108">
        <v>15</v>
      </c>
      <c r="P136" s="197"/>
      <c r="Q136" s="198"/>
    </row>
    <row r="137" spans="1:17">
      <c r="A137" s="235"/>
      <c r="B137" s="216" t="s">
        <v>61</v>
      </c>
      <c r="C137" s="108">
        <v>0</v>
      </c>
      <c r="D137" s="108">
        <v>0</v>
      </c>
      <c r="E137" s="108">
        <v>1113.75</v>
      </c>
      <c r="F137" s="108">
        <v>1856.25</v>
      </c>
      <c r="G137" s="108">
        <v>28208.75</v>
      </c>
      <c r="H137" s="108">
        <v>16238.75</v>
      </c>
      <c r="I137" s="108">
        <v>0</v>
      </c>
      <c r="J137" s="108">
        <v>4501.25</v>
      </c>
      <c r="K137" s="108">
        <v>0</v>
      </c>
      <c r="L137" s="108">
        <v>80685</v>
      </c>
      <c r="M137" s="108">
        <v>4496.25</v>
      </c>
      <c r="N137" s="108">
        <v>7920</v>
      </c>
      <c r="O137" s="108">
        <v>2186.25</v>
      </c>
      <c r="P137" s="197"/>
      <c r="Q137" s="198"/>
    </row>
    <row r="138" spans="1:17">
      <c r="A138" s="235"/>
      <c r="B138" s="216" t="s">
        <v>209</v>
      </c>
      <c r="C138" s="108">
        <v>121642</v>
      </c>
      <c r="D138" s="108">
        <v>152270</v>
      </c>
      <c r="E138" s="108">
        <v>177310</v>
      </c>
      <c r="F138" s="108">
        <v>182152.5</v>
      </c>
      <c r="G138" s="108">
        <v>214170</v>
      </c>
      <c r="H138" s="108">
        <v>164145</v>
      </c>
      <c r="I138" s="108">
        <v>183987.5</v>
      </c>
      <c r="J138" s="108">
        <v>177258</v>
      </c>
      <c r="K138" s="108">
        <v>168570</v>
      </c>
      <c r="L138" s="108">
        <v>248057.5</v>
      </c>
      <c r="M138" s="108">
        <v>198430</v>
      </c>
      <c r="N138" s="108">
        <v>211937.5</v>
      </c>
      <c r="O138" s="108">
        <v>232325</v>
      </c>
      <c r="P138" s="197"/>
      <c r="Q138" s="198"/>
    </row>
    <row r="139" spans="1:17">
      <c r="A139" s="235"/>
      <c r="B139" s="216" t="s">
        <v>22</v>
      </c>
      <c r="C139" s="108">
        <v>1579291.4</v>
      </c>
      <c r="D139" s="108">
        <v>1564029</v>
      </c>
      <c r="E139" s="108">
        <v>1759136.875</v>
      </c>
      <c r="F139" s="108">
        <v>2229306.125</v>
      </c>
      <c r="G139" s="108">
        <v>2288776.85</v>
      </c>
      <c r="H139" s="108">
        <v>1972270.0249999999</v>
      </c>
      <c r="I139" s="108">
        <v>1802866.25</v>
      </c>
      <c r="J139" s="108">
        <v>2245754.85</v>
      </c>
      <c r="K139" s="108">
        <v>1767077.7</v>
      </c>
      <c r="L139" s="108">
        <v>1796778.675</v>
      </c>
      <c r="M139" s="108">
        <v>1800810.7250000001</v>
      </c>
      <c r="N139" s="108">
        <v>2123256.2749999999</v>
      </c>
      <c r="O139" s="108">
        <v>1845566.125</v>
      </c>
      <c r="P139" s="197"/>
      <c r="Q139" s="198"/>
    </row>
    <row r="140" spans="1:17">
      <c r="A140" s="235"/>
      <c r="B140" s="216" t="s">
        <v>65</v>
      </c>
      <c r="C140" s="108">
        <v>0</v>
      </c>
      <c r="D140" s="108">
        <v>0</v>
      </c>
      <c r="E140" s="108">
        <v>0</v>
      </c>
      <c r="F140" s="108">
        <v>0</v>
      </c>
      <c r="G140" s="108">
        <v>1.95</v>
      </c>
      <c r="H140" s="108">
        <v>0</v>
      </c>
      <c r="I140" s="108">
        <v>45.975000000000001</v>
      </c>
      <c r="J140" s="108">
        <v>0.1</v>
      </c>
      <c r="K140" s="108">
        <v>7.4999999999999997E-2</v>
      </c>
      <c r="L140" s="108">
        <v>5.2</v>
      </c>
      <c r="M140" s="108">
        <v>0</v>
      </c>
      <c r="N140" s="108">
        <v>0</v>
      </c>
      <c r="O140" s="108">
        <v>0.32500000000000001</v>
      </c>
      <c r="P140" s="197"/>
      <c r="Q140" s="198"/>
    </row>
    <row r="141" spans="1:17">
      <c r="A141" s="235"/>
      <c r="B141" s="216" t="s">
        <v>66</v>
      </c>
      <c r="C141" s="108">
        <v>0</v>
      </c>
      <c r="D141" s="108">
        <v>0</v>
      </c>
      <c r="E141" s="108">
        <v>0</v>
      </c>
      <c r="F141" s="108">
        <v>0</v>
      </c>
      <c r="G141" s="108">
        <v>0</v>
      </c>
      <c r="H141" s="108">
        <v>0</v>
      </c>
      <c r="I141" s="108">
        <v>0</v>
      </c>
      <c r="J141" s="108">
        <v>0</v>
      </c>
      <c r="K141" s="108">
        <v>68.05</v>
      </c>
      <c r="L141" s="108">
        <v>0</v>
      </c>
      <c r="M141" s="108">
        <v>0</v>
      </c>
      <c r="N141" s="108">
        <v>0</v>
      </c>
      <c r="O141" s="108">
        <v>0</v>
      </c>
      <c r="P141" s="197"/>
      <c r="Q141" s="198"/>
    </row>
    <row r="142" spans="1:17">
      <c r="A142" s="235"/>
      <c r="B142" s="216" t="s">
        <v>67</v>
      </c>
      <c r="C142" s="108">
        <v>0</v>
      </c>
      <c r="D142" s="108">
        <v>0</v>
      </c>
      <c r="E142" s="108">
        <v>0</v>
      </c>
      <c r="F142" s="108">
        <v>0</v>
      </c>
      <c r="G142" s="108">
        <v>0</v>
      </c>
      <c r="H142" s="108">
        <v>0</v>
      </c>
      <c r="I142" s="108">
        <v>0</v>
      </c>
      <c r="J142" s="108">
        <v>0</v>
      </c>
      <c r="K142" s="108">
        <v>0</v>
      </c>
      <c r="L142" s="108">
        <v>0</v>
      </c>
      <c r="M142" s="108">
        <v>0</v>
      </c>
      <c r="N142" s="108">
        <v>0</v>
      </c>
      <c r="O142" s="108">
        <v>0</v>
      </c>
      <c r="P142" s="197"/>
      <c r="Q142" s="198"/>
    </row>
    <row r="143" spans="1:17">
      <c r="A143" s="235"/>
      <c r="B143" s="216" t="s">
        <v>68</v>
      </c>
      <c r="C143" s="108">
        <v>0</v>
      </c>
      <c r="D143" s="108">
        <v>3926.6</v>
      </c>
      <c r="E143" s="108">
        <v>3783.1750000000002</v>
      </c>
      <c r="F143" s="108">
        <v>510</v>
      </c>
      <c r="G143" s="108">
        <v>1691.4</v>
      </c>
      <c r="H143" s="108">
        <v>0</v>
      </c>
      <c r="I143" s="108">
        <v>484.6</v>
      </c>
      <c r="J143" s="108">
        <v>162.69999999999999</v>
      </c>
      <c r="K143" s="108">
        <v>3580.8249999999998</v>
      </c>
      <c r="L143" s="108">
        <v>14218.55</v>
      </c>
      <c r="M143" s="108">
        <v>2422.625</v>
      </c>
      <c r="N143" s="108">
        <v>366.2</v>
      </c>
      <c r="O143" s="108">
        <v>4626.375</v>
      </c>
      <c r="P143" s="197"/>
      <c r="Q143" s="198"/>
    </row>
    <row r="144" spans="1:17">
      <c r="A144" s="235"/>
      <c r="B144" s="216" t="s">
        <v>69</v>
      </c>
      <c r="C144" s="108">
        <v>0</v>
      </c>
      <c r="D144" s="108">
        <v>0</v>
      </c>
      <c r="E144" s="108">
        <v>0</v>
      </c>
      <c r="F144" s="108">
        <v>122</v>
      </c>
      <c r="G144" s="108">
        <v>0</v>
      </c>
      <c r="H144" s="108">
        <v>0</v>
      </c>
      <c r="I144" s="108">
        <v>0</v>
      </c>
      <c r="J144" s="108">
        <v>0</v>
      </c>
      <c r="K144" s="108">
        <v>662.6</v>
      </c>
      <c r="L144" s="108">
        <v>3199.9</v>
      </c>
      <c r="M144" s="108">
        <v>288</v>
      </c>
      <c r="N144" s="108">
        <v>0</v>
      </c>
      <c r="O144" s="108">
        <v>48</v>
      </c>
      <c r="P144" s="197"/>
      <c r="Q144" s="198"/>
    </row>
    <row r="145" spans="1:17">
      <c r="A145" s="235"/>
      <c r="B145" s="216" t="s">
        <v>73</v>
      </c>
      <c r="C145" s="108">
        <v>0</v>
      </c>
      <c r="D145" s="108">
        <v>0</v>
      </c>
      <c r="E145" s="108">
        <v>0</v>
      </c>
      <c r="F145" s="108">
        <v>0</v>
      </c>
      <c r="G145" s="108">
        <v>0</v>
      </c>
      <c r="H145" s="108">
        <v>0</v>
      </c>
      <c r="I145" s="108">
        <v>0</v>
      </c>
      <c r="J145" s="108">
        <v>0</v>
      </c>
      <c r="K145" s="108">
        <v>0</v>
      </c>
      <c r="L145" s="108">
        <v>0</v>
      </c>
      <c r="M145" s="108">
        <v>0</v>
      </c>
      <c r="N145" s="108">
        <v>0</v>
      </c>
      <c r="O145" s="108">
        <v>0</v>
      </c>
      <c r="P145" s="197"/>
      <c r="Q145" s="198"/>
    </row>
    <row r="146" spans="1:17">
      <c r="A146" s="235"/>
      <c r="B146" s="216" t="s">
        <v>62</v>
      </c>
      <c r="C146" s="108">
        <v>6601</v>
      </c>
      <c r="D146" s="108">
        <v>184</v>
      </c>
      <c r="E146" s="108">
        <v>42602.3</v>
      </c>
      <c r="F146" s="108">
        <v>0</v>
      </c>
      <c r="G146" s="108">
        <v>0</v>
      </c>
      <c r="H146" s="108">
        <v>5827.6750000000002</v>
      </c>
      <c r="I146" s="108">
        <v>255.75</v>
      </c>
      <c r="J146" s="108">
        <v>0</v>
      </c>
      <c r="K146" s="108">
        <v>1386.25</v>
      </c>
      <c r="L146" s="108">
        <v>26413.075000000001</v>
      </c>
      <c r="M146" s="108">
        <v>33439.525000000001</v>
      </c>
      <c r="N146" s="108">
        <v>45833.05</v>
      </c>
      <c r="O146" s="108">
        <v>31974.7</v>
      </c>
      <c r="P146" s="197"/>
      <c r="Q146" s="198"/>
    </row>
    <row r="147" spans="1:17">
      <c r="A147" s="235"/>
      <c r="B147" s="216" t="s">
        <v>70</v>
      </c>
      <c r="C147" s="108">
        <v>0</v>
      </c>
      <c r="D147" s="108">
        <v>0</v>
      </c>
      <c r="E147" s="108">
        <v>0</v>
      </c>
      <c r="F147" s="108">
        <v>0</v>
      </c>
      <c r="G147" s="108">
        <v>0</v>
      </c>
      <c r="H147" s="108">
        <v>0</v>
      </c>
      <c r="I147" s="108">
        <v>0</v>
      </c>
      <c r="J147" s="108">
        <v>0</v>
      </c>
      <c r="K147" s="108">
        <v>0</v>
      </c>
      <c r="L147" s="108">
        <v>0</v>
      </c>
      <c r="M147" s="108">
        <v>0</v>
      </c>
      <c r="N147" s="108">
        <v>0</v>
      </c>
      <c r="O147" s="108">
        <v>0</v>
      </c>
      <c r="P147" s="197"/>
      <c r="Q147" s="198"/>
    </row>
    <row r="148" spans="1:17">
      <c r="A148" s="235"/>
      <c r="B148" s="216" t="s">
        <v>71</v>
      </c>
      <c r="C148" s="108">
        <v>0</v>
      </c>
      <c r="D148" s="108">
        <v>0</v>
      </c>
      <c r="E148" s="108">
        <v>0</v>
      </c>
      <c r="F148" s="108">
        <v>0</v>
      </c>
      <c r="G148" s="108">
        <v>0</v>
      </c>
      <c r="H148" s="108">
        <v>0</v>
      </c>
      <c r="I148" s="108">
        <v>0</v>
      </c>
      <c r="J148" s="108">
        <v>0</v>
      </c>
      <c r="K148" s="108">
        <v>0</v>
      </c>
      <c r="L148" s="108">
        <v>0</v>
      </c>
      <c r="M148" s="108">
        <v>0</v>
      </c>
      <c r="N148" s="108">
        <v>0</v>
      </c>
      <c r="O148" s="108">
        <v>0</v>
      </c>
      <c r="P148" s="197"/>
      <c r="Q148" s="198"/>
    </row>
    <row r="149" spans="1:17">
      <c r="A149" s="235"/>
      <c r="B149" s="216" t="s">
        <v>72</v>
      </c>
      <c r="C149" s="108">
        <v>0</v>
      </c>
      <c r="D149" s="108">
        <v>0</v>
      </c>
      <c r="E149" s="108">
        <v>0</v>
      </c>
      <c r="F149" s="108">
        <v>0</v>
      </c>
      <c r="G149" s="108">
        <v>0</v>
      </c>
      <c r="H149" s="108">
        <v>0</v>
      </c>
      <c r="I149" s="108">
        <v>0</v>
      </c>
      <c r="J149" s="108">
        <v>0</v>
      </c>
      <c r="K149" s="108">
        <v>0</v>
      </c>
      <c r="L149" s="108">
        <v>0</v>
      </c>
      <c r="M149" s="108">
        <v>0</v>
      </c>
      <c r="N149" s="108">
        <v>0</v>
      </c>
      <c r="O149" s="108">
        <v>0</v>
      </c>
      <c r="P149" s="197"/>
      <c r="Q149" s="198"/>
    </row>
    <row r="150" spans="1:17">
      <c r="A150" s="235"/>
      <c r="B150" s="216" t="s">
        <v>170</v>
      </c>
      <c r="C150" s="108">
        <v>0</v>
      </c>
      <c r="D150" s="108">
        <v>0</v>
      </c>
      <c r="E150" s="108">
        <v>0</v>
      </c>
      <c r="F150" s="108">
        <v>0</v>
      </c>
      <c r="G150" s="108">
        <v>0</v>
      </c>
      <c r="H150" s="108">
        <v>0</v>
      </c>
      <c r="I150" s="108">
        <v>0</v>
      </c>
      <c r="J150" s="108">
        <v>0</v>
      </c>
      <c r="K150" s="108">
        <v>0</v>
      </c>
      <c r="L150" s="108">
        <v>0</v>
      </c>
      <c r="M150" s="108">
        <v>0</v>
      </c>
      <c r="N150" s="108">
        <v>0</v>
      </c>
      <c r="O150" s="108">
        <v>0</v>
      </c>
      <c r="P150" s="197"/>
      <c r="Q150" s="198"/>
    </row>
    <row r="151" spans="1:17">
      <c r="A151" s="235"/>
      <c r="B151" s="216" t="s">
        <v>195</v>
      </c>
      <c r="C151" s="108">
        <v>0</v>
      </c>
      <c r="D151" s="108">
        <v>0</v>
      </c>
      <c r="E151" s="108">
        <v>0</v>
      </c>
      <c r="F151" s="108">
        <v>0</v>
      </c>
      <c r="G151" s="108">
        <v>0</v>
      </c>
      <c r="H151" s="108">
        <v>0</v>
      </c>
      <c r="I151" s="108">
        <v>0</v>
      </c>
      <c r="J151" s="108">
        <v>0</v>
      </c>
      <c r="K151" s="108">
        <v>0</v>
      </c>
      <c r="L151" s="108">
        <v>0</v>
      </c>
      <c r="M151" s="108">
        <v>0</v>
      </c>
      <c r="N151" s="108">
        <v>0</v>
      </c>
      <c r="O151" s="108">
        <v>0</v>
      </c>
      <c r="P151" s="172" t="e">
        <f>O152/C152-1</f>
        <v>#DIV/0!</v>
      </c>
      <c r="Q151" s="171"/>
    </row>
    <row r="152" spans="1:17">
      <c r="A152" s="235"/>
      <c r="B152" s="216" t="s">
        <v>196</v>
      </c>
      <c r="C152" s="108">
        <v>0</v>
      </c>
      <c r="D152" s="108">
        <v>0</v>
      </c>
      <c r="E152" s="108">
        <v>0</v>
      </c>
      <c r="F152" s="108">
        <v>0</v>
      </c>
      <c r="G152" s="108">
        <v>0</v>
      </c>
      <c r="H152" s="108">
        <v>0</v>
      </c>
      <c r="I152" s="108">
        <v>0</v>
      </c>
      <c r="J152" s="108">
        <v>0</v>
      </c>
      <c r="K152" s="108">
        <v>0</v>
      </c>
      <c r="L152" s="108">
        <v>0</v>
      </c>
      <c r="M152" s="108">
        <v>0</v>
      </c>
      <c r="N152" s="108">
        <v>0</v>
      </c>
      <c r="O152" s="108">
        <v>0</v>
      </c>
      <c r="P152" s="197"/>
      <c r="Q152" s="172"/>
    </row>
    <row r="153" spans="1:17">
      <c r="A153" s="236"/>
      <c r="B153" s="230" t="s">
        <v>0</v>
      </c>
      <c r="C153" s="231">
        <v>1717162.7</v>
      </c>
      <c r="D153" s="231">
        <v>1755886.4</v>
      </c>
      <c r="E153" s="231">
        <v>2100058.5</v>
      </c>
      <c r="F153" s="231">
        <v>2466232.1</v>
      </c>
      <c r="G153" s="231">
        <v>2556141.8250000002</v>
      </c>
      <c r="H153" s="231">
        <v>2441375.7000000002</v>
      </c>
      <c r="I153" s="231">
        <v>3400042.85</v>
      </c>
      <c r="J153" s="231">
        <v>3165066.15</v>
      </c>
      <c r="K153" s="231">
        <v>2331062.5249999999</v>
      </c>
      <c r="L153" s="231">
        <v>2235803.2000000002</v>
      </c>
      <c r="M153" s="231">
        <v>2040447.125</v>
      </c>
      <c r="N153" s="231">
        <v>2390113.5249999999</v>
      </c>
      <c r="O153" s="231">
        <v>2119657.5750000002</v>
      </c>
      <c r="P153" s="197"/>
      <c r="Q153" s="172"/>
    </row>
    <row r="154" spans="1:17">
      <c r="A154" s="234" t="s">
        <v>63</v>
      </c>
      <c r="B154" s="216" t="s">
        <v>19</v>
      </c>
      <c r="C154" s="108">
        <v>5333.8</v>
      </c>
      <c r="D154" s="108">
        <v>590.20000000000005</v>
      </c>
      <c r="E154" s="108">
        <v>3512.0250000000001</v>
      </c>
      <c r="F154" s="108">
        <v>1413.4749999999999</v>
      </c>
      <c r="G154" s="108">
        <v>1024.3499999999999</v>
      </c>
      <c r="H154" s="108">
        <v>1795.875</v>
      </c>
      <c r="I154" s="108">
        <v>1039.625</v>
      </c>
      <c r="J154" s="108">
        <v>5338.625</v>
      </c>
      <c r="K154" s="108">
        <v>1104.5250000000001</v>
      </c>
      <c r="L154" s="108">
        <v>7640.5749999999998</v>
      </c>
      <c r="M154" s="108">
        <v>16187.55</v>
      </c>
      <c r="N154" s="108">
        <v>35947.1</v>
      </c>
      <c r="O154" s="108">
        <v>14745.375</v>
      </c>
      <c r="P154" s="197"/>
      <c r="Q154" s="172"/>
    </row>
    <row r="155" spans="1:17">
      <c r="A155" s="235"/>
      <c r="B155" s="216" t="s">
        <v>64</v>
      </c>
      <c r="C155" s="108">
        <v>2955</v>
      </c>
      <c r="D155" s="108">
        <v>300</v>
      </c>
      <c r="E155" s="108">
        <v>475.42500000000001</v>
      </c>
      <c r="F155" s="108">
        <v>0</v>
      </c>
      <c r="G155" s="108">
        <v>1120.6500000000001</v>
      </c>
      <c r="H155" s="108">
        <v>7136.4750000000004</v>
      </c>
      <c r="I155" s="108">
        <v>0</v>
      </c>
      <c r="J155" s="108">
        <v>0</v>
      </c>
      <c r="K155" s="108">
        <v>0</v>
      </c>
      <c r="L155" s="108">
        <v>0</v>
      </c>
      <c r="M155" s="108">
        <v>3146.65</v>
      </c>
      <c r="N155" s="108">
        <v>3159.7</v>
      </c>
      <c r="O155" s="108">
        <v>7863.8249999999998</v>
      </c>
      <c r="P155" s="197"/>
      <c r="Q155" s="172"/>
    </row>
    <row r="156" spans="1:17">
      <c r="A156" s="235"/>
      <c r="B156" s="216" t="s">
        <v>60</v>
      </c>
      <c r="C156" s="108">
        <v>0</v>
      </c>
      <c r="D156" s="108">
        <v>0</v>
      </c>
      <c r="E156" s="108">
        <v>0</v>
      </c>
      <c r="F156" s="108">
        <v>0</v>
      </c>
      <c r="G156" s="108">
        <v>0</v>
      </c>
      <c r="H156" s="108">
        <v>0</v>
      </c>
      <c r="I156" s="108">
        <v>0</v>
      </c>
      <c r="J156" s="108">
        <v>0</v>
      </c>
      <c r="K156" s="108">
        <v>0</v>
      </c>
      <c r="L156" s="108">
        <v>0</v>
      </c>
      <c r="M156" s="108">
        <v>0</v>
      </c>
      <c r="N156" s="108">
        <v>0</v>
      </c>
      <c r="O156" s="108">
        <v>0</v>
      </c>
      <c r="P156" s="197"/>
      <c r="Q156" s="172"/>
    </row>
    <row r="157" spans="1:17">
      <c r="A157" s="235"/>
      <c r="B157" s="216" t="s">
        <v>61</v>
      </c>
      <c r="C157" s="108">
        <v>0</v>
      </c>
      <c r="D157" s="108">
        <v>0</v>
      </c>
      <c r="E157" s="108">
        <v>0</v>
      </c>
      <c r="F157" s="108">
        <v>0</v>
      </c>
      <c r="G157" s="108">
        <v>0</v>
      </c>
      <c r="H157" s="108">
        <v>0</v>
      </c>
      <c r="I157" s="108">
        <v>0</v>
      </c>
      <c r="J157" s="108">
        <v>0</v>
      </c>
      <c r="K157" s="108">
        <v>0</v>
      </c>
      <c r="L157" s="108">
        <v>0</v>
      </c>
      <c r="M157" s="108">
        <v>0</v>
      </c>
      <c r="N157" s="108">
        <v>0</v>
      </c>
      <c r="O157" s="108">
        <v>0</v>
      </c>
      <c r="P157" s="197"/>
      <c r="Q157" s="172"/>
    </row>
    <row r="158" spans="1:17">
      <c r="A158" s="235"/>
      <c r="B158" s="216" t="s">
        <v>209</v>
      </c>
      <c r="C158" s="108">
        <v>0</v>
      </c>
      <c r="D158" s="108">
        <v>0</v>
      </c>
      <c r="E158" s="108">
        <v>0</v>
      </c>
      <c r="F158" s="108">
        <v>0</v>
      </c>
      <c r="G158" s="108">
        <v>0</v>
      </c>
      <c r="H158" s="108">
        <v>0</v>
      </c>
      <c r="I158" s="108">
        <v>0</v>
      </c>
      <c r="J158" s="108">
        <v>0</v>
      </c>
      <c r="K158" s="108">
        <v>0</v>
      </c>
      <c r="L158" s="108">
        <v>0</v>
      </c>
      <c r="M158" s="108">
        <v>0</v>
      </c>
      <c r="N158" s="108">
        <v>0</v>
      </c>
      <c r="O158" s="108">
        <v>0</v>
      </c>
      <c r="P158" s="197"/>
      <c r="Q158" s="172"/>
    </row>
    <row r="159" spans="1:17">
      <c r="A159" s="235"/>
      <c r="B159" s="216" t="s">
        <v>22</v>
      </c>
      <c r="C159" s="108">
        <v>50</v>
      </c>
      <c r="D159" s="108">
        <v>0</v>
      </c>
      <c r="E159" s="108">
        <v>2064.65</v>
      </c>
      <c r="F159" s="108">
        <v>0</v>
      </c>
      <c r="G159" s="108">
        <v>0</v>
      </c>
      <c r="H159" s="108">
        <v>0</v>
      </c>
      <c r="I159" s="108">
        <v>0</v>
      </c>
      <c r="J159" s="108">
        <v>0</v>
      </c>
      <c r="K159" s="108">
        <v>0.05</v>
      </c>
      <c r="L159" s="108">
        <v>0.2</v>
      </c>
      <c r="M159" s="108">
        <v>225</v>
      </c>
      <c r="N159" s="108">
        <v>3798.5749999999998</v>
      </c>
      <c r="O159" s="108">
        <v>6937.7749999999996</v>
      </c>
      <c r="P159" s="197"/>
      <c r="Q159" s="172"/>
    </row>
    <row r="160" spans="1:17">
      <c r="A160" s="235"/>
      <c r="B160" s="216" t="s">
        <v>65</v>
      </c>
      <c r="C160" s="108">
        <v>56148.9</v>
      </c>
      <c r="D160" s="108">
        <v>56799.5</v>
      </c>
      <c r="E160" s="108">
        <v>34956.199999999997</v>
      </c>
      <c r="F160" s="108">
        <v>97151.95</v>
      </c>
      <c r="G160" s="108">
        <v>29674</v>
      </c>
      <c r="H160" s="108">
        <v>99597.85</v>
      </c>
      <c r="I160" s="108">
        <v>43719</v>
      </c>
      <c r="J160" s="108">
        <v>41271.824999999997</v>
      </c>
      <c r="K160" s="108">
        <v>55651.074999999997</v>
      </c>
      <c r="L160" s="108">
        <v>59874.224999999999</v>
      </c>
      <c r="M160" s="108">
        <v>135726.875</v>
      </c>
      <c r="N160" s="108">
        <v>175807.55</v>
      </c>
      <c r="O160" s="108">
        <v>72487.675000000003</v>
      </c>
      <c r="P160" s="197"/>
      <c r="Q160" s="172"/>
    </row>
    <row r="161" spans="1:20">
      <c r="A161" s="235"/>
      <c r="B161" s="216" t="s">
        <v>66</v>
      </c>
      <c r="C161" s="108">
        <v>476231.7</v>
      </c>
      <c r="D161" s="108">
        <v>271516.40000000002</v>
      </c>
      <c r="E161" s="108">
        <v>213512.32500000001</v>
      </c>
      <c r="F161" s="108">
        <v>56866.375</v>
      </c>
      <c r="G161" s="108">
        <v>21074.125</v>
      </c>
      <c r="H161" s="108">
        <v>26307.4</v>
      </c>
      <c r="I161" s="108">
        <v>30605.775000000001</v>
      </c>
      <c r="J161" s="108">
        <v>86208.574999999997</v>
      </c>
      <c r="K161" s="108">
        <v>153492.85</v>
      </c>
      <c r="L161" s="108">
        <v>550152.4</v>
      </c>
      <c r="M161" s="108">
        <v>893021.47499999998</v>
      </c>
      <c r="N161" s="108">
        <v>1075670.95</v>
      </c>
      <c r="O161" s="108">
        <v>665242.77500000002</v>
      </c>
      <c r="P161" s="197"/>
      <c r="Q161" s="172"/>
      <c r="R161" s="179"/>
      <c r="S161" s="179"/>
      <c r="T161" s="179"/>
    </row>
    <row r="162" spans="1:20">
      <c r="A162" s="235"/>
      <c r="B162" s="216" t="s">
        <v>67</v>
      </c>
      <c r="C162" s="108">
        <v>162140.4</v>
      </c>
      <c r="D162" s="108">
        <v>141481</v>
      </c>
      <c r="E162" s="108">
        <v>62144.5</v>
      </c>
      <c r="F162" s="108">
        <v>3088</v>
      </c>
      <c r="G162" s="108">
        <v>45.174999999999997</v>
      </c>
      <c r="H162" s="108">
        <v>0</v>
      </c>
      <c r="I162" s="108">
        <v>2614.2249999999999</v>
      </c>
      <c r="J162" s="108">
        <v>13848.65</v>
      </c>
      <c r="K162" s="108">
        <v>44588.7</v>
      </c>
      <c r="L162" s="108">
        <v>64747.55</v>
      </c>
      <c r="M162" s="108">
        <v>86086.399999999994</v>
      </c>
      <c r="N162" s="108">
        <v>99126.625</v>
      </c>
      <c r="O162" s="108">
        <v>51663.3</v>
      </c>
      <c r="P162" s="197"/>
      <c r="Q162" s="172"/>
      <c r="R162" s="179"/>
      <c r="S162" s="179"/>
      <c r="T162" s="179"/>
    </row>
    <row r="163" spans="1:20">
      <c r="A163" s="235"/>
      <c r="B163" s="216" t="s">
        <v>68</v>
      </c>
      <c r="C163" s="108">
        <v>6711.8</v>
      </c>
      <c r="D163" s="108">
        <v>4636.2</v>
      </c>
      <c r="E163" s="108">
        <v>5121.7749999999996</v>
      </c>
      <c r="F163" s="108">
        <v>2187.375</v>
      </c>
      <c r="G163" s="108">
        <v>2346</v>
      </c>
      <c r="H163" s="108">
        <v>1324.15</v>
      </c>
      <c r="I163" s="108">
        <v>797.95</v>
      </c>
      <c r="J163" s="108">
        <v>1588</v>
      </c>
      <c r="K163" s="108">
        <v>622.02499999999998</v>
      </c>
      <c r="L163" s="108">
        <v>7562.45</v>
      </c>
      <c r="M163" s="108">
        <v>17891</v>
      </c>
      <c r="N163" s="108">
        <v>18730.650000000001</v>
      </c>
      <c r="O163" s="108">
        <v>4830.7</v>
      </c>
      <c r="P163" s="197"/>
      <c r="Q163" s="172"/>
      <c r="R163" s="179"/>
      <c r="S163" s="179"/>
      <c r="T163" s="179"/>
    </row>
    <row r="164" spans="1:20">
      <c r="A164" s="235"/>
      <c r="B164" s="216" t="s">
        <v>69</v>
      </c>
      <c r="C164" s="108">
        <v>7511.7</v>
      </c>
      <c r="D164" s="108">
        <v>5732.6</v>
      </c>
      <c r="E164" s="108">
        <v>3899.8249999999998</v>
      </c>
      <c r="F164" s="108">
        <v>278.82499999999999</v>
      </c>
      <c r="G164" s="108">
        <v>63.45</v>
      </c>
      <c r="H164" s="108">
        <v>154.19999999999999</v>
      </c>
      <c r="I164" s="108">
        <v>194.35</v>
      </c>
      <c r="J164" s="108">
        <v>946.25</v>
      </c>
      <c r="K164" s="108">
        <v>1790.2249999999999</v>
      </c>
      <c r="L164" s="108">
        <v>6165.9750000000004</v>
      </c>
      <c r="M164" s="108">
        <v>8592.3250000000007</v>
      </c>
      <c r="N164" s="108">
        <v>11325.525</v>
      </c>
      <c r="O164" s="108">
        <v>6315.35</v>
      </c>
      <c r="P164" s="197"/>
      <c r="Q164" s="172"/>
      <c r="R164" s="179"/>
      <c r="S164" s="179"/>
      <c r="T164" s="179"/>
    </row>
    <row r="165" spans="1:20">
      <c r="A165" s="235"/>
      <c r="B165" s="216" t="s">
        <v>73</v>
      </c>
      <c r="C165" s="108">
        <v>118</v>
      </c>
      <c r="D165" s="108">
        <v>0</v>
      </c>
      <c r="E165" s="108">
        <v>411.55</v>
      </c>
      <c r="F165" s="108">
        <v>17</v>
      </c>
      <c r="G165" s="108">
        <v>98</v>
      </c>
      <c r="H165" s="108">
        <v>0</v>
      </c>
      <c r="I165" s="108">
        <v>0</v>
      </c>
      <c r="J165" s="108">
        <v>0</v>
      </c>
      <c r="K165" s="108">
        <v>0</v>
      </c>
      <c r="L165" s="108">
        <v>0</v>
      </c>
      <c r="M165" s="108">
        <v>0</v>
      </c>
      <c r="N165" s="108">
        <v>0</v>
      </c>
      <c r="O165" s="108">
        <v>0</v>
      </c>
      <c r="P165" s="197"/>
      <c r="Q165" s="172"/>
      <c r="R165" s="179"/>
      <c r="S165" s="179"/>
      <c r="T165" s="179"/>
    </row>
    <row r="166" spans="1:20">
      <c r="A166" s="235"/>
      <c r="B166" s="216" t="s">
        <v>62</v>
      </c>
      <c r="C166" s="108">
        <v>0</v>
      </c>
      <c r="D166" s="108">
        <v>0</v>
      </c>
      <c r="E166" s="108">
        <v>0</v>
      </c>
      <c r="F166" s="108">
        <v>142.5</v>
      </c>
      <c r="G166" s="108">
        <v>0</v>
      </c>
      <c r="H166" s="108">
        <v>0</v>
      </c>
      <c r="I166" s="108">
        <v>28.55</v>
      </c>
      <c r="J166" s="108">
        <v>0</v>
      </c>
      <c r="K166" s="108">
        <v>182.5</v>
      </c>
      <c r="L166" s="108">
        <v>0</v>
      </c>
      <c r="M166" s="108">
        <v>0</v>
      </c>
      <c r="N166" s="108">
        <v>0</v>
      </c>
      <c r="O166" s="108">
        <v>13.3</v>
      </c>
      <c r="P166" s="197"/>
      <c r="Q166" s="172"/>
      <c r="R166" s="179"/>
      <c r="S166" s="179"/>
      <c r="T166" s="179"/>
    </row>
    <row r="167" spans="1:20">
      <c r="A167" s="235"/>
      <c r="B167" s="216" t="s">
        <v>70</v>
      </c>
      <c r="C167" s="108">
        <v>0</v>
      </c>
      <c r="D167" s="108">
        <v>0</v>
      </c>
      <c r="E167" s="108">
        <v>0</v>
      </c>
      <c r="F167" s="108">
        <v>0</v>
      </c>
      <c r="G167" s="108">
        <v>0</v>
      </c>
      <c r="H167" s="108">
        <v>0</v>
      </c>
      <c r="I167" s="108">
        <v>0</v>
      </c>
      <c r="J167" s="108">
        <v>0</v>
      </c>
      <c r="K167" s="108">
        <v>0</v>
      </c>
      <c r="L167" s="108">
        <v>0</v>
      </c>
      <c r="M167" s="108">
        <v>0</v>
      </c>
      <c r="N167" s="108">
        <v>0</v>
      </c>
      <c r="O167" s="108">
        <v>0</v>
      </c>
      <c r="P167" s="197"/>
      <c r="Q167" s="172"/>
      <c r="R167" s="179"/>
      <c r="S167" s="179"/>
      <c r="T167" s="179"/>
    </row>
    <row r="168" spans="1:20">
      <c r="A168" s="235"/>
      <c r="B168" s="216" t="s">
        <v>71</v>
      </c>
      <c r="C168" s="108">
        <v>0</v>
      </c>
      <c r="D168" s="108">
        <v>0</v>
      </c>
      <c r="E168" s="108">
        <v>0</v>
      </c>
      <c r="F168" s="108">
        <v>0</v>
      </c>
      <c r="G168" s="108">
        <v>0</v>
      </c>
      <c r="H168" s="108">
        <v>0</v>
      </c>
      <c r="I168" s="108">
        <v>0</v>
      </c>
      <c r="J168" s="108">
        <v>0</v>
      </c>
      <c r="K168" s="108">
        <v>0</v>
      </c>
      <c r="L168" s="108">
        <v>0</v>
      </c>
      <c r="M168" s="108">
        <v>0</v>
      </c>
      <c r="N168" s="108">
        <v>0</v>
      </c>
      <c r="O168" s="108">
        <v>0</v>
      </c>
      <c r="P168" s="197"/>
      <c r="Q168" s="172"/>
      <c r="R168" s="179"/>
      <c r="S168" s="179"/>
      <c r="T168" s="179"/>
    </row>
    <row r="169" spans="1:20">
      <c r="A169" s="235"/>
      <c r="B169" s="216" t="s">
        <v>72</v>
      </c>
      <c r="C169" s="108">
        <v>0</v>
      </c>
      <c r="D169" s="108">
        <v>0</v>
      </c>
      <c r="E169" s="108">
        <v>0</v>
      </c>
      <c r="F169" s="108">
        <v>0</v>
      </c>
      <c r="G169" s="108">
        <v>0</v>
      </c>
      <c r="H169" s="108">
        <v>0</v>
      </c>
      <c r="I169" s="108">
        <v>0</v>
      </c>
      <c r="J169" s="108">
        <v>0</v>
      </c>
      <c r="K169" s="108">
        <v>0</v>
      </c>
      <c r="L169" s="108">
        <v>0</v>
      </c>
      <c r="M169" s="108">
        <v>0</v>
      </c>
      <c r="N169" s="108">
        <v>0</v>
      </c>
      <c r="O169" s="108">
        <v>0</v>
      </c>
      <c r="P169" s="172" t="e">
        <f>O171/C171-1</f>
        <v>#DIV/0!</v>
      </c>
      <c r="Q169" s="172"/>
      <c r="R169" s="179"/>
      <c r="S169" s="179"/>
      <c r="T169" s="179"/>
    </row>
    <row r="170" spans="1:20">
      <c r="A170" s="235"/>
      <c r="B170" s="216" t="s">
        <v>170</v>
      </c>
      <c r="C170" s="108">
        <v>0</v>
      </c>
      <c r="D170" s="108">
        <v>0</v>
      </c>
      <c r="E170" s="108">
        <v>0</v>
      </c>
      <c r="F170" s="108">
        <v>0</v>
      </c>
      <c r="G170" s="108">
        <v>0</v>
      </c>
      <c r="H170" s="108">
        <v>0</v>
      </c>
      <c r="I170" s="108">
        <v>0</v>
      </c>
      <c r="J170" s="108">
        <v>0</v>
      </c>
      <c r="K170" s="108">
        <v>0</v>
      </c>
      <c r="L170" s="108">
        <v>0</v>
      </c>
      <c r="M170" s="108">
        <v>0</v>
      </c>
      <c r="N170" s="108">
        <v>0</v>
      </c>
      <c r="O170" s="108">
        <v>0</v>
      </c>
      <c r="P170" s="183"/>
      <c r="Q170" s="179"/>
      <c r="R170" s="179"/>
      <c r="S170" s="179"/>
      <c r="T170" s="179"/>
    </row>
    <row r="171" spans="1:20">
      <c r="A171" s="235"/>
      <c r="B171" s="216" t="s">
        <v>195</v>
      </c>
      <c r="C171" s="108">
        <v>0</v>
      </c>
      <c r="D171" s="108">
        <v>0</v>
      </c>
      <c r="E171" s="108">
        <v>0</v>
      </c>
      <c r="F171" s="108">
        <v>0</v>
      </c>
      <c r="G171" s="108">
        <v>0</v>
      </c>
      <c r="H171" s="108">
        <v>0</v>
      </c>
      <c r="I171" s="108">
        <v>0</v>
      </c>
      <c r="J171" s="108">
        <v>0</v>
      </c>
      <c r="K171" s="108">
        <v>0</v>
      </c>
      <c r="L171" s="108">
        <v>0</v>
      </c>
      <c r="M171" s="108">
        <v>0</v>
      </c>
      <c r="N171" s="108">
        <v>0</v>
      </c>
      <c r="O171" s="108">
        <v>0</v>
      </c>
      <c r="P171" s="179"/>
      <c r="Q171" s="179"/>
      <c r="R171" s="179"/>
      <c r="S171" s="179"/>
      <c r="T171" s="179"/>
    </row>
    <row r="172" spans="1:20">
      <c r="A172" s="235"/>
      <c r="B172" s="216" t="s">
        <v>196</v>
      </c>
      <c r="C172" s="108">
        <v>2597.3000000000002</v>
      </c>
      <c r="D172" s="108">
        <v>1616.4</v>
      </c>
      <c r="E172" s="108">
        <v>3975.2750000000001</v>
      </c>
      <c r="F172" s="108">
        <v>2081.5500000000002</v>
      </c>
      <c r="G172" s="108">
        <v>203.125</v>
      </c>
      <c r="H172" s="108">
        <v>335.75</v>
      </c>
      <c r="I172" s="108">
        <v>543.04999999999995</v>
      </c>
      <c r="J172" s="108">
        <v>2176.5500000000002</v>
      </c>
      <c r="K172" s="108">
        <v>3757.2249999999999</v>
      </c>
      <c r="L172" s="108">
        <v>6669.6</v>
      </c>
      <c r="M172" s="108">
        <v>18283.599999999999</v>
      </c>
      <c r="N172" s="108">
        <v>25329.275000000001</v>
      </c>
      <c r="O172" s="108">
        <v>9999.2749999999996</v>
      </c>
      <c r="P172" s="201"/>
      <c r="Q172" s="201"/>
      <c r="R172" s="179"/>
      <c r="S172" s="179"/>
      <c r="T172" s="179"/>
    </row>
    <row r="173" spans="1:20">
      <c r="A173" s="236"/>
      <c r="B173" s="230" t="s">
        <v>0</v>
      </c>
      <c r="C173" s="231">
        <v>719798.6</v>
      </c>
      <c r="D173" s="231">
        <v>482672.3</v>
      </c>
      <c r="E173" s="231">
        <v>330073.55</v>
      </c>
      <c r="F173" s="231">
        <v>163227.04999999999</v>
      </c>
      <c r="G173" s="231">
        <v>55648.875</v>
      </c>
      <c r="H173" s="231">
        <v>136651.70000000001</v>
      </c>
      <c r="I173" s="231">
        <v>79542.524999999994</v>
      </c>
      <c r="J173" s="231">
        <v>151378.47500000001</v>
      </c>
      <c r="K173" s="231">
        <v>261189.17499999999</v>
      </c>
      <c r="L173" s="231">
        <v>702812.97499999998</v>
      </c>
      <c r="M173" s="231">
        <v>1179160.875</v>
      </c>
      <c r="N173" s="231">
        <v>1448895.95</v>
      </c>
      <c r="O173" s="231">
        <v>840099.35</v>
      </c>
      <c r="P173" s="202"/>
      <c r="Q173" s="202"/>
      <c r="R173" s="179"/>
      <c r="S173" s="179"/>
      <c r="T173" s="179"/>
    </row>
    <row r="174" spans="1:20">
      <c r="P174" s="179"/>
      <c r="Q174" s="179"/>
      <c r="R174" s="179"/>
      <c r="S174" s="179"/>
      <c r="T174" s="179"/>
    </row>
    <row r="175" spans="1:20">
      <c r="C175" s="184"/>
      <c r="O175" s="184"/>
      <c r="P175" s="179"/>
      <c r="Q175" s="179"/>
      <c r="R175" s="179"/>
      <c r="S175" s="179"/>
      <c r="T175" s="179"/>
    </row>
    <row r="176" spans="1:20">
      <c r="O176" s="179"/>
      <c r="P176" s="179"/>
      <c r="Q176" s="179"/>
      <c r="R176" s="179"/>
      <c r="S176" s="179"/>
      <c r="T176" s="179"/>
    </row>
    <row r="177" spans="1:21">
      <c r="O177" s="179"/>
      <c r="P177" s="179"/>
      <c r="Q177" s="179"/>
      <c r="R177" s="179"/>
      <c r="S177" s="179"/>
      <c r="T177" s="179"/>
    </row>
    <row r="179" spans="1:21">
      <c r="A179" s="82" t="s">
        <v>198</v>
      </c>
      <c r="B179" s="179"/>
    </row>
    <row r="180" spans="1:21">
      <c r="B180" s="181" t="str">
        <f>MID(B181,6,1)</f>
        <v>A</v>
      </c>
      <c r="C180" s="181" t="str">
        <f t="shared" ref="C180:N180" si="19">MID(C181,6,1)</f>
        <v>S</v>
      </c>
      <c r="D180" s="181" t="str">
        <f t="shared" si="19"/>
        <v>O</v>
      </c>
      <c r="E180" s="181" t="str">
        <f t="shared" si="19"/>
        <v>N</v>
      </c>
      <c r="F180" s="181" t="str">
        <f t="shared" si="19"/>
        <v>D</v>
      </c>
      <c r="G180" s="181" t="str">
        <f t="shared" si="19"/>
        <v>E</v>
      </c>
      <c r="H180" s="181" t="str">
        <f t="shared" si="19"/>
        <v>F</v>
      </c>
      <c r="I180" s="181" t="str">
        <f t="shared" si="19"/>
        <v>M</v>
      </c>
      <c r="J180" s="181" t="str">
        <f t="shared" si="19"/>
        <v>A</v>
      </c>
      <c r="K180" s="181" t="str">
        <f t="shared" si="19"/>
        <v>M</v>
      </c>
      <c r="L180" s="181" t="str">
        <f t="shared" si="19"/>
        <v>J</v>
      </c>
      <c r="M180" s="181" t="str">
        <f t="shared" si="19"/>
        <v>J</v>
      </c>
      <c r="N180" s="181" t="str">
        <f t="shared" si="19"/>
        <v>A</v>
      </c>
    </row>
    <row r="181" spans="1:21">
      <c r="A181" s="120" t="s">
        <v>74</v>
      </c>
      <c r="B181" s="220" t="s">
        <v>210</v>
      </c>
      <c r="C181" s="220" t="s">
        <v>212</v>
      </c>
      <c r="D181" s="220" t="s">
        <v>214</v>
      </c>
      <c r="E181" s="220" t="s">
        <v>218</v>
      </c>
      <c r="F181" s="220" t="s">
        <v>221</v>
      </c>
      <c r="G181" s="220" t="s">
        <v>223</v>
      </c>
      <c r="H181" s="220" t="s">
        <v>227</v>
      </c>
      <c r="I181" s="220" t="s">
        <v>229</v>
      </c>
      <c r="J181" s="220" t="s">
        <v>231</v>
      </c>
      <c r="K181" s="220" t="s">
        <v>233</v>
      </c>
      <c r="L181" s="220" t="s">
        <v>239</v>
      </c>
      <c r="M181" s="220" t="s">
        <v>242</v>
      </c>
      <c r="N181" s="220" t="s">
        <v>253</v>
      </c>
      <c r="P181" s="116"/>
    </row>
    <row r="182" spans="1:21">
      <c r="A182" s="120" t="s">
        <v>26</v>
      </c>
      <c r="B182" s="221"/>
      <c r="C182" s="221"/>
      <c r="D182" s="221"/>
      <c r="E182" s="221"/>
      <c r="F182" s="221"/>
      <c r="G182" s="221"/>
      <c r="H182" s="221"/>
      <c r="I182" s="221"/>
      <c r="J182" s="221"/>
      <c r="K182" s="221"/>
      <c r="L182" s="221"/>
      <c r="M182" s="221"/>
      <c r="N182" s="221"/>
      <c r="P182" s="116"/>
    </row>
    <row r="183" spans="1:21">
      <c r="A183" s="216" t="s">
        <v>48</v>
      </c>
      <c r="B183" s="143">
        <v>1193.3899305555501</v>
      </c>
      <c r="C183" s="143">
        <v>1186.784375</v>
      </c>
      <c r="D183" s="143">
        <v>1187.643624161075</v>
      </c>
      <c r="E183" s="143">
        <v>1178.9524305555501</v>
      </c>
      <c r="F183" s="143">
        <v>1180.338709677425</v>
      </c>
      <c r="G183" s="143">
        <v>1193.5692204300999</v>
      </c>
      <c r="H183" s="143">
        <v>1178.05282738095</v>
      </c>
      <c r="I183" s="143">
        <v>1214.8835800807501</v>
      </c>
      <c r="J183" s="143">
        <v>1220.7670138889</v>
      </c>
      <c r="K183" s="143">
        <v>1226.8024193548499</v>
      </c>
      <c r="L183" s="143">
        <v>1235.0357638889</v>
      </c>
      <c r="M183" s="143">
        <v>1235.0651881720501</v>
      </c>
      <c r="N183" s="143">
        <v>1232.198252688175</v>
      </c>
      <c r="O183" s="173">
        <f>N184/B184-1</f>
        <v>3.2994646435833497E-2</v>
      </c>
      <c r="P183" s="116"/>
    </row>
    <row r="184" spans="1:21">
      <c r="A184" s="216" t="s">
        <v>49</v>
      </c>
      <c r="B184" s="143">
        <v>1193.9107638889</v>
      </c>
      <c r="C184" s="143">
        <v>1186.19756944445</v>
      </c>
      <c r="D184" s="143">
        <v>1174.1842281879251</v>
      </c>
      <c r="E184" s="143">
        <v>1169.1361111111</v>
      </c>
      <c r="F184" s="143">
        <v>1170.0030241935499</v>
      </c>
      <c r="G184" s="143">
        <v>1185.5510752688249</v>
      </c>
      <c r="H184" s="143">
        <v>1168.0904017857249</v>
      </c>
      <c r="I184" s="143">
        <v>1215.6991924629999</v>
      </c>
      <c r="J184" s="143">
        <v>1220.9909722222251</v>
      </c>
      <c r="K184" s="143">
        <v>1226.6582661290249</v>
      </c>
      <c r="L184" s="143">
        <v>1238.0444444444499</v>
      </c>
      <c r="M184" s="143">
        <v>1239.9375</v>
      </c>
      <c r="N184" s="143">
        <v>1233.3034274193501</v>
      </c>
      <c r="O184" s="173"/>
      <c r="P184" s="116"/>
    </row>
    <row r="185" spans="1:21">
      <c r="B185" s="214">
        <f>B184</f>
        <v>1193.9107638889</v>
      </c>
      <c r="C185" s="214">
        <f t="shared" ref="C185:N185" si="20">C184</f>
        <v>1186.19756944445</v>
      </c>
      <c r="D185" s="214">
        <f t="shared" si="20"/>
        <v>1174.1842281879251</v>
      </c>
      <c r="E185" s="214">
        <f t="shared" si="20"/>
        <v>1169.1361111111</v>
      </c>
      <c r="F185" s="214">
        <f t="shared" si="20"/>
        <v>1170.0030241935499</v>
      </c>
      <c r="G185" s="214">
        <f t="shared" si="20"/>
        <v>1185.5510752688249</v>
      </c>
      <c r="H185" s="214">
        <f t="shared" si="20"/>
        <v>1168.0904017857249</v>
      </c>
      <c r="I185" s="214">
        <f t="shared" si="20"/>
        <v>1215.6991924629999</v>
      </c>
      <c r="J185" s="214">
        <f t="shared" si="20"/>
        <v>1220.9909722222251</v>
      </c>
      <c r="K185" s="214">
        <f t="shared" si="20"/>
        <v>1226.6582661290249</v>
      </c>
      <c r="L185" s="214">
        <f t="shared" si="20"/>
        <v>1238.0444444444499</v>
      </c>
      <c r="M185" s="214">
        <f t="shared" si="20"/>
        <v>1239.9375</v>
      </c>
      <c r="N185" s="214">
        <f t="shared" si="20"/>
        <v>1233.3034274193501</v>
      </c>
      <c r="P185" s="116"/>
    </row>
    <row r="186" spans="1:21">
      <c r="C186" s="108"/>
      <c r="P186" s="116"/>
    </row>
    <row r="187" spans="1:21">
      <c r="A187" s="82" t="s">
        <v>171</v>
      </c>
      <c r="B187" s="181" t="str">
        <f>MID(B189,6,1)</f>
        <v>A</v>
      </c>
      <c r="C187" s="181" t="str">
        <f t="shared" ref="C187:N187" si="21">MID(C189,6,1)</f>
        <v>S</v>
      </c>
      <c r="D187" s="181" t="str">
        <f t="shared" si="21"/>
        <v>O</v>
      </c>
      <c r="E187" s="181" t="str">
        <f t="shared" si="21"/>
        <v>N</v>
      </c>
      <c r="F187" s="181" t="str">
        <f t="shared" si="21"/>
        <v>D</v>
      </c>
      <c r="G187" s="181" t="str">
        <f t="shared" si="21"/>
        <v>E</v>
      </c>
      <c r="H187" s="181" t="str">
        <f t="shared" si="21"/>
        <v>F</v>
      </c>
      <c r="I187" s="181" t="str">
        <f t="shared" si="21"/>
        <v>M</v>
      </c>
      <c r="J187" s="181" t="str">
        <f t="shared" si="21"/>
        <v>A</v>
      </c>
      <c r="K187" s="181" t="str">
        <f t="shared" si="21"/>
        <v>M</v>
      </c>
      <c r="L187" s="181" t="str">
        <f t="shared" si="21"/>
        <v>J</v>
      </c>
      <c r="M187" s="181" t="str">
        <f t="shared" si="21"/>
        <v>J</v>
      </c>
      <c r="N187" s="181" t="str">
        <f t="shared" si="21"/>
        <v>A</v>
      </c>
      <c r="P187" s="171"/>
      <c r="Q187" s="171"/>
    </row>
    <row r="188" spans="1:21">
      <c r="A188" s="120" t="s">
        <v>26</v>
      </c>
      <c r="B188" s="242" t="s">
        <v>183</v>
      </c>
      <c r="C188" s="243"/>
      <c r="D188" s="243"/>
      <c r="E188" s="243"/>
      <c r="F188" s="243"/>
      <c r="G188" s="243"/>
      <c r="H188" s="243"/>
      <c r="I188" s="243"/>
      <c r="J188" s="243"/>
      <c r="K188" s="243"/>
      <c r="L188" s="243"/>
      <c r="M188" s="243"/>
      <c r="N188" s="243"/>
      <c r="P188" s="171"/>
      <c r="Q188" s="171"/>
    </row>
    <row r="189" spans="1:21">
      <c r="A189" s="120" t="s">
        <v>74</v>
      </c>
      <c r="B189" s="163" t="s">
        <v>210</v>
      </c>
      <c r="C189" s="163" t="s">
        <v>212</v>
      </c>
      <c r="D189" s="163" t="s">
        <v>214</v>
      </c>
      <c r="E189" s="163" t="s">
        <v>218</v>
      </c>
      <c r="F189" s="163" t="s">
        <v>221</v>
      </c>
      <c r="G189" s="163" t="s">
        <v>223</v>
      </c>
      <c r="H189" s="163" t="s">
        <v>227</v>
      </c>
      <c r="I189" s="163" t="s">
        <v>229</v>
      </c>
      <c r="J189" s="163" t="s">
        <v>231</v>
      </c>
      <c r="K189" s="163" t="s">
        <v>233</v>
      </c>
      <c r="L189" s="163" t="s">
        <v>239</v>
      </c>
      <c r="M189" s="163" t="s">
        <v>242</v>
      </c>
      <c r="N189" s="163" t="s">
        <v>253</v>
      </c>
      <c r="P189" s="171"/>
      <c r="Q189" s="171"/>
    </row>
    <row r="190" spans="1:21">
      <c r="A190" s="120" t="s">
        <v>105</v>
      </c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73"/>
      <c r="P190" s="171"/>
      <c r="Q190" s="171"/>
    </row>
    <row r="191" spans="1:21">
      <c r="A191" s="216" t="s">
        <v>63</v>
      </c>
      <c r="B191" s="108">
        <v>71.164877000000004</v>
      </c>
      <c r="C191" s="108">
        <v>86.558627999999999</v>
      </c>
      <c r="D191" s="108">
        <v>64.327951999999996</v>
      </c>
      <c r="E191" s="108">
        <v>78.213511999999994</v>
      </c>
      <c r="F191" s="108">
        <v>49.694707000000001</v>
      </c>
      <c r="G191" s="108">
        <v>88.198836999999997</v>
      </c>
      <c r="H191" s="108">
        <v>96.958464000000006</v>
      </c>
      <c r="I191" s="108">
        <v>102.83373899999999</v>
      </c>
      <c r="J191" s="108">
        <v>79.366540000000001</v>
      </c>
      <c r="K191" s="108">
        <v>79.716402000000002</v>
      </c>
      <c r="L191" s="108">
        <v>76.561510999999996</v>
      </c>
      <c r="M191" s="108">
        <v>62.766095</v>
      </c>
      <c r="N191" s="108">
        <v>76.340557000000004</v>
      </c>
      <c r="O191" s="173">
        <f>N191/B191-1</f>
        <v>7.2728011600441622E-2</v>
      </c>
      <c r="P191" s="171"/>
      <c r="Q191" s="171"/>
      <c r="S191" s="108"/>
      <c r="T191" s="108"/>
      <c r="U191" s="108"/>
    </row>
    <row r="192" spans="1:21">
      <c r="A192" s="216" t="s">
        <v>59</v>
      </c>
      <c r="B192" s="108">
        <v>71.704355000000007</v>
      </c>
      <c r="C192" s="108">
        <v>68.034813999999997</v>
      </c>
      <c r="D192" s="108">
        <v>89.397965999999997</v>
      </c>
      <c r="E192" s="108">
        <v>88.275216</v>
      </c>
      <c r="F192" s="108">
        <v>92.510457000000002</v>
      </c>
      <c r="G192" s="108">
        <v>92.520251000000002</v>
      </c>
      <c r="H192" s="108">
        <v>69.668030000000002</v>
      </c>
      <c r="I192" s="108">
        <v>69.640814000000006</v>
      </c>
      <c r="J192" s="108">
        <v>74.940298999999996</v>
      </c>
      <c r="K192" s="108">
        <v>66.951297999999994</v>
      </c>
      <c r="L192" s="108">
        <v>67.475037999999998</v>
      </c>
      <c r="M192" s="108">
        <v>75.550709999999995</v>
      </c>
      <c r="N192" s="108">
        <v>75.352755999999999</v>
      </c>
      <c r="O192" s="173">
        <f>N192/B192-1</f>
        <v>5.0881163354722148E-2</v>
      </c>
      <c r="P192" s="173">
        <f>(N191+N192)/(B191+B192)-1</f>
        <v>6.1763340339086925E-2</v>
      </c>
      <c r="Q192" s="171"/>
      <c r="S192" s="108"/>
      <c r="T192" s="108"/>
      <c r="U192" s="108"/>
    </row>
    <row r="193" spans="1:17">
      <c r="B193" s="184"/>
      <c r="M193" s="184"/>
      <c r="N193" s="184"/>
    </row>
    <row r="194" spans="1:17">
      <c r="A194" s="82" t="s">
        <v>172</v>
      </c>
      <c r="C194" s="160" t="str">
        <f t="shared" ref="C194:O194" si="22">MID(C196,6,1)</f>
        <v>A</v>
      </c>
      <c r="D194" s="160" t="str">
        <f t="shared" si="22"/>
        <v>S</v>
      </c>
      <c r="E194" s="160" t="str">
        <f t="shared" si="22"/>
        <v>O</v>
      </c>
      <c r="F194" s="160" t="str">
        <f t="shared" si="22"/>
        <v>N</v>
      </c>
      <c r="G194" s="160" t="str">
        <f t="shared" si="22"/>
        <v>D</v>
      </c>
      <c r="H194" s="160" t="str">
        <f t="shared" si="22"/>
        <v>E</v>
      </c>
      <c r="I194" s="160" t="str">
        <f t="shared" si="22"/>
        <v>F</v>
      </c>
      <c r="J194" s="160" t="str">
        <f t="shared" si="22"/>
        <v>M</v>
      </c>
      <c r="K194" s="160" t="str">
        <f t="shared" si="22"/>
        <v>A</v>
      </c>
      <c r="L194" s="160" t="str">
        <f t="shared" si="22"/>
        <v>M</v>
      </c>
      <c r="M194" s="160" t="str">
        <f t="shared" si="22"/>
        <v>J</v>
      </c>
      <c r="N194" s="160" t="str">
        <f t="shared" si="22"/>
        <v>J</v>
      </c>
      <c r="O194" s="160" t="str">
        <f t="shared" si="22"/>
        <v>A</v>
      </c>
    </row>
    <row r="195" spans="1:17">
      <c r="A195" s="120"/>
      <c r="B195" s="120" t="s">
        <v>26</v>
      </c>
      <c r="C195" s="248" t="s">
        <v>159</v>
      </c>
      <c r="D195" s="249"/>
      <c r="E195" s="249"/>
      <c r="F195" s="249"/>
      <c r="G195" s="249"/>
      <c r="H195" s="249"/>
      <c r="I195" s="249"/>
      <c r="J195" s="249"/>
      <c r="K195" s="249"/>
      <c r="L195" s="249"/>
      <c r="M195" s="249"/>
      <c r="N195" s="249"/>
      <c r="O195" s="249"/>
      <c r="P195" s="171"/>
      <c r="Q195" s="171"/>
    </row>
    <row r="196" spans="1:17">
      <c r="A196" s="120"/>
      <c r="B196" s="140" t="s">
        <v>74</v>
      </c>
      <c r="C196" s="163" t="s">
        <v>210</v>
      </c>
      <c r="D196" s="163" t="s">
        <v>212</v>
      </c>
      <c r="E196" s="163" t="s">
        <v>214</v>
      </c>
      <c r="F196" s="163" t="s">
        <v>218</v>
      </c>
      <c r="G196" s="163" t="s">
        <v>221</v>
      </c>
      <c r="H196" s="163" t="s">
        <v>223</v>
      </c>
      <c r="I196" s="163" t="s">
        <v>227</v>
      </c>
      <c r="J196" s="163" t="s">
        <v>229</v>
      </c>
      <c r="K196" s="163" t="s">
        <v>231</v>
      </c>
      <c r="L196" s="163" t="s">
        <v>233</v>
      </c>
      <c r="M196" s="163" t="s">
        <v>239</v>
      </c>
      <c r="N196" s="163" t="s">
        <v>242</v>
      </c>
      <c r="O196" s="163" t="s">
        <v>253</v>
      </c>
      <c r="P196" s="171"/>
      <c r="Q196" s="171"/>
    </row>
    <row r="197" spans="1:17">
      <c r="A197" s="120" t="s">
        <v>105</v>
      </c>
      <c r="B197" s="120" t="s">
        <v>106</v>
      </c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71"/>
      <c r="Q197" s="171"/>
    </row>
    <row r="198" spans="1:17">
      <c r="A198" s="237" t="s">
        <v>59</v>
      </c>
      <c r="B198" s="216" t="s">
        <v>195</v>
      </c>
      <c r="C198" s="142">
        <v>0</v>
      </c>
      <c r="D198" s="142">
        <v>0</v>
      </c>
      <c r="E198" s="142">
        <v>0</v>
      </c>
      <c r="F198" s="142">
        <v>0</v>
      </c>
      <c r="G198" s="142">
        <v>0</v>
      </c>
      <c r="H198" s="142">
        <v>0</v>
      </c>
      <c r="I198" s="142">
        <v>4</v>
      </c>
      <c r="J198" s="142">
        <v>16.082999999999998</v>
      </c>
      <c r="K198" s="142">
        <v>8</v>
      </c>
      <c r="L198" s="142">
        <v>10.5</v>
      </c>
      <c r="M198" s="142">
        <v>27.25</v>
      </c>
      <c r="N198" s="142">
        <v>28.1</v>
      </c>
      <c r="O198" s="142">
        <v>15.85</v>
      </c>
      <c r="P198" s="171"/>
      <c r="Q198" s="171"/>
    </row>
    <row r="199" spans="1:17">
      <c r="A199" s="235"/>
      <c r="B199" s="216" t="s">
        <v>61</v>
      </c>
      <c r="C199" s="142">
        <v>0</v>
      </c>
      <c r="D199" s="142">
        <v>90</v>
      </c>
      <c r="E199" s="142">
        <v>457.41699999999997</v>
      </c>
      <c r="F199" s="142">
        <v>20</v>
      </c>
      <c r="G199" s="142">
        <v>252.51499999999999</v>
      </c>
      <c r="H199" s="142">
        <v>859</v>
      </c>
      <c r="I199" s="142">
        <v>0</v>
      </c>
      <c r="J199" s="142">
        <v>276.5</v>
      </c>
      <c r="K199" s="142">
        <v>2.5</v>
      </c>
      <c r="L199" s="142">
        <v>118.5</v>
      </c>
      <c r="M199" s="142">
        <v>228.75</v>
      </c>
      <c r="N199" s="142">
        <v>1047.75</v>
      </c>
      <c r="O199" s="142">
        <v>441.5</v>
      </c>
      <c r="P199" s="171"/>
      <c r="Q199" s="171"/>
    </row>
    <row r="200" spans="1:17">
      <c r="A200" s="235"/>
      <c r="B200" s="216" t="s">
        <v>22</v>
      </c>
      <c r="C200" s="142">
        <v>179282</v>
      </c>
      <c r="D200" s="142">
        <v>112488.129</v>
      </c>
      <c r="E200" s="142">
        <v>211916.53700000001</v>
      </c>
      <c r="F200" s="142">
        <v>207366.633</v>
      </c>
      <c r="G200" s="142">
        <v>266092.64399999997</v>
      </c>
      <c r="H200" s="142">
        <v>302103.14199999999</v>
      </c>
      <c r="I200" s="142">
        <v>51089.714</v>
      </c>
      <c r="J200" s="142">
        <v>107733.439</v>
      </c>
      <c r="K200" s="142">
        <v>138822.27600000001</v>
      </c>
      <c r="L200" s="142">
        <v>237392.67300000001</v>
      </c>
      <c r="M200" s="142">
        <v>374317.42099999997</v>
      </c>
      <c r="N200" s="142">
        <v>592534.18000000005</v>
      </c>
      <c r="O200" s="142">
        <v>437219.95199999999</v>
      </c>
      <c r="P200" s="171"/>
      <c r="Q200" s="171"/>
    </row>
    <row r="201" spans="1:17">
      <c r="A201" s="235"/>
      <c r="B201" s="216" t="s">
        <v>68</v>
      </c>
      <c r="C201" s="142">
        <v>173.25</v>
      </c>
      <c r="D201" s="142">
        <v>239.75</v>
      </c>
      <c r="E201" s="142">
        <v>585.11699999999996</v>
      </c>
      <c r="F201" s="142">
        <v>165.75</v>
      </c>
      <c r="G201" s="142">
        <v>189.25</v>
      </c>
      <c r="H201" s="142">
        <v>228</v>
      </c>
      <c r="I201" s="142">
        <v>295.75</v>
      </c>
      <c r="J201" s="142">
        <v>316.5</v>
      </c>
      <c r="K201" s="142">
        <v>453.25</v>
      </c>
      <c r="L201" s="142">
        <v>688.98299999999995</v>
      </c>
      <c r="M201" s="142">
        <v>384.75</v>
      </c>
      <c r="N201" s="142">
        <v>546.75</v>
      </c>
      <c r="O201" s="142">
        <v>511.75</v>
      </c>
      <c r="P201" s="171"/>
      <c r="Q201" s="171"/>
    </row>
    <row r="202" spans="1:17">
      <c r="A202" s="235"/>
      <c r="B202" s="216" t="s">
        <v>62</v>
      </c>
      <c r="C202" s="142">
        <v>17965.3</v>
      </c>
      <c r="D202" s="142">
        <v>19717.983</v>
      </c>
      <c r="E202" s="142">
        <v>20295.434000000001</v>
      </c>
      <c r="F202" s="142">
        <v>31749.741000000002</v>
      </c>
      <c r="G202" s="142">
        <v>19420.499</v>
      </c>
      <c r="H202" s="142">
        <v>21825</v>
      </c>
      <c r="I202" s="142">
        <v>12831.683999999999</v>
      </c>
      <c r="J202" s="142">
        <v>12645.133</v>
      </c>
      <c r="K202" s="142">
        <v>26044.350999999999</v>
      </c>
      <c r="L202" s="142">
        <v>27490.799999999999</v>
      </c>
      <c r="M202" s="142">
        <v>22718.749</v>
      </c>
      <c r="N202" s="142">
        <v>5632.4579999999996</v>
      </c>
      <c r="O202" s="142">
        <v>9386.5159999999996</v>
      </c>
      <c r="P202" s="171"/>
      <c r="Q202" s="171"/>
    </row>
    <row r="203" spans="1:17">
      <c r="A203" s="235"/>
      <c r="B203" s="216" t="s">
        <v>71</v>
      </c>
      <c r="C203" s="142">
        <v>0</v>
      </c>
      <c r="D203" s="142">
        <v>0</v>
      </c>
      <c r="E203" s="142">
        <v>0</v>
      </c>
      <c r="F203" s="142">
        <v>0</v>
      </c>
      <c r="G203" s="142">
        <v>0</v>
      </c>
      <c r="H203" s="142">
        <v>0</v>
      </c>
      <c r="I203" s="142">
        <v>0</v>
      </c>
      <c r="J203" s="142">
        <v>0</v>
      </c>
      <c r="K203" s="142">
        <v>0</v>
      </c>
      <c r="L203" s="142">
        <v>0</v>
      </c>
      <c r="M203" s="142">
        <v>0</v>
      </c>
      <c r="N203" s="142">
        <v>0</v>
      </c>
      <c r="O203" s="142">
        <v>0</v>
      </c>
      <c r="P203" s="171"/>
      <c r="Q203" s="171"/>
    </row>
    <row r="204" spans="1:17">
      <c r="A204" s="235"/>
      <c r="B204" s="216" t="s">
        <v>65</v>
      </c>
      <c r="C204" s="142">
        <v>16005.75</v>
      </c>
      <c r="D204" s="142">
        <v>16576.755000000001</v>
      </c>
      <c r="E204" s="142">
        <v>26293.483</v>
      </c>
      <c r="F204" s="142">
        <v>21238.094000000001</v>
      </c>
      <c r="G204" s="142">
        <v>18071.8</v>
      </c>
      <c r="H204" s="142">
        <v>31834.75</v>
      </c>
      <c r="I204" s="142">
        <v>56996.767999999996</v>
      </c>
      <c r="J204" s="142">
        <v>26623.45</v>
      </c>
      <c r="K204" s="142">
        <v>32199.156999999999</v>
      </c>
      <c r="L204" s="142">
        <v>31787.814999999999</v>
      </c>
      <c r="M204" s="142">
        <v>42538.857000000004</v>
      </c>
      <c r="N204" s="142">
        <v>17088.772000000001</v>
      </c>
      <c r="O204" s="142">
        <v>14494.668</v>
      </c>
      <c r="P204" s="171"/>
      <c r="Q204" s="171"/>
    </row>
    <row r="205" spans="1:17">
      <c r="A205" s="235"/>
      <c r="B205" s="216" t="s">
        <v>196</v>
      </c>
      <c r="C205" s="233">
        <v>0</v>
      </c>
      <c r="D205" s="142">
        <v>29.75</v>
      </c>
      <c r="E205" s="142">
        <v>0</v>
      </c>
      <c r="F205" s="142">
        <v>0</v>
      </c>
      <c r="G205" s="142">
        <v>0</v>
      </c>
      <c r="H205" s="142">
        <v>0</v>
      </c>
      <c r="I205" s="142">
        <v>0</v>
      </c>
      <c r="J205" s="142">
        <v>297.25</v>
      </c>
      <c r="K205" s="142">
        <v>251.5</v>
      </c>
      <c r="L205" s="142">
        <v>475.5</v>
      </c>
      <c r="M205" s="142">
        <v>1563.2670000000001</v>
      </c>
      <c r="N205" s="142">
        <v>484.52499999999998</v>
      </c>
      <c r="O205" s="142">
        <v>510.267</v>
      </c>
      <c r="P205" s="171"/>
      <c r="Q205" s="171"/>
    </row>
    <row r="206" spans="1:17">
      <c r="A206" s="235"/>
      <c r="B206" s="216" t="s">
        <v>19</v>
      </c>
      <c r="C206" s="142">
        <v>54636.866999999998</v>
      </c>
      <c r="D206" s="142">
        <v>20999.040000000001</v>
      </c>
      <c r="E206" s="142">
        <v>53616.607000000004</v>
      </c>
      <c r="F206" s="142">
        <v>43671.635000000002</v>
      </c>
      <c r="G206" s="142">
        <v>78431.933999999994</v>
      </c>
      <c r="H206" s="142">
        <v>67707.217999999993</v>
      </c>
      <c r="I206" s="142">
        <v>34524.767999999996</v>
      </c>
      <c r="J206" s="142">
        <v>78338.381999999998</v>
      </c>
      <c r="K206" s="142">
        <v>90073.433999999994</v>
      </c>
      <c r="L206" s="142">
        <v>57249.152999999998</v>
      </c>
      <c r="M206" s="142">
        <v>93703.267999999996</v>
      </c>
      <c r="N206" s="142">
        <v>60243.582000000002</v>
      </c>
      <c r="O206" s="142">
        <v>40783.667000000001</v>
      </c>
      <c r="P206" s="171"/>
      <c r="Q206" s="171"/>
    </row>
    <row r="207" spans="1:17">
      <c r="A207" s="235"/>
      <c r="B207" s="216" t="s">
        <v>170</v>
      </c>
      <c r="C207" s="142">
        <v>0</v>
      </c>
      <c r="D207" s="142">
        <v>0</v>
      </c>
      <c r="E207" s="142">
        <v>0</v>
      </c>
      <c r="F207" s="142">
        <v>0</v>
      </c>
      <c r="G207" s="142">
        <v>0</v>
      </c>
      <c r="H207" s="142">
        <v>0</v>
      </c>
      <c r="I207" s="142">
        <v>0</v>
      </c>
      <c r="J207" s="142">
        <v>0</v>
      </c>
      <c r="K207" s="142">
        <v>0</v>
      </c>
      <c r="L207" s="142">
        <v>0</v>
      </c>
      <c r="M207" s="142">
        <v>0</v>
      </c>
      <c r="N207" s="142">
        <v>0</v>
      </c>
      <c r="O207" s="142">
        <v>0</v>
      </c>
      <c r="P207" s="171"/>
      <c r="Q207" s="171"/>
    </row>
    <row r="208" spans="1:17">
      <c r="A208" s="235"/>
      <c r="B208" s="216" t="s">
        <v>72</v>
      </c>
      <c r="C208" s="142">
        <v>39299.75</v>
      </c>
      <c r="D208" s="142">
        <v>29569.5</v>
      </c>
      <c r="E208" s="142">
        <v>15003</v>
      </c>
      <c r="F208" s="142">
        <v>4295.125</v>
      </c>
      <c r="G208" s="142">
        <v>46489.75</v>
      </c>
      <c r="H208" s="142">
        <v>46037.25</v>
      </c>
      <c r="I208" s="142">
        <v>28493.75</v>
      </c>
      <c r="J208" s="142">
        <v>47083.724999999999</v>
      </c>
      <c r="K208" s="142">
        <v>34373</v>
      </c>
      <c r="L208" s="142">
        <v>59999.25</v>
      </c>
      <c r="M208" s="142">
        <v>63093.474999999999</v>
      </c>
      <c r="N208" s="142">
        <v>54662.45</v>
      </c>
      <c r="O208" s="142">
        <v>99943.95</v>
      </c>
      <c r="P208" s="171"/>
      <c r="Q208" s="171"/>
    </row>
    <row r="209" spans="1:17">
      <c r="A209" s="235"/>
      <c r="B209" s="216" t="s">
        <v>60</v>
      </c>
      <c r="C209" s="142">
        <v>632.15</v>
      </c>
      <c r="D209" s="142">
        <v>153.69999999999999</v>
      </c>
      <c r="E209" s="142">
        <v>197.75</v>
      </c>
      <c r="F209" s="142">
        <v>817.75</v>
      </c>
      <c r="G209" s="142">
        <v>393.5</v>
      </c>
      <c r="H209" s="142">
        <v>266.25</v>
      </c>
      <c r="I209" s="142">
        <v>83.75</v>
      </c>
      <c r="J209" s="142">
        <v>576.75</v>
      </c>
      <c r="K209" s="142">
        <v>5.25</v>
      </c>
      <c r="L209" s="142">
        <v>453.25</v>
      </c>
      <c r="M209" s="142">
        <v>1134</v>
      </c>
      <c r="N209" s="142">
        <v>683.8</v>
      </c>
      <c r="O209" s="142">
        <v>0</v>
      </c>
      <c r="P209" s="171"/>
      <c r="Q209" s="171"/>
    </row>
    <row r="210" spans="1:17">
      <c r="A210" s="235"/>
      <c r="B210" s="216" t="s">
        <v>69</v>
      </c>
      <c r="C210" s="142">
        <v>547.04999999999995</v>
      </c>
      <c r="D210" s="142">
        <v>388.13299999999998</v>
      </c>
      <c r="E210" s="142">
        <v>806.63199999999995</v>
      </c>
      <c r="F210" s="142">
        <v>592.50099999999998</v>
      </c>
      <c r="G210" s="142">
        <v>703.6</v>
      </c>
      <c r="H210" s="142">
        <v>1370.1489999999999</v>
      </c>
      <c r="I210" s="142">
        <v>1479.4169999999999</v>
      </c>
      <c r="J210" s="142">
        <v>1455.6669999999999</v>
      </c>
      <c r="K210" s="142">
        <v>3701.65</v>
      </c>
      <c r="L210" s="142">
        <v>4671.75</v>
      </c>
      <c r="M210" s="142">
        <v>9331.75</v>
      </c>
      <c r="N210" s="142">
        <v>4217.8829999999998</v>
      </c>
      <c r="O210" s="142">
        <v>3621.25</v>
      </c>
      <c r="P210" s="171"/>
      <c r="Q210" s="171"/>
    </row>
    <row r="211" spans="1:17">
      <c r="A211" s="235"/>
      <c r="B211" s="216" t="s">
        <v>73</v>
      </c>
      <c r="C211" s="142">
        <v>0</v>
      </c>
      <c r="D211" s="142">
        <v>0</v>
      </c>
      <c r="E211" s="142">
        <v>133.5</v>
      </c>
      <c r="F211" s="142">
        <v>901.5</v>
      </c>
      <c r="G211" s="142">
        <v>405.25</v>
      </c>
      <c r="H211" s="142">
        <v>414</v>
      </c>
      <c r="I211" s="142">
        <v>0</v>
      </c>
      <c r="J211" s="142">
        <v>0</v>
      </c>
      <c r="K211" s="142">
        <v>0</v>
      </c>
      <c r="L211" s="142">
        <v>0</v>
      </c>
      <c r="M211" s="142">
        <v>366.5</v>
      </c>
      <c r="N211" s="142">
        <v>7.5</v>
      </c>
      <c r="O211" s="142">
        <v>0</v>
      </c>
      <c r="P211" s="171"/>
      <c r="Q211" s="171"/>
    </row>
    <row r="212" spans="1:17">
      <c r="A212" s="235"/>
      <c r="B212" s="216" t="s">
        <v>66</v>
      </c>
      <c r="C212" s="142">
        <v>22896.5</v>
      </c>
      <c r="D212" s="142">
        <v>14205.386</v>
      </c>
      <c r="E212" s="142">
        <v>9987.0589999999993</v>
      </c>
      <c r="F212" s="142">
        <v>4838.0010000000002</v>
      </c>
      <c r="G212" s="142">
        <v>4763.4480000000003</v>
      </c>
      <c r="H212" s="142">
        <v>6277.7669999999998</v>
      </c>
      <c r="I212" s="142">
        <v>8331.3809999999994</v>
      </c>
      <c r="J212" s="142">
        <v>8738.0190000000002</v>
      </c>
      <c r="K212" s="142">
        <v>17272.044999999998</v>
      </c>
      <c r="L212" s="142">
        <v>27355.185000000001</v>
      </c>
      <c r="M212" s="142">
        <v>36159.18</v>
      </c>
      <c r="N212" s="142">
        <v>25420.473000000002</v>
      </c>
      <c r="O212" s="142">
        <v>11792.266</v>
      </c>
      <c r="P212" s="171"/>
      <c r="Q212" s="171"/>
    </row>
    <row r="213" spans="1:17">
      <c r="A213" s="235"/>
      <c r="B213" s="216" t="s">
        <v>67</v>
      </c>
      <c r="C213" s="142">
        <v>301.75</v>
      </c>
      <c r="D213" s="142">
        <v>325.25</v>
      </c>
      <c r="E213" s="142">
        <v>564.75</v>
      </c>
      <c r="F213" s="142">
        <v>122.25</v>
      </c>
      <c r="G213" s="142">
        <v>165.25</v>
      </c>
      <c r="H213" s="142">
        <v>126.25</v>
      </c>
      <c r="I213" s="142">
        <v>351</v>
      </c>
      <c r="J213" s="142">
        <v>1182.5</v>
      </c>
      <c r="K213" s="142">
        <v>1180.5</v>
      </c>
      <c r="L213" s="142">
        <v>1839</v>
      </c>
      <c r="M213" s="142">
        <v>2209.75</v>
      </c>
      <c r="N213" s="142">
        <v>919.85</v>
      </c>
      <c r="O213" s="142">
        <v>1062.25</v>
      </c>
      <c r="P213" s="171"/>
      <c r="Q213" s="171"/>
    </row>
    <row r="214" spans="1:17">
      <c r="A214" s="235"/>
      <c r="B214" s="216" t="s">
        <v>209</v>
      </c>
      <c r="C214" s="142">
        <v>0</v>
      </c>
      <c r="D214" s="142">
        <v>0</v>
      </c>
      <c r="E214" s="142">
        <v>0</v>
      </c>
      <c r="F214" s="142">
        <v>0</v>
      </c>
      <c r="G214" s="142">
        <v>0</v>
      </c>
      <c r="H214" s="142">
        <v>0</v>
      </c>
      <c r="I214" s="142">
        <v>0</v>
      </c>
      <c r="J214" s="142">
        <v>0</v>
      </c>
      <c r="K214" s="142">
        <v>0</v>
      </c>
      <c r="L214" s="142">
        <v>0</v>
      </c>
      <c r="M214" s="142">
        <v>0</v>
      </c>
      <c r="N214" s="142">
        <v>0</v>
      </c>
      <c r="O214" s="142">
        <v>0</v>
      </c>
      <c r="P214" s="171"/>
      <c r="Q214" s="171"/>
    </row>
    <row r="215" spans="1:17">
      <c r="A215" s="235"/>
      <c r="B215" s="216" t="s">
        <v>64</v>
      </c>
      <c r="C215" s="142">
        <v>20287.816999999999</v>
      </c>
      <c r="D215" s="142">
        <v>18414.18</v>
      </c>
      <c r="E215" s="142">
        <v>16800.466</v>
      </c>
      <c r="F215" s="142">
        <v>17768.901999999998</v>
      </c>
      <c r="G215" s="142">
        <v>29822.548999999999</v>
      </c>
      <c r="H215" s="142">
        <v>42487.55</v>
      </c>
      <c r="I215" s="142">
        <v>18170.684000000001</v>
      </c>
      <c r="J215" s="142">
        <v>34499.985000000001</v>
      </c>
      <c r="K215" s="142">
        <v>34189.949999999997</v>
      </c>
      <c r="L215" s="142">
        <v>42308.567999999999</v>
      </c>
      <c r="M215" s="142">
        <v>30044.901000000002</v>
      </c>
      <c r="N215" s="142">
        <v>11144.159</v>
      </c>
      <c r="O215" s="142">
        <v>16302.637000000001</v>
      </c>
      <c r="P215" s="172"/>
      <c r="Q215" s="171"/>
    </row>
    <row r="216" spans="1:17">
      <c r="A216" s="236"/>
      <c r="B216" s="230" t="s">
        <v>0</v>
      </c>
      <c r="C216" s="232">
        <v>352028.18400000001</v>
      </c>
      <c r="D216" s="232">
        <v>233197.55600000001</v>
      </c>
      <c r="E216" s="232">
        <v>356657.75199999998</v>
      </c>
      <c r="F216" s="232">
        <v>333547.88199999998</v>
      </c>
      <c r="G216" s="232">
        <v>465201.989</v>
      </c>
      <c r="H216" s="232">
        <v>521536.326</v>
      </c>
      <c r="I216" s="232">
        <v>212652.666</v>
      </c>
      <c r="J216" s="232">
        <v>319783.38299999997</v>
      </c>
      <c r="K216" s="232">
        <v>378576.86300000001</v>
      </c>
      <c r="L216" s="232">
        <v>491840.92700000003</v>
      </c>
      <c r="M216" s="232">
        <v>677821.86800000002</v>
      </c>
      <c r="N216" s="232">
        <v>774662.23199999996</v>
      </c>
      <c r="O216" s="232">
        <v>636086.52300000004</v>
      </c>
      <c r="P216" s="172">
        <f>O216/C216-1</f>
        <v>0.80691930905168663</v>
      </c>
      <c r="Q216" s="171"/>
    </row>
    <row r="217" spans="1:17">
      <c r="A217" s="234" t="s">
        <v>63</v>
      </c>
      <c r="B217" s="216" t="s">
        <v>195</v>
      </c>
      <c r="C217" s="142">
        <v>0</v>
      </c>
      <c r="D217" s="142">
        <v>0</v>
      </c>
      <c r="E217" s="142">
        <v>0</v>
      </c>
      <c r="F217" s="142">
        <v>0</v>
      </c>
      <c r="G217" s="142">
        <v>0</v>
      </c>
      <c r="H217" s="142">
        <v>0</v>
      </c>
      <c r="I217" s="142">
        <v>0</v>
      </c>
      <c r="J217" s="142">
        <v>12.2</v>
      </c>
      <c r="K217" s="142">
        <v>11.317</v>
      </c>
      <c r="L217" s="142">
        <v>5.25</v>
      </c>
      <c r="M217" s="142">
        <v>19</v>
      </c>
      <c r="N217" s="142">
        <v>52.75</v>
      </c>
      <c r="O217" s="142">
        <v>47.25</v>
      </c>
      <c r="P217" s="173"/>
      <c r="Q217" s="171"/>
    </row>
    <row r="218" spans="1:17">
      <c r="A218" s="235"/>
      <c r="B218" s="216" t="s">
        <v>61</v>
      </c>
      <c r="C218" s="142">
        <v>0</v>
      </c>
      <c r="D218" s="142">
        <v>0</v>
      </c>
      <c r="E218" s="142">
        <v>0</v>
      </c>
      <c r="F218" s="142">
        <v>0</v>
      </c>
      <c r="G218" s="142">
        <v>2.5</v>
      </c>
      <c r="H218" s="142">
        <v>0</v>
      </c>
      <c r="I218" s="142">
        <v>0</v>
      </c>
      <c r="J218" s="142">
        <v>132</v>
      </c>
      <c r="K218" s="142">
        <v>0</v>
      </c>
      <c r="L218" s="142">
        <v>0</v>
      </c>
      <c r="M218" s="142">
        <v>0</v>
      </c>
      <c r="N218" s="142">
        <v>15</v>
      </c>
      <c r="O218" s="142">
        <v>67.25</v>
      </c>
      <c r="P218" s="211"/>
      <c r="Q218" s="171"/>
    </row>
    <row r="219" spans="1:17">
      <c r="A219" s="235"/>
      <c r="B219" s="216" t="s">
        <v>22</v>
      </c>
      <c r="C219" s="142">
        <v>23693.05</v>
      </c>
      <c r="D219" s="142">
        <v>36576.124000000003</v>
      </c>
      <c r="E219" s="142">
        <v>44677.858999999997</v>
      </c>
      <c r="F219" s="142">
        <v>15669.689</v>
      </c>
      <c r="G219" s="142">
        <v>18577.234</v>
      </c>
      <c r="H219" s="142">
        <v>26667.285</v>
      </c>
      <c r="I219" s="142">
        <v>6967.4669999999996</v>
      </c>
      <c r="J219" s="142">
        <v>4851.6670000000004</v>
      </c>
      <c r="K219" s="142">
        <v>4275.6840000000002</v>
      </c>
      <c r="L219" s="142">
        <v>8959.4500000000007</v>
      </c>
      <c r="M219" s="142">
        <v>15232.825000000001</v>
      </c>
      <c r="N219" s="142">
        <v>14107.09</v>
      </c>
      <c r="O219" s="142">
        <v>55771.875</v>
      </c>
      <c r="P219" s="171"/>
      <c r="Q219" s="171"/>
    </row>
    <row r="220" spans="1:17">
      <c r="A220" s="235"/>
      <c r="B220" s="216" t="s">
        <v>68</v>
      </c>
      <c r="C220" s="142">
        <v>409.5</v>
      </c>
      <c r="D220" s="142">
        <v>383.58300000000003</v>
      </c>
      <c r="E220" s="142">
        <v>701.5</v>
      </c>
      <c r="F220" s="142">
        <v>436.983</v>
      </c>
      <c r="G220" s="142">
        <v>509.983</v>
      </c>
      <c r="H220" s="142">
        <v>1312.75</v>
      </c>
      <c r="I220" s="142">
        <v>1237.567</v>
      </c>
      <c r="J220" s="142">
        <v>1030.75</v>
      </c>
      <c r="K220" s="142">
        <v>1191.55</v>
      </c>
      <c r="L220" s="142">
        <v>1473.2850000000001</v>
      </c>
      <c r="M220" s="142">
        <v>520.16700000000003</v>
      </c>
      <c r="N220" s="142">
        <v>725.26300000000003</v>
      </c>
      <c r="O220" s="142">
        <v>1621.683</v>
      </c>
      <c r="P220" s="171"/>
      <c r="Q220" s="171"/>
    </row>
    <row r="221" spans="1:17">
      <c r="A221" s="235"/>
      <c r="B221" s="216" t="s">
        <v>62</v>
      </c>
      <c r="C221" s="142">
        <v>22439.35</v>
      </c>
      <c r="D221" s="142">
        <v>24097.200000000001</v>
      </c>
      <c r="E221" s="142">
        <v>24976.831999999999</v>
      </c>
      <c r="F221" s="142">
        <v>15651.814</v>
      </c>
      <c r="G221" s="142">
        <v>21209.651000000002</v>
      </c>
      <c r="H221" s="142">
        <v>65291.366000000002</v>
      </c>
      <c r="I221" s="142">
        <v>38186.917999999998</v>
      </c>
      <c r="J221" s="142">
        <v>48358.516000000003</v>
      </c>
      <c r="K221" s="142">
        <v>50625.148000000001</v>
      </c>
      <c r="L221" s="142">
        <v>27348.467000000001</v>
      </c>
      <c r="M221" s="142">
        <v>18306.718000000001</v>
      </c>
      <c r="N221" s="142">
        <v>18438.8</v>
      </c>
      <c r="O221" s="142">
        <v>31005.633000000002</v>
      </c>
      <c r="P221" s="171"/>
      <c r="Q221" s="171"/>
    </row>
    <row r="222" spans="1:17">
      <c r="A222" s="235"/>
      <c r="B222" s="216" t="s">
        <v>71</v>
      </c>
      <c r="C222" s="142">
        <v>0</v>
      </c>
      <c r="D222" s="142">
        <v>0</v>
      </c>
      <c r="E222" s="142">
        <v>0</v>
      </c>
      <c r="F222" s="142">
        <v>0</v>
      </c>
      <c r="G222" s="142">
        <v>0</v>
      </c>
      <c r="H222" s="142">
        <v>0</v>
      </c>
      <c r="I222" s="142">
        <v>0</v>
      </c>
      <c r="J222" s="142">
        <v>0</v>
      </c>
      <c r="K222" s="142">
        <v>0</v>
      </c>
      <c r="L222" s="142">
        <v>0</v>
      </c>
      <c r="M222" s="142">
        <v>0</v>
      </c>
      <c r="N222" s="142">
        <v>0</v>
      </c>
      <c r="O222" s="142">
        <v>0</v>
      </c>
      <c r="P222" s="171"/>
      <c r="Q222" s="171"/>
    </row>
    <row r="223" spans="1:17">
      <c r="A223" s="235"/>
      <c r="B223" s="216" t="s">
        <v>65</v>
      </c>
      <c r="C223" s="142">
        <v>52735.925999999999</v>
      </c>
      <c r="D223" s="142">
        <v>63325.637000000002</v>
      </c>
      <c r="E223" s="142">
        <v>57328.411</v>
      </c>
      <c r="F223" s="142">
        <v>74208.519</v>
      </c>
      <c r="G223" s="142">
        <v>31529.169000000002</v>
      </c>
      <c r="H223" s="142">
        <v>172075.13800000001</v>
      </c>
      <c r="I223" s="142">
        <v>226398.48300000001</v>
      </c>
      <c r="J223" s="142">
        <v>166041.867</v>
      </c>
      <c r="K223" s="142">
        <v>94856.077999999994</v>
      </c>
      <c r="L223" s="142">
        <v>73842.392999999996</v>
      </c>
      <c r="M223" s="142">
        <v>70380.335999999996</v>
      </c>
      <c r="N223" s="142">
        <v>77450.853000000003</v>
      </c>
      <c r="O223" s="142">
        <v>96700.660999999993</v>
      </c>
      <c r="P223" s="171"/>
      <c r="Q223" s="171"/>
    </row>
    <row r="224" spans="1:17">
      <c r="A224" s="235"/>
      <c r="B224" s="216" t="s">
        <v>196</v>
      </c>
      <c r="C224" s="142">
        <v>0</v>
      </c>
      <c r="D224" s="142">
        <v>211.4</v>
      </c>
      <c r="E224" s="142">
        <v>15.25</v>
      </c>
      <c r="F224" s="142">
        <v>0</v>
      </c>
      <c r="G224" s="142">
        <v>0.5</v>
      </c>
      <c r="H224" s="142">
        <v>25.3</v>
      </c>
      <c r="I224" s="142">
        <v>20.417000000000002</v>
      </c>
      <c r="J224" s="142">
        <v>604.35</v>
      </c>
      <c r="K224" s="142">
        <v>28.25</v>
      </c>
      <c r="L224" s="142">
        <v>412</v>
      </c>
      <c r="M224" s="142">
        <v>13.5</v>
      </c>
      <c r="N224" s="142">
        <v>18.683</v>
      </c>
      <c r="O224" s="142">
        <v>32.582999999999998</v>
      </c>
      <c r="P224" s="171"/>
      <c r="Q224" s="171"/>
    </row>
    <row r="225" spans="1:28">
      <c r="A225" s="235"/>
      <c r="B225" s="216" t="s">
        <v>19</v>
      </c>
      <c r="C225" s="142">
        <v>11833.25</v>
      </c>
      <c r="D225" s="142">
        <v>35547.775999999998</v>
      </c>
      <c r="E225" s="142">
        <v>21124.741000000002</v>
      </c>
      <c r="F225" s="142">
        <v>14523.97</v>
      </c>
      <c r="G225" s="142">
        <v>20973.499</v>
      </c>
      <c r="H225" s="142">
        <v>50957.332999999999</v>
      </c>
      <c r="I225" s="142">
        <v>33449.748</v>
      </c>
      <c r="J225" s="142">
        <v>98937.600000000006</v>
      </c>
      <c r="K225" s="142">
        <v>32663.774000000001</v>
      </c>
      <c r="L225" s="142">
        <v>22813.348999999998</v>
      </c>
      <c r="M225" s="142">
        <v>23070.082999999999</v>
      </c>
      <c r="N225" s="142">
        <v>26167.082999999999</v>
      </c>
      <c r="O225" s="142">
        <v>31642.15</v>
      </c>
      <c r="P225" s="171"/>
      <c r="Q225" s="171"/>
    </row>
    <row r="226" spans="1:28">
      <c r="A226" s="235"/>
      <c r="B226" s="216" t="s">
        <v>170</v>
      </c>
      <c r="C226" s="142">
        <v>0</v>
      </c>
      <c r="D226" s="142">
        <v>0</v>
      </c>
      <c r="E226" s="142">
        <v>0</v>
      </c>
      <c r="F226" s="142">
        <v>0</v>
      </c>
      <c r="G226" s="142">
        <v>0</v>
      </c>
      <c r="H226" s="142">
        <v>0</v>
      </c>
      <c r="I226" s="142">
        <v>0</v>
      </c>
      <c r="J226" s="142">
        <v>0</v>
      </c>
      <c r="K226" s="142">
        <v>0</v>
      </c>
      <c r="L226" s="142">
        <v>0</v>
      </c>
      <c r="M226" s="142">
        <v>0</v>
      </c>
      <c r="N226" s="142">
        <v>0</v>
      </c>
      <c r="O226" s="142">
        <v>0</v>
      </c>
      <c r="P226" s="171"/>
      <c r="Q226" s="171"/>
    </row>
    <row r="227" spans="1:28">
      <c r="A227" s="235"/>
      <c r="B227" s="216" t="s">
        <v>72</v>
      </c>
      <c r="C227" s="142">
        <v>35004.25</v>
      </c>
      <c r="D227" s="142">
        <v>45108.25</v>
      </c>
      <c r="E227" s="142">
        <v>21705.724999999999</v>
      </c>
      <c r="F227" s="142">
        <v>6274.25</v>
      </c>
      <c r="G227" s="142">
        <v>33295.5</v>
      </c>
      <c r="H227" s="142">
        <v>33967.75</v>
      </c>
      <c r="I227" s="142">
        <v>12881.5</v>
      </c>
      <c r="J227" s="142">
        <v>21034.724999999999</v>
      </c>
      <c r="K227" s="142">
        <v>22465.174999999999</v>
      </c>
      <c r="L227" s="142">
        <v>28044.25</v>
      </c>
      <c r="M227" s="142">
        <v>37589.949999999997</v>
      </c>
      <c r="N227" s="142">
        <v>34594</v>
      </c>
      <c r="O227" s="142">
        <v>35301.724999999999</v>
      </c>
      <c r="P227" s="171"/>
      <c r="Q227" s="171"/>
    </row>
    <row r="228" spans="1:28">
      <c r="A228" s="235"/>
      <c r="B228" s="216" t="s">
        <v>60</v>
      </c>
      <c r="C228" s="142">
        <v>8</v>
      </c>
      <c r="D228" s="142">
        <v>350.21699999999998</v>
      </c>
      <c r="E228" s="142">
        <v>1195</v>
      </c>
      <c r="F228" s="142">
        <v>416.85</v>
      </c>
      <c r="G228" s="142">
        <v>643.25</v>
      </c>
      <c r="H228" s="142">
        <v>60.75</v>
      </c>
      <c r="I228" s="142">
        <v>441.5</v>
      </c>
      <c r="J228" s="142">
        <v>444.93299999999999</v>
      </c>
      <c r="K228" s="142">
        <v>401.25</v>
      </c>
      <c r="L228" s="142">
        <v>6337.5</v>
      </c>
      <c r="M228" s="142">
        <v>2107.75</v>
      </c>
      <c r="N228" s="142">
        <v>1.75</v>
      </c>
      <c r="O228" s="142">
        <v>0</v>
      </c>
      <c r="P228" s="171"/>
      <c r="Q228" s="171"/>
    </row>
    <row r="229" spans="1:28">
      <c r="A229" s="235"/>
      <c r="B229" s="216" t="s">
        <v>69</v>
      </c>
      <c r="C229" s="142">
        <v>2162.36</v>
      </c>
      <c r="D229" s="142">
        <v>1952.1</v>
      </c>
      <c r="E229" s="142">
        <v>2307.5140000000001</v>
      </c>
      <c r="F229" s="142">
        <v>1742.778</v>
      </c>
      <c r="G229" s="142">
        <v>2462.2339999999999</v>
      </c>
      <c r="H229" s="142">
        <v>4065.0329999999999</v>
      </c>
      <c r="I229" s="142">
        <v>3720.0479999999998</v>
      </c>
      <c r="J229" s="142">
        <v>4124.4660000000003</v>
      </c>
      <c r="K229" s="142">
        <v>4307.8339999999998</v>
      </c>
      <c r="L229" s="142">
        <v>7039.6170000000002</v>
      </c>
      <c r="M229" s="142">
        <v>6951.25</v>
      </c>
      <c r="N229" s="142">
        <v>6027.9830000000002</v>
      </c>
      <c r="O229" s="142">
        <v>13395.467000000001</v>
      </c>
      <c r="P229" s="171"/>
      <c r="Q229" s="171"/>
    </row>
    <row r="230" spans="1:28">
      <c r="A230" s="235"/>
      <c r="B230" s="216" t="s">
        <v>73</v>
      </c>
      <c r="C230" s="142">
        <v>0</v>
      </c>
      <c r="D230" s="142">
        <v>0</v>
      </c>
      <c r="E230" s="142">
        <v>24</v>
      </c>
      <c r="F230" s="142">
        <v>11.75</v>
      </c>
      <c r="G230" s="142">
        <v>5</v>
      </c>
      <c r="H230" s="142">
        <v>0</v>
      </c>
      <c r="I230" s="142">
        <v>0</v>
      </c>
      <c r="J230" s="142">
        <v>0</v>
      </c>
      <c r="K230" s="142">
        <v>0</v>
      </c>
      <c r="L230" s="142">
        <v>0</v>
      </c>
      <c r="M230" s="142">
        <v>0</v>
      </c>
      <c r="N230" s="142">
        <v>0</v>
      </c>
      <c r="O230" s="142">
        <v>0</v>
      </c>
      <c r="P230" s="171"/>
      <c r="Q230" s="171"/>
    </row>
    <row r="231" spans="1:28">
      <c r="A231" s="235"/>
      <c r="B231" s="216" t="s">
        <v>66</v>
      </c>
      <c r="C231" s="142">
        <v>66270.042000000001</v>
      </c>
      <c r="D231" s="142">
        <v>79062.11</v>
      </c>
      <c r="E231" s="142">
        <v>49350.519</v>
      </c>
      <c r="F231" s="142">
        <v>25768.780999999999</v>
      </c>
      <c r="G231" s="142">
        <v>6381.4690000000001</v>
      </c>
      <c r="H231" s="142">
        <v>37857.144999999997</v>
      </c>
      <c r="I231" s="142">
        <v>244589.13800000001</v>
      </c>
      <c r="J231" s="142">
        <v>297394.19300000003</v>
      </c>
      <c r="K231" s="142">
        <v>192102.17</v>
      </c>
      <c r="L231" s="142">
        <v>112207.73</v>
      </c>
      <c r="M231" s="142">
        <v>117019.105</v>
      </c>
      <c r="N231" s="142">
        <v>128951.791</v>
      </c>
      <c r="O231" s="142">
        <v>181986.78599999999</v>
      </c>
      <c r="P231" s="171"/>
      <c r="Q231" s="171"/>
    </row>
    <row r="232" spans="1:28">
      <c r="A232" s="235"/>
      <c r="B232" s="216" t="s">
        <v>67</v>
      </c>
      <c r="C232" s="142">
        <v>1365</v>
      </c>
      <c r="D232" s="142">
        <v>807.75</v>
      </c>
      <c r="E232" s="142">
        <v>909</v>
      </c>
      <c r="F232" s="142">
        <v>86.75</v>
      </c>
      <c r="G232" s="142">
        <v>606.25</v>
      </c>
      <c r="H232" s="142">
        <v>1893.25</v>
      </c>
      <c r="I232" s="142">
        <v>2902.5</v>
      </c>
      <c r="J232" s="142">
        <v>2653.5</v>
      </c>
      <c r="K232" s="142">
        <v>3265.75</v>
      </c>
      <c r="L232" s="142">
        <v>1875.75</v>
      </c>
      <c r="M232" s="142">
        <v>2215.75</v>
      </c>
      <c r="N232" s="142">
        <v>5234.25</v>
      </c>
      <c r="O232" s="142">
        <v>6336.25</v>
      </c>
      <c r="P232" s="171"/>
      <c r="Q232" s="171"/>
    </row>
    <row r="233" spans="1:28">
      <c r="A233" s="235"/>
      <c r="B233" s="216" t="s">
        <v>209</v>
      </c>
      <c r="C233" s="142">
        <v>0</v>
      </c>
      <c r="D233" s="142">
        <v>0</v>
      </c>
      <c r="E233" s="142">
        <v>0</v>
      </c>
      <c r="F233" s="142">
        <v>0</v>
      </c>
      <c r="G233" s="142">
        <v>0</v>
      </c>
      <c r="H233" s="142">
        <v>0</v>
      </c>
      <c r="I233" s="142">
        <v>0</v>
      </c>
      <c r="J233" s="142">
        <v>0</v>
      </c>
      <c r="K233" s="142">
        <v>0</v>
      </c>
      <c r="L233" s="142">
        <v>0</v>
      </c>
      <c r="M233" s="142">
        <v>0</v>
      </c>
      <c r="N233" s="142">
        <v>0</v>
      </c>
      <c r="O233" s="142">
        <v>0</v>
      </c>
      <c r="P233" s="172"/>
      <c r="Q233" s="172"/>
    </row>
    <row r="234" spans="1:28">
      <c r="A234" s="235"/>
      <c r="B234" s="216" t="s">
        <v>64</v>
      </c>
      <c r="C234" s="142">
        <v>10664.65</v>
      </c>
      <c r="D234" s="142">
        <v>13546.782999999999</v>
      </c>
      <c r="E234" s="142">
        <v>17828.25</v>
      </c>
      <c r="F234" s="142">
        <v>8942.5499999999993</v>
      </c>
      <c r="G234" s="142">
        <v>10255.6</v>
      </c>
      <c r="H234" s="142">
        <v>30050.967000000001</v>
      </c>
      <c r="I234" s="142">
        <v>29190.814999999999</v>
      </c>
      <c r="J234" s="142">
        <v>23030.532999999999</v>
      </c>
      <c r="K234" s="142">
        <v>23938.75</v>
      </c>
      <c r="L234" s="142">
        <v>15795.967000000001</v>
      </c>
      <c r="M234" s="142">
        <v>17496.633000000002</v>
      </c>
      <c r="N234" s="142">
        <v>18521.275000000001</v>
      </c>
      <c r="O234" s="142">
        <v>19194.099999999999</v>
      </c>
      <c r="P234" s="116"/>
      <c r="Q234" s="116"/>
    </row>
    <row r="235" spans="1:28">
      <c r="A235" s="236"/>
      <c r="B235" s="230" t="s">
        <v>0</v>
      </c>
      <c r="C235" s="232">
        <v>226585.38399999999</v>
      </c>
      <c r="D235" s="232">
        <v>300968.93</v>
      </c>
      <c r="E235" s="232">
        <v>242144.601</v>
      </c>
      <c r="F235" s="232">
        <v>163734.68400000001</v>
      </c>
      <c r="G235" s="232">
        <v>146451.83900000001</v>
      </c>
      <c r="H235" s="232">
        <v>424224.06699999998</v>
      </c>
      <c r="I235" s="232">
        <v>599986.10100000002</v>
      </c>
      <c r="J235" s="232">
        <v>668651.30000000005</v>
      </c>
      <c r="K235" s="232">
        <v>430132.73</v>
      </c>
      <c r="L235" s="232">
        <v>306155.00799999997</v>
      </c>
      <c r="M235" s="232">
        <v>310923.06699999998</v>
      </c>
      <c r="N235" s="232">
        <v>330306.571</v>
      </c>
      <c r="O235" s="232">
        <v>473103.413</v>
      </c>
      <c r="P235" s="172">
        <f>O235/C235-1</f>
        <v>1.0879696856351511</v>
      </c>
      <c r="Q235" s="172">
        <f>(O216+O235)/(C235+C216)-1</f>
        <v>0.91697878747288564</v>
      </c>
    </row>
    <row r="236" spans="1:28">
      <c r="C236" s="185"/>
      <c r="O236" s="185"/>
      <c r="P236" s="180"/>
      <c r="Q236" s="180"/>
      <c r="R236" s="180"/>
      <c r="S236" s="180"/>
      <c r="T236" s="180"/>
      <c r="U236" s="180"/>
      <c r="V236" s="180"/>
      <c r="W236" s="180"/>
      <c r="X236" s="180"/>
      <c r="Y236" s="180"/>
      <c r="Z236" s="180"/>
      <c r="AA236" s="180"/>
      <c r="AB236" s="180"/>
    </row>
    <row r="237" spans="1:28">
      <c r="O237" s="185"/>
      <c r="P237" s="180"/>
      <c r="Q237" s="180"/>
      <c r="R237" s="180"/>
      <c r="S237" s="180"/>
      <c r="T237" s="180"/>
      <c r="U237" s="180"/>
      <c r="V237" s="180"/>
      <c r="W237" s="180"/>
      <c r="X237" s="180"/>
      <c r="Y237" s="180"/>
      <c r="Z237" s="180"/>
      <c r="AA237" s="180"/>
      <c r="AB237" s="180"/>
    </row>
    <row r="238" spans="1:28">
      <c r="D238" s="185"/>
      <c r="P238" s="180"/>
      <c r="Q238" s="180"/>
      <c r="R238" s="180"/>
      <c r="S238" s="180"/>
      <c r="T238" s="180"/>
      <c r="U238" s="180"/>
      <c r="V238" s="180"/>
      <c r="W238" s="180"/>
      <c r="X238" s="180"/>
      <c r="Y238" s="180"/>
      <c r="Z238" s="180"/>
      <c r="AA238" s="180"/>
      <c r="AB238" s="180"/>
    </row>
    <row r="239" spans="1:28">
      <c r="P239" s="180"/>
      <c r="Q239" s="180"/>
      <c r="R239" s="180"/>
      <c r="S239" s="180"/>
      <c r="T239" s="180"/>
      <c r="U239" s="180"/>
      <c r="V239" s="180"/>
      <c r="W239" s="180"/>
      <c r="X239" s="180"/>
      <c r="Y239" s="180"/>
      <c r="Z239" s="180"/>
      <c r="AA239" s="180"/>
      <c r="AB239" s="180"/>
    </row>
    <row r="240" spans="1:28">
      <c r="P240" s="180"/>
      <c r="Q240" s="180"/>
      <c r="R240" s="180"/>
      <c r="S240" s="180"/>
      <c r="T240" s="180"/>
      <c r="U240" s="180"/>
      <c r="V240" s="180"/>
      <c r="W240" s="180"/>
      <c r="X240" s="180"/>
      <c r="Y240" s="180"/>
      <c r="Z240" s="180"/>
      <c r="AA240" s="180"/>
      <c r="AB240" s="180"/>
    </row>
    <row r="241" spans="16:28">
      <c r="P241" s="180"/>
      <c r="Q241" s="180"/>
      <c r="R241" s="180"/>
      <c r="S241" s="180"/>
      <c r="T241" s="180"/>
      <c r="U241" s="180"/>
      <c r="V241" s="180"/>
      <c r="W241" s="180"/>
      <c r="X241" s="180"/>
      <c r="Y241" s="180"/>
      <c r="Z241" s="180"/>
      <c r="AA241" s="180"/>
      <c r="AB241" s="180"/>
    </row>
    <row r="242" spans="16:28">
      <c r="P242" s="180"/>
      <c r="Q242" s="180"/>
      <c r="R242" s="180"/>
      <c r="S242" s="180"/>
      <c r="T242" s="180"/>
      <c r="U242" s="180"/>
      <c r="V242" s="180"/>
      <c r="W242" s="180"/>
      <c r="X242" s="180"/>
      <c r="Y242" s="180"/>
      <c r="Z242" s="180"/>
      <c r="AA242" s="180"/>
      <c r="AB242" s="180"/>
    </row>
    <row r="243" spans="16:28" hidden="1">
      <c r="P243" s="180"/>
      <c r="Q243" s="180"/>
      <c r="R243" s="180"/>
      <c r="S243" s="180"/>
      <c r="T243" s="180"/>
      <c r="U243" s="180"/>
      <c r="V243" s="180"/>
      <c r="W243" s="180"/>
      <c r="X243" s="180"/>
      <c r="Y243" s="180"/>
      <c r="Z243" s="180"/>
      <c r="AA243" s="180"/>
      <c r="AB243" s="180"/>
    </row>
    <row r="244" spans="16:28" hidden="1">
      <c r="P244" s="180"/>
      <c r="Q244" s="180"/>
      <c r="R244" s="180"/>
      <c r="S244" s="180"/>
      <c r="T244" s="180"/>
      <c r="U244" s="180"/>
      <c r="V244" s="180"/>
      <c r="W244" s="180"/>
      <c r="X244" s="180"/>
      <c r="Y244" s="180"/>
      <c r="Z244" s="180"/>
      <c r="AA244" s="180"/>
      <c r="AB244" s="180"/>
    </row>
    <row r="245" spans="16:28" hidden="1">
      <c r="P245" s="180"/>
      <c r="Q245" s="180"/>
      <c r="R245" s="180"/>
      <c r="S245" s="180"/>
      <c r="T245" s="180"/>
      <c r="U245" s="180"/>
      <c r="V245" s="180"/>
      <c r="W245" s="180"/>
      <c r="X245" s="180"/>
      <c r="Y245" s="180"/>
      <c r="Z245" s="180"/>
      <c r="AA245" s="180"/>
      <c r="AB245" s="180"/>
    </row>
    <row r="246" spans="16:28" hidden="1">
      <c r="P246" s="180"/>
      <c r="Q246" s="180"/>
      <c r="R246" s="180"/>
      <c r="S246" s="180"/>
      <c r="T246" s="180"/>
      <c r="U246" s="180"/>
      <c r="V246" s="180"/>
      <c r="W246" s="180"/>
      <c r="X246" s="180"/>
      <c r="Y246" s="180"/>
      <c r="Z246" s="180"/>
      <c r="AA246" s="180"/>
      <c r="AB246" s="180"/>
    </row>
    <row r="247" spans="16:28" hidden="1">
      <c r="P247" s="180"/>
      <c r="Q247" s="180"/>
      <c r="R247" s="180"/>
      <c r="S247" s="180"/>
      <c r="T247" s="180"/>
      <c r="U247" s="180"/>
      <c r="V247" s="180"/>
      <c r="W247" s="180"/>
      <c r="X247" s="180"/>
      <c r="Y247" s="180"/>
      <c r="Z247" s="180"/>
      <c r="AA247" s="180"/>
      <c r="AB247" s="180"/>
    </row>
    <row r="248" spans="16:28" hidden="1">
      <c r="P248" s="180"/>
      <c r="Q248" s="180"/>
      <c r="R248" s="180"/>
      <c r="S248" s="180"/>
      <c r="T248" s="180"/>
      <c r="U248" s="180"/>
      <c r="V248" s="180"/>
      <c r="W248" s="180"/>
      <c r="X248" s="180"/>
      <c r="Y248" s="180"/>
      <c r="Z248" s="180"/>
      <c r="AA248" s="180"/>
      <c r="AB248" s="180"/>
    </row>
    <row r="249" spans="16:28" hidden="1">
      <c r="P249" s="180"/>
      <c r="Q249" s="180"/>
      <c r="R249" s="180"/>
      <c r="S249" s="180"/>
      <c r="T249" s="180"/>
      <c r="U249" s="180"/>
      <c r="V249" s="180"/>
      <c r="W249" s="180"/>
      <c r="X249" s="180"/>
      <c r="Y249" s="180"/>
      <c r="Z249" s="180"/>
      <c r="AA249" s="180"/>
      <c r="AB249" s="180"/>
    </row>
    <row r="250" spans="16:28" hidden="1">
      <c r="P250" s="180"/>
      <c r="Q250" s="180"/>
      <c r="R250" s="180"/>
      <c r="S250" s="180"/>
      <c r="T250" s="180"/>
      <c r="U250" s="180"/>
      <c r="V250" s="180"/>
      <c r="W250" s="180"/>
      <c r="X250" s="180"/>
      <c r="Y250" s="180"/>
      <c r="Z250" s="180"/>
      <c r="AA250" s="180"/>
      <c r="AB250" s="180"/>
    </row>
    <row r="251" spans="16:28" hidden="1">
      <c r="P251" s="180"/>
      <c r="Q251" s="180"/>
      <c r="R251" s="180"/>
      <c r="S251" s="180"/>
      <c r="T251" s="180"/>
      <c r="U251" s="180"/>
      <c r="V251" s="180"/>
      <c r="W251" s="180"/>
      <c r="X251" s="180"/>
      <c r="Y251" s="180"/>
      <c r="Z251" s="180"/>
      <c r="AA251" s="180"/>
      <c r="AB251" s="180"/>
    </row>
    <row r="252" spans="16:28" hidden="1">
      <c r="P252" s="180"/>
      <c r="Q252" s="180"/>
      <c r="R252" s="180"/>
      <c r="S252" s="180"/>
      <c r="T252" s="180"/>
      <c r="U252" s="180"/>
      <c r="V252" s="180"/>
      <c r="W252" s="180"/>
      <c r="X252" s="180"/>
      <c r="Y252" s="180"/>
      <c r="Z252" s="180"/>
      <c r="AA252" s="180"/>
      <c r="AB252" s="180"/>
    </row>
    <row r="253" spans="16:28" hidden="1">
      <c r="P253" s="180"/>
      <c r="Q253" s="180"/>
    </row>
    <row r="254" spans="16:28" hidden="1">
      <c r="P254" s="180"/>
      <c r="Q254" s="180"/>
    </row>
    <row r="255" spans="16:28" hidden="1">
      <c r="P255" s="180"/>
      <c r="Q255" s="180"/>
    </row>
    <row r="256" spans="16:28" hidden="1">
      <c r="P256" s="180"/>
      <c r="Q256" s="180"/>
    </row>
    <row r="257" spans="16:17" hidden="1">
      <c r="P257" s="180"/>
      <c r="Q257" s="180"/>
    </row>
    <row r="258" spans="16:17" hidden="1">
      <c r="P258" s="180"/>
      <c r="Q258" s="180"/>
    </row>
    <row r="259" spans="16:17" hidden="1">
      <c r="P259" s="180"/>
      <c r="Q259" s="180"/>
    </row>
    <row r="260" spans="16:17" hidden="1">
      <c r="P260" s="180"/>
      <c r="Q260" s="180"/>
    </row>
    <row r="261" spans="16:17" hidden="1">
      <c r="P261" s="180"/>
      <c r="Q261" s="180"/>
    </row>
    <row r="262" spans="16:17" hidden="1">
      <c r="P262" s="180"/>
      <c r="Q262" s="180"/>
    </row>
    <row r="263" spans="16:17" hidden="1">
      <c r="P263" s="180"/>
      <c r="Q263" s="180"/>
    </row>
    <row r="264" spans="16:17" hidden="1">
      <c r="P264" s="180"/>
      <c r="Q264" s="180"/>
    </row>
    <row r="265" spans="16:17" hidden="1">
      <c r="P265" s="180"/>
      <c r="Q265" s="180"/>
    </row>
    <row r="266" spans="16:17" hidden="1">
      <c r="P266" s="180"/>
      <c r="Q266" s="180"/>
    </row>
    <row r="267" spans="16:17" hidden="1">
      <c r="P267" s="180"/>
      <c r="Q267" s="180"/>
    </row>
    <row r="268" spans="16:17" hidden="1">
      <c r="P268" s="180"/>
      <c r="Q268" s="180"/>
    </row>
    <row r="269" spans="16:17" hidden="1">
      <c r="P269" s="180"/>
      <c r="Q269" s="180"/>
    </row>
    <row r="270" spans="16:17" hidden="1">
      <c r="P270" s="180"/>
      <c r="Q270" s="180"/>
    </row>
    <row r="271" spans="16:17" hidden="1">
      <c r="P271" s="180"/>
      <c r="Q271" s="180"/>
    </row>
    <row r="272" spans="16:17" hidden="1">
      <c r="P272" s="180"/>
      <c r="Q272" s="180"/>
    </row>
    <row r="273" spans="16:18" hidden="1">
      <c r="P273" s="180"/>
      <c r="Q273" s="180"/>
    </row>
    <row r="274" spans="16:18" hidden="1">
      <c r="P274" s="180"/>
      <c r="Q274" s="180"/>
    </row>
    <row r="275" spans="16:18" hidden="1">
      <c r="P275" s="180"/>
      <c r="Q275" s="180"/>
    </row>
    <row r="276" spans="16:18" hidden="1">
      <c r="P276" s="180"/>
      <c r="Q276" s="180"/>
    </row>
    <row r="277" spans="16:18" hidden="1">
      <c r="P277" s="180"/>
      <c r="Q277" s="180"/>
    </row>
    <row r="278" spans="16:18" hidden="1">
      <c r="P278" s="180"/>
      <c r="Q278" s="180"/>
    </row>
    <row r="279" spans="16:18" hidden="1">
      <c r="P279" s="180"/>
      <c r="Q279" s="180"/>
    </row>
    <row r="280" spans="16:18" hidden="1">
      <c r="P280" s="180"/>
      <c r="Q280" s="180"/>
    </row>
    <row r="281" spans="16:18" hidden="1">
      <c r="P281" s="180"/>
      <c r="Q281" s="180"/>
      <c r="R281" s="180"/>
    </row>
    <row r="282" spans="16:18" hidden="1">
      <c r="P282" s="180"/>
      <c r="Q282" s="180"/>
      <c r="R282" s="180"/>
    </row>
    <row r="283" spans="16:18" hidden="1">
      <c r="P283" s="180"/>
      <c r="Q283" s="180"/>
      <c r="R283" s="180"/>
    </row>
    <row r="284" spans="16:18" hidden="1">
      <c r="P284" s="180"/>
      <c r="Q284" s="180"/>
      <c r="R284" s="180"/>
    </row>
    <row r="285" spans="16:18" hidden="1">
      <c r="P285" s="180"/>
      <c r="Q285" s="180"/>
      <c r="R285" s="180"/>
    </row>
    <row r="286" spans="16:18" hidden="1">
      <c r="P286" s="180"/>
      <c r="Q286" s="180"/>
      <c r="R286" s="180"/>
    </row>
    <row r="287" spans="16:18" hidden="1">
      <c r="P287" s="180"/>
      <c r="Q287" s="180"/>
      <c r="R287" s="180"/>
    </row>
    <row r="288" spans="16:18" hidden="1">
      <c r="P288" s="180"/>
      <c r="Q288" s="180"/>
      <c r="R288" s="180"/>
    </row>
    <row r="289" spans="16:18" hidden="1">
      <c r="P289" s="180"/>
      <c r="Q289" s="180"/>
      <c r="R289" s="180"/>
    </row>
    <row r="290" spans="16:18" hidden="1">
      <c r="P290" s="180"/>
      <c r="Q290" s="180"/>
      <c r="R290" s="180"/>
    </row>
    <row r="291" spans="16:18" hidden="1">
      <c r="P291" s="180"/>
      <c r="Q291" s="180"/>
      <c r="R291" s="180"/>
    </row>
    <row r="292" spans="16:18" hidden="1">
      <c r="P292" s="180"/>
      <c r="Q292" s="180"/>
      <c r="R292" s="180"/>
    </row>
    <row r="293" spans="16:18" hidden="1">
      <c r="P293" s="180"/>
      <c r="Q293" s="180"/>
      <c r="R293" s="180"/>
    </row>
    <row r="294" spans="16:18" hidden="1">
      <c r="P294" s="180"/>
      <c r="Q294" s="180"/>
      <c r="R294" s="180"/>
    </row>
    <row r="295" spans="16:18" hidden="1">
      <c r="P295" s="180"/>
      <c r="Q295" s="180"/>
      <c r="R295" s="180"/>
    </row>
    <row r="296" spans="16:18" hidden="1">
      <c r="P296" s="180"/>
      <c r="Q296" s="180"/>
      <c r="R296" s="180"/>
    </row>
    <row r="297" spans="16:18" hidden="1">
      <c r="P297" s="180"/>
      <c r="Q297" s="180"/>
      <c r="R297" s="180"/>
    </row>
    <row r="298" spans="16:18" hidden="1">
      <c r="P298" s="180"/>
      <c r="Q298" s="180"/>
      <c r="R298" s="180"/>
    </row>
    <row r="299" spans="16:18" hidden="1">
      <c r="P299" s="180"/>
      <c r="Q299" s="180"/>
      <c r="R299" s="180"/>
    </row>
    <row r="300" spans="16:18" hidden="1">
      <c r="P300" s="180"/>
      <c r="Q300" s="180"/>
    </row>
    <row r="301" spans="16:18" hidden="1">
      <c r="P301" s="180"/>
      <c r="Q301" s="180"/>
    </row>
    <row r="302" spans="16:18" hidden="1">
      <c r="P302" s="180"/>
      <c r="Q302" s="180"/>
    </row>
    <row r="303" spans="16:18" hidden="1">
      <c r="P303" s="180"/>
      <c r="Q303" s="180"/>
    </row>
    <row r="304" spans="16:18" hidden="1">
      <c r="P304" s="180"/>
      <c r="Q304" s="180"/>
    </row>
    <row r="305" spans="1:17" hidden="1">
      <c r="P305" s="180"/>
      <c r="Q305" s="180"/>
    </row>
    <row r="306" spans="1:17" hidden="1">
      <c r="P306" s="180"/>
      <c r="Q306" s="180"/>
    </row>
    <row r="307" spans="1:17" hidden="1">
      <c r="P307" s="180"/>
      <c r="Q307" s="180"/>
    </row>
    <row r="308" spans="1:17" hidden="1">
      <c r="A308" s="178"/>
      <c r="B308" s="141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71"/>
      <c r="Q308" s="171"/>
    </row>
    <row r="309" spans="1:17" hidden="1">
      <c r="A309" s="178"/>
      <c r="B309" s="141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71"/>
      <c r="Q309" s="171"/>
    </row>
    <row r="310" spans="1:17" hidden="1">
      <c r="A310" s="178"/>
      <c r="B310" s="141"/>
      <c r="C310" s="142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71"/>
      <c r="Q310" s="171"/>
    </row>
    <row r="311" spans="1:17" hidden="1">
      <c r="A311" s="178"/>
      <c r="B311" s="141"/>
      <c r="C311" s="142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71"/>
      <c r="Q311" s="171"/>
    </row>
    <row r="312" spans="1:17" hidden="1">
      <c r="A312" s="178"/>
      <c r="B312" s="141"/>
      <c r="C312" s="142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71"/>
      <c r="Q312" s="171"/>
    </row>
    <row r="313" spans="1:17" hidden="1">
      <c r="A313" s="178"/>
      <c r="B313" s="141"/>
      <c r="C313" s="142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71"/>
      <c r="Q313" s="171"/>
    </row>
    <row r="314" spans="1:17" hidden="1">
      <c r="A314" s="178"/>
      <c r="B314" s="141"/>
      <c r="C314" s="142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71"/>
      <c r="Q314" s="171"/>
    </row>
    <row r="315" spans="1:17" hidden="1">
      <c r="A315" s="178"/>
      <c r="B315" s="141"/>
      <c r="C315" s="142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71"/>
      <c r="Q315" s="171"/>
    </row>
    <row r="316" spans="1:17" hidden="1">
      <c r="A316" s="178"/>
      <c r="B316" s="141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71"/>
      <c r="Q316" s="171"/>
    </row>
    <row r="317" spans="1:17" hidden="1">
      <c r="A317" s="178"/>
      <c r="B317" s="141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71"/>
      <c r="Q317" s="171"/>
    </row>
    <row r="318" spans="1:17" hidden="1">
      <c r="A318" s="178"/>
      <c r="B318" s="141"/>
      <c r="C318" s="142"/>
      <c r="D318" s="142"/>
      <c r="E318" s="142"/>
      <c r="F318" s="142"/>
      <c r="G318" s="142"/>
      <c r="H318" s="142"/>
      <c r="I318" s="142"/>
      <c r="J318" s="142"/>
      <c r="K318" s="142"/>
      <c r="L318" s="142"/>
      <c r="M318" s="142"/>
      <c r="N318" s="142"/>
      <c r="O318" s="142"/>
      <c r="P318" s="171"/>
      <c r="Q318" s="171"/>
    </row>
    <row r="319" spans="1:17" hidden="1">
      <c r="A319" s="178"/>
      <c r="B319" s="141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71"/>
      <c r="Q319" s="171"/>
    </row>
    <row r="320" spans="1:17" hidden="1">
      <c r="A320" s="178"/>
      <c r="B320" s="141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71"/>
      <c r="Q320" s="171"/>
    </row>
    <row r="321" spans="1:21" hidden="1">
      <c r="A321" s="178"/>
      <c r="B321" s="141"/>
      <c r="C321" s="142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71"/>
      <c r="Q321" s="171"/>
    </row>
    <row r="322" spans="1:21" hidden="1">
      <c r="A322" s="178"/>
      <c r="B322" s="141"/>
      <c r="C322" s="142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71"/>
      <c r="Q322" s="171"/>
      <c r="U322" s="185"/>
    </row>
    <row r="323" spans="1:21" hidden="1">
      <c r="A323" s="178"/>
      <c r="B323" s="141"/>
      <c r="C323" s="142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71"/>
      <c r="Q323" s="171"/>
    </row>
    <row r="324" spans="1:21" hidden="1">
      <c r="A324" s="178"/>
      <c r="B324" s="141"/>
      <c r="C324" s="142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71"/>
      <c r="Q324" s="171"/>
    </row>
    <row r="325" spans="1:21" hidden="1">
      <c r="A325" s="178"/>
      <c r="B325" s="141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71"/>
      <c r="Q325" s="171"/>
    </row>
    <row r="326" spans="1:21" hidden="1">
      <c r="A326" s="178"/>
      <c r="B326" s="141"/>
      <c r="C326" s="142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71"/>
      <c r="Q326" s="171"/>
    </row>
    <row r="327" spans="1:21" hidden="1">
      <c r="A327" s="178"/>
      <c r="B327" s="141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71"/>
      <c r="Q327" s="171"/>
    </row>
    <row r="328" spans="1:21" hidden="1">
      <c r="A328" s="178"/>
      <c r="B328" s="141"/>
      <c r="C328" s="142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71"/>
      <c r="Q328" s="171"/>
    </row>
    <row r="329" spans="1:21" hidden="1">
      <c r="A329" s="178"/>
      <c r="B329" s="141"/>
      <c r="C329" s="142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71"/>
      <c r="Q329" s="171"/>
    </row>
    <row r="330" spans="1:21" hidden="1">
      <c r="A330" s="178"/>
      <c r="B330" s="141"/>
      <c r="C330" s="142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71"/>
      <c r="Q330" s="171"/>
    </row>
    <row r="331" spans="1:21">
      <c r="A331" s="178"/>
      <c r="B331" s="141"/>
      <c r="C331" s="142"/>
      <c r="D331" s="142"/>
      <c r="E331" s="142"/>
      <c r="F331" s="142"/>
      <c r="G331" s="142"/>
      <c r="H331" s="142"/>
      <c r="I331" s="142"/>
      <c r="J331" s="142"/>
      <c r="K331" s="142"/>
      <c r="L331" s="142"/>
      <c r="M331" s="142"/>
      <c r="N331" s="142"/>
      <c r="O331" s="142"/>
      <c r="P331" s="171"/>
      <c r="Q331" s="171"/>
    </row>
    <row r="332" spans="1:21">
      <c r="A332" s="178"/>
      <c r="B332" s="141"/>
      <c r="C332" s="142"/>
      <c r="D332" s="142"/>
      <c r="E332" s="142"/>
      <c r="F332" s="142"/>
      <c r="G332" s="142"/>
      <c r="H332" s="142"/>
      <c r="I332" s="142"/>
      <c r="J332" s="142"/>
      <c r="K332" s="142"/>
      <c r="L332" s="142"/>
      <c r="M332" s="142"/>
      <c r="N332" s="142"/>
      <c r="O332" s="142"/>
      <c r="P332" s="171"/>
      <c r="Q332" s="171"/>
    </row>
    <row r="333" spans="1:21">
      <c r="A333" s="178"/>
      <c r="B333" s="141"/>
      <c r="C333" s="142"/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2"/>
      <c r="O333" s="142"/>
      <c r="P333" s="171"/>
      <c r="Q333" s="171"/>
    </row>
    <row r="334" spans="1:21">
      <c r="A334" s="178"/>
      <c r="B334" s="141"/>
      <c r="C334" s="142"/>
      <c r="D334" s="142"/>
      <c r="E334" s="142"/>
      <c r="F334" s="142"/>
      <c r="G334" s="142"/>
      <c r="H334" s="142"/>
      <c r="I334" s="142"/>
      <c r="J334" s="142"/>
      <c r="K334" s="142"/>
      <c r="L334" s="142"/>
      <c r="M334" s="142"/>
      <c r="N334" s="142"/>
      <c r="O334" s="142"/>
      <c r="P334" s="171"/>
      <c r="Q334" s="171"/>
    </row>
    <row r="335" spans="1:21">
      <c r="A335" s="82" t="s">
        <v>173</v>
      </c>
      <c r="C335" s="160" t="str">
        <f>MID(C337,6,1)</f>
        <v>A</v>
      </c>
      <c r="D335" s="160" t="str">
        <f t="shared" ref="D335:O335" si="23">MID(D337,6,1)</f>
        <v>S</v>
      </c>
      <c r="E335" s="160" t="str">
        <f t="shared" si="23"/>
        <v>O</v>
      </c>
      <c r="F335" s="160" t="str">
        <f t="shared" si="23"/>
        <v>N</v>
      </c>
      <c r="G335" s="160" t="str">
        <f t="shared" si="23"/>
        <v>D</v>
      </c>
      <c r="H335" s="160" t="str">
        <f t="shared" si="23"/>
        <v>E</v>
      </c>
      <c r="I335" s="160" t="str">
        <f t="shared" si="23"/>
        <v>F</v>
      </c>
      <c r="J335" s="160" t="str">
        <f t="shared" si="23"/>
        <v>M</v>
      </c>
      <c r="K335" s="160" t="str">
        <f t="shared" si="23"/>
        <v>A</v>
      </c>
      <c r="L335" s="160" t="str">
        <f t="shared" si="23"/>
        <v>M</v>
      </c>
      <c r="M335" s="160" t="str">
        <f t="shared" si="23"/>
        <v>J</v>
      </c>
      <c r="N335" s="160" t="str">
        <f t="shared" si="23"/>
        <v>J</v>
      </c>
      <c r="O335" s="160" t="str">
        <f t="shared" si="23"/>
        <v>A</v>
      </c>
      <c r="P335" s="171"/>
      <c r="Q335" s="171"/>
    </row>
    <row r="336" spans="1:21">
      <c r="A336" s="120"/>
      <c r="B336" s="120" t="s">
        <v>26</v>
      </c>
      <c r="C336" s="248" t="s">
        <v>153</v>
      </c>
      <c r="D336" s="249"/>
      <c r="E336" s="249"/>
      <c r="F336" s="249"/>
      <c r="G336" s="249"/>
      <c r="H336" s="249"/>
      <c r="I336" s="249"/>
      <c r="J336" s="249"/>
      <c r="K336" s="249"/>
      <c r="L336" s="249"/>
      <c r="M336" s="249"/>
      <c r="N336" s="249"/>
      <c r="O336" s="249"/>
      <c r="P336" s="171"/>
      <c r="Q336" s="171"/>
    </row>
    <row r="337" spans="1:22">
      <c r="A337" s="120"/>
      <c r="B337" s="120" t="s">
        <v>74</v>
      </c>
      <c r="C337" s="163" t="s">
        <v>210</v>
      </c>
      <c r="D337" s="163" t="s">
        <v>212</v>
      </c>
      <c r="E337" s="163" t="s">
        <v>214</v>
      </c>
      <c r="F337" s="163" t="s">
        <v>218</v>
      </c>
      <c r="G337" s="163" t="s">
        <v>221</v>
      </c>
      <c r="H337" s="163" t="s">
        <v>223</v>
      </c>
      <c r="I337" s="163" t="s">
        <v>227</v>
      </c>
      <c r="J337" s="163" t="s">
        <v>229</v>
      </c>
      <c r="K337" s="163" t="s">
        <v>231</v>
      </c>
      <c r="L337" s="163" t="s">
        <v>233</v>
      </c>
      <c r="M337" s="163" t="s">
        <v>239</v>
      </c>
      <c r="N337" s="163" t="s">
        <v>242</v>
      </c>
      <c r="O337" s="163" t="s">
        <v>253</v>
      </c>
      <c r="P337" s="171"/>
      <c r="Q337" s="171"/>
    </row>
    <row r="338" spans="1:22">
      <c r="A338" s="120" t="s">
        <v>105</v>
      </c>
      <c r="B338" s="120" t="s">
        <v>106</v>
      </c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71"/>
      <c r="Q338" s="171"/>
    </row>
    <row r="339" spans="1:22">
      <c r="A339" s="240" t="s">
        <v>59</v>
      </c>
      <c r="B339" s="216" t="s">
        <v>195</v>
      </c>
      <c r="C339" s="142">
        <v>0</v>
      </c>
      <c r="D339" s="142">
        <v>0</v>
      </c>
      <c r="E339" s="142">
        <v>0</v>
      </c>
      <c r="F339" s="142">
        <v>0</v>
      </c>
      <c r="G339" s="142">
        <v>0</v>
      </c>
      <c r="H339" s="142">
        <v>0</v>
      </c>
      <c r="I339" s="142">
        <v>0</v>
      </c>
      <c r="J339" s="142">
        <v>0</v>
      </c>
      <c r="K339" s="142">
        <v>0</v>
      </c>
      <c r="L339" s="142">
        <v>0</v>
      </c>
      <c r="M339" s="142">
        <v>0</v>
      </c>
      <c r="N339" s="142">
        <v>0</v>
      </c>
      <c r="O339" s="142">
        <v>0</v>
      </c>
      <c r="P339" s="171"/>
      <c r="Q339" s="174"/>
    </row>
    <row r="340" spans="1:22">
      <c r="A340" s="235"/>
      <c r="B340" s="216" t="s">
        <v>61</v>
      </c>
      <c r="C340" s="142">
        <v>0</v>
      </c>
      <c r="D340" s="142">
        <v>3588.75</v>
      </c>
      <c r="E340" s="142">
        <v>6311.25</v>
      </c>
      <c r="F340" s="142">
        <v>165</v>
      </c>
      <c r="G340" s="142">
        <v>421.8</v>
      </c>
      <c r="H340" s="142">
        <v>1340.95</v>
      </c>
      <c r="I340" s="142">
        <v>0</v>
      </c>
      <c r="J340" s="142">
        <v>0</v>
      </c>
      <c r="K340" s="142">
        <v>0</v>
      </c>
      <c r="L340" s="142">
        <v>150</v>
      </c>
      <c r="M340" s="142">
        <v>330</v>
      </c>
      <c r="N340" s="142">
        <v>848.4</v>
      </c>
      <c r="O340" s="142">
        <v>247.5</v>
      </c>
      <c r="P340" s="171"/>
      <c r="Q340" s="171"/>
    </row>
    <row r="341" spans="1:22">
      <c r="A341" s="235"/>
      <c r="B341" s="216" t="s">
        <v>22</v>
      </c>
      <c r="C341" s="142">
        <v>365321.88400000002</v>
      </c>
      <c r="D341" s="142">
        <v>477468.94300000003</v>
      </c>
      <c r="E341" s="142">
        <v>388843.01699999999</v>
      </c>
      <c r="F341" s="142">
        <v>137334.99900000001</v>
      </c>
      <c r="G341" s="142">
        <v>144683.02499999999</v>
      </c>
      <c r="H341" s="142">
        <v>225679.55</v>
      </c>
      <c r="I341" s="142">
        <v>119868.325</v>
      </c>
      <c r="J341" s="142">
        <v>100998.25</v>
      </c>
      <c r="K341" s="142">
        <v>100322.65</v>
      </c>
      <c r="L341" s="142">
        <v>110317.63</v>
      </c>
      <c r="M341" s="142">
        <v>179401.96900000001</v>
      </c>
      <c r="N341" s="142">
        <v>387572.19900000002</v>
      </c>
      <c r="O341" s="142">
        <v>196551.48199999999</v>
      </c>
      <c r="P341" s="171"/>
      <c r="Q341" s="171"/>
    </row>
    <row r="342" spans="1:22">
      <c r="A342" s="235"/>
      <c r="B342" s="216" t="s">
        <v>68</v>
      </c>
      <c r="C342" s="142">
        <v>0</v>
      </c>
      <c r="D342" s="142">
        <v>0</v>
      </c>
      <c r="E342" s="142">
        <v>0</v>
      </c>
      <c r="F342" s="142">
        <v>0</v>
      </c>
      <c r="G342" s="142">
        <v>16.5</v>
      </c>
      <c r="H342" s="142">
        <v>0</v>
      </c>
      <c r="I342" s="142">
        <v>0.83299999999999996</v>
      </c>
      <c r="J342" s="142">
        <v>0</v>
      </c>
      <c r="K342" s="142">
        <v>0</v>
      </c>
      <c r="L342" s="142">
        <v>51.05</v>
      </c>
      <c r="M342" s="142">
        <v>0</v>
      </c>
      <c r="N342" s="142">
        <v>102.925</v>
      </c>
      <c r="O342" s="142">
        <v>30.306999999999999</v>
      </c>
      <c r="P342" s="171"/>
      <c r="Q342" s="171"/>
    </row>
    <row r="343" spans="1:22">
      <c r="A343" s="235"/>
      <c r="B343" s="216" t="s">
        <v>62</v>
      </c>
      <c r="C343" s="142">
        <v>7902.0079999999998</v>
      </c>
      <c r="D343" s="142">
        <v>3616.067</v>
      </c>
      <c r="E343" s="142">
        <v>10614.259</v>
      </c>
      <c r="F343" s="142">
        <v>2955</v>
      </c>
      <c r="G343" s="142">
        <v>596.20000000000005</v>
      </c>
      <c r="H343" s="142">
        <v>6614.0829999999996</v>
      </c>
      <c r="I343" s="142">
        <v>0</v>
      </c>
      <c r="J343" s="142">
        <v>0</v>
      </c>
      <c r="K343" s="142">
        <v>1070.8330000000001</v>
      </c>
      <c r="L343" s="142">
        <v>2163.2829999999999</v>
      </c>
      <c r="M343" s="142">
        <v>1324</v>
      </c>
      <c r="N343" s="142">
        <v>15967.290999999999</v>
      </c>
      <c r="O343" s="142">
        <v>3927.7629999999999</v>
      </c>
      <c r="P343" s="171"/>
      <c r="Q343" s="171"/>
    </row>
    <row r="344" spans="1:22">
      <c r="A344" s="235"/>
      <c r="B344" s="216" t="s">
        <v>71</v>
      </c>
      <c r="C344" s="142">
        <v>1132.875</v>
      </c>
      <c r="D344" s="142">
        <v>479.1</v>
      </c>
      <c r="E344" s="142">
        <v>621.32500000000005</v>
      </c>
      <c r="F344" s="142">
        <v>399</v>
      </c>
      <c r="G344" s="142">
        <v>0</v>
      </c>
      <c r="H344" s="142">
        <v>1193</v>
      </c>
      <c r="I344" s="142">
        <v>403.75</v>
      </c>
      <c r="J344" s="142">
        <v>438.6</v>
      </c>
      <c r="K344" s="142">
        <v>76.025000000000006</v>
      </c>
      <c r="L344" s="142">
        <v>454.07499999999999</v>
      </c>
      <c r="M344" s="142">
        <v>264.55</v>
      </c>
      <c r="N344" s="142">
        <v>942.25</v>
      </c>
      <c r="O344" s="142">
        <v>1852.35</v>
      </c>
      <c r="P344" s="171"/>
      <c r="Q344" s="171"/>
    </row>
    <row r="345" spans="1:22">
      <c r="A345" s="235"/>
      <c r="B345" s="216" t="s">
        <v>65</v>
      </c>
      <c r="C345" s="142">
        <v>137.5</v>
      </c>
      <c r="D345" s="142">
        <v>0</v>
      </c>
      <c r="E345" s="142">
        <v>0</v>
      </c>
      <c r="F345" s="142">
        <v>0</v>
      </c>
      <c r="G345" s="142">
        <v>0</v>
      </c>
      <c r="H345" s="142">
        <v>0</v>
      </c>
      <c r="I345" s="142">
        <v>23.925000000000001</v>
      </c>
      <c r="J345" s="142">
        <v>0.42499999999999999</v>
      </c>
      <c r="K345" s="142">
        <v>0</v>
      </c>
      <c r="L345" s="142">
        <v>0</v>
      </c>
      <c r="M345" s="142">
        <v>0</v>
      </c>
      <c r="N345" s="142">
        <v>0</v>
      </c>
      <c r="O345" s="142">
        <v>33.511000000000003</v>
      </c>
      <c r="P345" s="171"/>
      <c r="Q345" s="171"/>
    </row>
    <row r="346" spans="1:22">
      <c r="A346" s="235"/>
      <c r="B346" s="216" t="s">
        <v>196</v>
      </c>
      <c r="C346" s="142">
        <v>0</v>
      </c>
      <c r="D346" s="142">
        <v>0</v>
      </c>
      <c r="E346" s="142">
        <v>0</v>
      </c>
      <c r="F346" s="142">
        <v>0</v>
      </c>
      <c r="G346" s="142">
        <v>0</v>
      </c>
      <c r="H346" s="142">
        <v>0</v>
      </c>
      <c r="I346" s="142">
        <v>7.4999999999999997E-2</v>
      </c>
      <c r="J346" s="142">
        <v>0</v>
      </c>
      <c r="K346" s="142">
        <v>0</v>
      </c>
      <c r="L346" s="142">
        <v>0</v>
      </c>
      <c r="M346" s="142">
        <v>0</v>
      </c>
      <c r="N346" s="142">
        <v>0</v>
      </c>
      <c r="O346" s="142">
        <v>11.61</v>
      </c>
      <c r="P346" s="171"/>
      <c r="Q346" s="171"/>
    </row>
    <row r="347" spans="1:22">
      <c r="A347" s="235"/>
      <c r="B347" s="216" t="s">
        <v>19</v>
      </c>
      <c r="C347" s="142">
        <v>455</v>
      </c>
      <c r="D347" s="142">
        <v>0</v>
      </c>
      <c r="E347" s="142">
        <v>5425.1909999999998</v>
      </c>
      <c r="F347" s="142">
        <v>20969.683000000001</v>
      </c>
      <c r="G347" s="142">
        <v>5425.7330000000002</v>
      </c>
      <c r="H347" s="142">
        <v>4712.3</v>
      </c>
      <c r="I347" s="142">
        <v>2.7709999999999999</v>
      </c>
      <c r="J347" s="142">
        <v>6377.6660000000002</v>
      </c>
      <c r="K347" s="142">
        <v>15699.883</v>
      </c>
      <c r="L347" s="142">
        <v>3551.5</v>
      </c>
      <c r="M347" s="142">
        <v>8718.1650000000009</v>
      </c>
      <c r="N347" s="142">
        <v>3956.8249999999998</v>
      </c>
      <c r="O347" s="142">
        <v>1339.86</v>
      </c>
      <c r="P347" s="171"/>
      <c r="Q347" s="172"/>
    </row>
    <row r="348" spans="1:22">
      <c r="A348" s="235"/>
      <c r="B348" s="216" t="s">
        <v>170</v>
      </c>
      <c r="C348" s="142">
        <v>0</v>
      </c>
      <c r="D348" s="142">
        <v>0</v>
      </c>
      <c r="E348" s="142">
        <v>0</v>
      </c>
      <c r="F348" s="142">
        <v>0</v>
      </c>
      <c r="G348" s="142">
        <v>0</v>
      </c>
      <c r="H348" s="142">
        <v>0</v>
      </c>
      <c r="I348" s="142">
        <v>0</v>
      </c>
      <c r="J348" s="142">
        <v>0</v>
      </c>
      <c r="K348" s="142">
        <v>0</v>
      </c>
      <c r="L348" s="142">
        <v>0</v>
      </c>
      <c r="M348" s="142">
        <v>0</v>
      </c>
      <c r="N348" s="142">
        <v>0</v>
      </c>
      <c r="O348" s="142">
        <v>0</v>
      </c>
      <c r="P348" s="171"/>
      <c r="Q348" s="172"/>
    </row>
    <row r="349" spans="1:22">
      <c r="A349" s="235"/>
      <c r="B349" s="216" t="s">
        <v>72</v>
      </c>
      <c r="C349" s="142">
        <v>471.21699999999998</v>
      </c>
      <c r="D349" s="142">
        <v>0</v>
      </c>
      <c r="E349" s="142">
        <v>71.599999999999994</v>
      </c>
      <c r="F349" s="142">
        <v>0</v>
      </c>
      <c r="G349" s="142">
        <v>0</v>
      </c>
      <c r="H349" s="142">
        <v>0</v>
      </c>
      <c r="I349" s="142">
        <v>2302.9</v>
      </c>
      <c r="J349" s="142">
        <v>171.55</v>
      </c>
      <c r="K349" s="142">
        <v>0</v>
      </c>
      <c r="L349" s="142">
        <v>0</v>
      </c>
      <c r="M349" s="142">
        <v>0</v>
      </c>
      <c r="N349" s="142">
        <v>0</v>
      </c>
      <c r="O349" s="142">
        <v>0</v>
      </c>
      <c r="P349" s="171"/>
      <c r="Q349" s="179"/>
      <c r="R349" s="179"/>
      <c r="S349" s="179"/>
      <c r="T349" s="179"/>
      <c r="U349" s="179"/>
      <c r="V349" s="179"/>
    </row>
    <row r="350" spans="1:22">
      <c r="A350" s="235"/>
      <c r="B350" s="216" t="s">
        <v>60</v>
      </c>
      <c r="C350" s="142">
        <v>0</v>
      </c>
      <c r="D350" s="142">
        <v>0</v>
      </c>
      <c r="E350" s="142">
        <v>0</v>
      </c>
      <c r="F350" s="142">
        <v>0</v>
      </c>
      <c r="G350" s="142">
        <v>0</v>
      </c>
      <c r="H350" s="142">
        <v>0</v>
      </c>
      <c r="I350" s="142">
        <v>30.216999999999999</v>
      </c>
      <c r="J350" s="142">
        <v>0</v>
      </c>
      <c r="K350" s="142">
        <v>0</v>
      </c>
      <c r="L350" s="142">
        <v>0</v>
      </c>
      <c r="M350" s="142">
        <v>0</v>
      </c>
      <c r="N350" s="142">
        <v>0</v>
      </c>
      <c r="O350" s="142">
        <v>11</v>
      </c>
      <c r="P350" s="171"/>
      <c r="Q350" s="179"/>
      <c r="R350" s="179"/>
      <c r="S350" s="179"/>
      <c r="T350" s="179"/>
      <c r="U350" s="179"/>
      <c r="V350" s="179"/>
    </row>
    <row r="351" spans="1:22">
      <c r="A351" s="235"/>
      <c r="B351" s="216" t="s">
        <v>69</v>
      </c>
      <c r="C351" s="142">
        <v>0</v>
      </c>
      <c r="D351" s="142">
        <v>0</v>
      </c>
      <c r="E351" s="142">
        <v>0</v>
      </c>
      <c r="F351" s="142">
        <v>0</v>
      </c>
      <c r="G351" s="142">
        <v>0</v>
      </c>
      <c r="H351" s="142">
        <v>0</v>
      </c>
      <c r="I351" s="142">
        <v>6.0670000000000002</v>
      </c>
      <c r="J351" s="142">
        <v>0</v>
      </c>
      <c r="K351" s="142">
        <v>37.582000000000001</v>
      </c>
      <c r="L351" s="142">
        <v>0</v>
      </c>
      <c r="M351" s="142">
        <v>0</v>
      </c>
      <c r="N351" s="142">
        <v>300.67500000000001</v>
      </c>
      <c r="O351" s="142">
        <v>30.347000000000001</v>
      </c>
      <c r="P351" s="171"/>
      <c r="Q351" s="179"/>
      <c r="R351" s="179"/>
      <c r="S351" s="179"/>
      <c r="T351" s="179"/>
      <c r="U351" s="179"/>
      <c r="V351" s="179"/>
    </row>
    <row r="352" spans="1:22">
      <c r="A352" s="235"/>
      <c r="B352" s="216" t="s">
        <v>73</v>
      </c>
      <c r="C352" s="142">
        <v>0</v>
      </c>
      <c r="D352" s="142">
        <v>0</v>
      </c>
      <c r="E352" s="142">
        <v>0</v>
      </c>
      <c r="F352" s="142">
        <v>0</v>
      </c>
      <c r="G352" s="142">
        <v>0</v>
      </c>
      <c r="H352" s="142">
        <v>0</v>
      </c>
      <c r="I352" s="142">
        <v>2.7749999999999999</v>
      </c>
      <c r="J352" s="142">
        <v>0</v>
      </c>
      <c r="K352" s="142">
        <v>0</v>
      </c>
      <c r="L352" s="142">
        <v>0</v>
      </c>
      <c r="M352" s="142">
        <v>0</v>
      </c>
      <c r="N352" s="142">
        <v>0</v>
      </c>
      <c r="O352" s="142">
        <v>11.11</v>
      </c>
      <c r="P352" s="171"/>
      <c r="Q352" s="179"/>
      <c r="R352" s="179"/>
      <c r="S352" s="179"/>
      <c r="T352" s="179"/>
      <c r="U352" s="179"/>
      <c r="V352" s="179"/>
    </row>
    <row r="353" spans="1:22">
      <c r="A353" s="235"/>
      <c r="B353" s="216" t="s">
        <v>66</v>
      </c>
      <c r="C353" s="142">
        <v>3.6749999999999998</v>
      </c>
      <c r="D353" s="142">
        <v>0</v>
      </c>
      <c r="E353" s="142">
        <v>0.15</v>
      </c>
      <c r="F353" s="142">
        <v>0</v>
      </c>
      <c r="G353" s="142">
        <v>0</v>
      </c>
      <c r="H353" s="142">
        <v>0</v>
      </c>
      <c r="I353" s="142">
        <v>3</v>
      </c>
      <c r="J353" s="142">
        <v>0.25</v>
      </c>
      <c r="K353" s="142">
        <v>0</v>
      </c>
      <c r="L353" s="142">
        <v>2.65</v>
      </c>
      <c r="M353" s="142">
        <v>0</v>
      </c>
      <c r="N353" s="142">
        <v>0</v>
      </c>
      <c r="O353" s="142">
        <v>19.41</v>
      </c>
      <c r="P353" s="171"/>
      <c r="Q353" s="179"/>
      <c r="R353" s="179"/>
      <c r="S353" s="179"/>
      <c r="T353" s="179"/>
      <c r="U353" s="179"/>
      <c r="V353" s="179"/>
    </row>
    <row r="354" spans="1:22">
      <c r="A354" s="235"/>
      <c r="B354" s="216" t="s">
        <v>67</v>
      </c>
      <c r="C354" s="142">
        <v>0</v>
      </c>
      <c r="D354" s="142">
        <v>0</v>
      </c>
      <c r="E354" s="142">
        <v>0</v>
      </c>
      <c r="F354" s="142">
        <v>0</v>
      </c>
      <c r="G354" s="142">
        <v>0</v>
      </c>
      <c r="H354" s="142">
        <v>0</v>
      </c>
      <c r="I354" s="142">
        <v>0</v>
      </c>
      <c r="J354" s="142">
        <v>0</v>
      </c>
      <c r="K354" s="142">
        <v>0</v>
      </c>
      <c r="L354" s="142">
        <v>0</v>
      </c>
      <c r="M354" s="142">
        <v>0</v>
      </c>
      <c r="N354" s="142">
        <v>0</v>
      </c>
      <c r="O354" s="142">
        <v>0</v>
      </c>
      <c r="P354" s="172">
        <f>O357/C357-1</f>
        <v>-0.46135281378206283</v>
      </c>
      <c r="Q354" s="179"/>
      <c r="R354" s="179"/>
      <c r="S354" s="179"/>
      <c r="T354" s="179"/>
      <c r="U354" s="179"/>
      <c r="V354" s="179"/>
    </row>
    <row r="355" spans="1:22">
      <c r="A355" s="235"/>
      <c r="B355" s="216" t="s">
        <v>209</v>
      </c>
      <c r="C355" s="142">
        <v>0</v>
      </c>
      <c r="D355" s="142">
        <v>0</v>
      </c>
      <c r="E355" s="142">
        <v>0</v>
      </c>
      <c r="F355" s="142">
        <v>0</v>
      </c>
      <c r="G355" s="142">
        <v>1007.875</v>
      </c>
      <c r="H355" s="142">
        <v>222.07499999999999</v>
      </c>
      <c r="I355" s="142">
        <v>0</v>
      </c>
      <c r="J355" s="142">
        <v>0</v>
      </c>
      <c r="K355" s="142">
        <v>0</v>
      </c>
      <c r="L355" s="142">
        <v>0</v>
      </c>
      <c r="M355" s="142">
        <v>0</v>
      </c>
      <c r="N355" s="142">
        <v>0</v>
      </c>
      <c r="O355" s="142">
        <v>0</v>
      </c>
      <c r="P355" s="172"/>
      <c r="Q355" s="179"/>
      <c r="R355" s="179"/>
      <c r="S355" s="179"/>
      <c r="T355" s="179"/>
      <c r="U355" s="179"/>
      <c r="V355" s="179"/>
    </row>
    <row r="356" spans="1:22">
      <c r="A356" s="235"/>
      <c r="B356" s="216" t="s">
        <v>64</v>
      </c>
      <c r="C356" s="142">
        <v>4850.1750000000002</v>
      </c>
      <c r="D356" s="142">
        <v>9429.009</v>
      </c>
      <c r="E356" s="142">
        <v>4580.5249999999996</v>
      </c>
      <c r="F356" s="142">
        <v>1509.3330000000001</v>
      </c>
      <c r="G356" s="142">
        <v>2219.7420000000002</v>
      </c>
      <c r="H356" s="142">
        <v>8314.2829999999994</v>
      </c>
      <c r="I356" s="142">
        <v>0</v>
      </c>
      <c r="J356" s="142">
        <v>306.25</v>
      </c>
      <c r="K356" s="142">
        <v>3970.55</v>
      </c>
      <c r="L356" s="142">
        <v>2204.3249999999998</v>
      </c>
      <c r="M356" s="142">
        <v>1535.7270000000001</v>
      </c>
      <c r="N356" s="142">
        <v>2983.7829999999999</v>
      </c>
      <c r="O356" s="142">
        <v>767.45</v>
      </c>
      <c r="P356" s="171"/>
      <c r="Q356" s="179"/>
      <c r="R356" s="179"/>
      <c r="S356" s="179"/>
      <c r="T356" s="179"/>
      <c r="U356" s="179"/>
      <c r="V356" s="179"/>
    </row>
    <row r="357" spans="1:22">
      <c r="A357" s="236"/>
      <c r="B357" s="230" t="s">
        <v>0</v>
      </c>
      <c r="C357" s="232">
        <v>380274.33399999997</v>
      </c>
      <c r="D357" s="232">
        <v>494581.86900000001</v>
      </c>
      <c r="E357" s="232">
        <v>416467.31699999998</v>
      </c>
      <c r="F357" s="232">
        <v>163333.01500000001</v>
      </c>
      <c r="G357" s="232">
        <v>154370.875</v>
      </c>
      <c r="H357" s="232">
        <v>248076.24100000001</v>
      </c>
      <c r="I357" s="232">
        <v>122644.63800000001</v>
      </c>
      <c r="J357" s="232">
        <v>108292.99099999999</v>
      </c>
      <c r="K357" s="232">
        <v>121177.523</v>
      </c>
      <c r="L357" s="232">
        <v>118894.51300000001</v>
      </c>
      <c r="M357" s="232">
        <v>191574.41099999999</v>
      </c>
      <c r="N357" s="232">
        <v>412674.348</v>
      </c>
      <c r="O357" s="232">
        <v>204833.7</v>
      </c>
      <c r="P357" s="171"/>
      <c r="Q357" s="179"/>
      <c r="R357" s="179"/>
      <c r="S357" s="179"/>
      <c r="T357" s="179"/>
      <c r="U357" s="179"/>
      <c r="V357" s="179"/>
    </row>
    <row r="358" spans="1:22">
      <c r="A358" s="241" t="s">
        <v>63</v>
      </c>
      <c r="B358" s="216" t="s">
        <v>195</v>
      </c>
      <c r="C358" s="142">
        <v>0</v>
      </c>
      <c r="D358" s="142">
        <v>0</v>
      </c>
      <c r="E358" s="142">
        <v>0</v>
      </c>
      <c r="F358" s="142">
        <v>0</v>
      </c>
      <c r="G358" s="142">
        <v>0</v>
      </c>
      <c r="H358" s="142">
        <v>0</v>
      </c>
      <c r="I358" s="142">
        <v>0</v>
      </c>
      <c r="J358" s="142">
        <v>0</v>
      </c>
      <c r="K358" s="142">
        <v>0</v>
      </c>
      <c r="L358" s="142">
        <v>0</v>
      </c>
      <c r="M358" s="142">
        <v>0</v>
      </c>
      <c r="N358" s="142">
        <v>0</v>
      </c>
      <c r="O358" s="142">
        <v>0</v>
      </c>
      <c r="P358" s="171"/>
      <c r="Q358" s="179"/>
      <c r="R358" s="179"/>
      <c r="S358" s="179"/>
      <c r="T358" s="179"/>
      <c r="U358" s="179"/>
      <c r="V358" s="179"/>
    </row>
    <row r="359" spans="1:22">
      <c r="A359" s="235"/>
      <c r="B359" s="216" t="s">
        <v>61</v>
      </c>
      <c r="C359" s="142">
        <v>0</v>
      </c>
      <c r="D359" s="142">
        <v>0</v>
      </c>
      <c r="E359" s="142">
        <v>0</v>
      </c>
      <c r="F359" s="142">
        <v>0</v>
      </c>
      <c r="G359" s="142">
        <v>0</v>
      </c>
      <c r="H359" s="142">
        <v>0</v>
      </c>
      <c r="I359" s="142">
        <v>0</v>
      </c>
      <c r="J359" s="142">
        <v>0</v>
      </c>
      <c r="K359" s="142">
        <v>0</v>
      </c>
      <c r="L359" s="142">
        <v>0</v>
      </c>
      <c r="M359" s="142">
        <v>0</v>
      </c>
      <c r="N359" s="142">
        <v>0</v>
      </c>
      <c r="O359" s="142">
        <v>0</v>
      </c>
      <c r="P359" s="171"/>
      <c r="Q359" s="179"/>
      <c r="R359" s="179"/>
      <c r="S359" s="179"/>
      <c r="T359" s="179"/>
      <c r="U359" s="179"/>
      <c r="V359" s="179"/>
    </row>
    <row r="360" spans="1:22">
      <c r="A360" s="235"/>
      <c r="B360" s="216" t="s">
        <v>22</v>
      </c>
      <c r="C360" s="142">
        <v>1021.775</v>
      </c>
      <c r="D360" s="142">
        <v>3133.625</v>
      </c>
      <c r="E360" s="142">
        <v>12633.041999999999</v>
      </c>
      <c r="F360" s="142">
        <v>572.625</v>
      </c>
      <c r="G360" s="142">
        <v>1128.8</v>
      </c>
      <c r="H360" s="142">
        <v>1669.25</v>
      </c>
      <c r="I360" s="142">
        <v>4.9000000000000004</v>
      </c>
      <c r="J360" s="142">
        <v>0</v>
      </c>
      <c r="K360" s="142">
        <v>0</v>
      </c>
      <c r="L360" s="142">
        <v>301.49200000000002</v>
      </c>
      <c r="M360" s="142">
        <v>943</v>
      </c>
      <c r="N360" s="142">
        <v>1881.75</v>
      </c>
      <c r="O360" s="142">
        <v>1825.3420000000001</v>
      </c>
      <c r="P360" s="171"/>
      <c r="Q360" s="179"/>
      <c r="R360" s="179"/>
      <c r="S360" s="179"/>
      <c r="T360" s="179"/>
      <c r="U360" s="179"/>
      <c r="V360" s="179"/>
    </row>
    <row r="361" spans="1:22">
      <c r="A361" s="235"/>
      <c r="B361" s="216" t="s">
        <v>68</v>
      </c>
      <c r="C361" s="142">
        <v>4302.4539999999997</v>
      </c>
      <c r="D361" s="142">
        <v>2024.335</v>
      </c>
      <c r="E361" s="142">
        <v>2029.9390000000001</v>
      </c>
      <c r="F361" s="142">
        <v>273.53800000000001</v>
      </c>
      <c r="G361" s="142">
        <v>377.13200000000001</v>
      </c>
      <c r="H361" s="142">
        <v>786.62800000000004</v>
      </c>
      <c r="I361" s="142">
        <v>37.953000000000003</v>
      </c>
      <c r="J361" s="142">
        <v>621.33600000000001</v>
      </c>
      <c r="K361" s="142">
        <v>2516.587</v>
      </c>
      <c r="L361" s="142">
        <v>1463.7470000000001</v>
      </c>
      <c r="M361" s="142">
        <v>4061.3739999999998</v>
      </c>
      <c r="N361" s="142">
        <v>2002.1210000000001</v>
      </c>
      <c r="O361" s="142">
        <v>712.63</v>
      </c>
      <c r="P361" s="171"/>
      <c r="Q361" s="179"/>
      <c r="R361" s="179"/>
      <c r="S361" s="179"/>
      <c r="T361" s="179"/>
      <c r="U361" s="179"/>
      <c r="V361" s="179"/>
    </row>
    <row r="362" spans="1:22">
      <c r="A362" s="235"/>
      <c r="B362" s="216" t="s">
        <v>62</v>
      </c>
      <c r="C362" s="142">
        <v>6001.4319999999998</v>
      </c>
      <c r="D362" s="142">
        <v>3894.6080000000002</v>
      </c>
      <c r="E362" s="142">
        <v>15149.841</v>
      </c>
      <c r="F362" s="142">
        <v>10963.05</v>
      </c>
      <c r="G362" s="142">
        <v>25532.89</v>
      </c>
      <c r="H362" s="142">
        <v>14325.141</v>
      </c>
      <c r="I362" s="142">
        <v>3178.55</v>
      </c>
      <c r="J362" s="142">
        <v>16107.041999999999</v>
      </c>
      <c r="K362" s="142">
        <v>9517.1579999999994</v>
      </c>
      <c r="L362" s="142">
        <v>21055.325000000001</v>
      </c>
      <c r="M362" s="142">
        <v>4049.6419999999998</v>
      </c>
      <c r="N362" s="142">
        <v>21458.416000000001</v>
      </c>
      <c r="O362" s="142">
        <v>5351.2839999999997</v>
      </c>
      <c r="P362" s="171"/>
      <c r="Q362" s="179"/>
      <c r="R362" s="179"/>
      <c r="S362" s="179"/>
      <c r="T362" s="179"/>
      <c r="U362" s="179"/>
      <c r="V362" s="179"/>
    </row>
    <row r="363" spans="1:22">
      <c r="A363" s="235"/>
      <c r="B363" s="216" t="s">
        <v>71</v>
      </c>
      <c r="C363" s="142">
        <v>13.3</v>
      </c>
      <c r="D363" s="142">
        <v>0</v>
      </c>
      <c r="E363" s="142">
        <v>0.1</v>
      </c>
      <c r="F363" s="142">
        <v>40</v>
      </c>
      <c r="G363" s="142">
        <v>0</v>
      </c>
      <c r="H363" s="142">
        <v>0</v>
      </c>
      <c r="I363" s="142">
        <v>0</v>
      </c>
      <c r="J363" s="142">
        <v>0</v>
      </c>
      <c r="K363" s="142">
        <v>0</v>
      </c>
      <c r="L363" s="142">
        <v>0.1</v>
      </c>
      <c r="M363" s="142">
        <v>0.42499999999999999</v>
      </c>
      <c r="N363" s="142">
        <v>83.35</v>
      </c>
      <c r="O363" s="142">
        <v>86.974999999999994</v>
      </c>
      <c r="P363" s="171"/>
      <c r="Q363" s="179"/>
      <c r="R363" s="179"/>
      <c r="S363" s="179"/>
      <c r="T363" s="179"/>
      <c r="U363" s="179"/>
      <c r="V363" s="179"/>
    </row>
    <row r="364" spans="1:22">
      <c r="A364" s="235"/>
      <c r="B364" s="216" t="s">
        <v>65</v>
      </c>
      <c r="C364" s="142">
        <v>53466.71</v>
      </c>
      <c r="D364" s="142">
        <v>31702.144</v>
      </c>
      <c r="E364" s="142">
        <v>78564.706000000006</v>
      </c>
      <c r="F364" s="142">
        <v>31349.627</v>
      </c>
      <c r="G364" s="142">
        <v>41919.404000000002</v>
      </c>
      <c r="H364" s="142">
        <v>19108.333999999999</v>
      </c>
      <c r="I364" s="142">
        <v>4270.6970000000001</v>
      </c>
      <c r="J364" s="142">
        <v>62427.396000000001</v>
      </c>
      <c r="K364" s="142">
        <v>64769.294999999998</v>
      </c>
      <c r="L364" s="142">
        <v>54505.99</v>
      </c>
      <c r="M364" s="142">
        <v>77851.764999999999</v>
      </c>
      <c r="N364" s="142">
        <v>85410.906000000003</v>
      </c>
      <c r="O364" s="142">
        <v>26238.44</v>
      </c>
      <c r="P364" s="171"/>
      <c r="Q364" s="179"/>
      <c r="R364" s="179"/>
      <c r="S364" s="179"/>
      <c r="T364" s="179"/>
      <c r="U364" s="179"/>
      <c r="V364" s="179"/>
    </row>
    <row r="365" spans="1:22">
      <c r="A365" s="235"/>
      <c r="B365" s="216" t="s">
        <v>196</v>
      </c>
      <c r="C365" s="142">
        <v>1433.252</v>
      </c>
      <c r="D365" s="142">
        <v>1680.0920000000001</v>
      </c>
      <c r="E365" s="142">
        <v>3212.7779999999998</v>
      </c>
      <c r="F365" s="142">
        <v>1972.2629999999999</v>
      </c>
      <c r="G365" s="142">
        <v>1066.75</v>
      </c>
      <c r="H365" s="142">
        <v>3413.56</v>
      </c>
      <c r="I365" s="142">
        <v>10.952999999999999</v>
      </c>
      <c r="J365" s="142">
        <v>898.26599999999996</v>
      </c>
      <c r="K365" s="142">
        <v>2585.2570000000001</v>
      </c>
      <c r="L365" s="142">
        <v>2122.9780000000001</v>
      </c>
      <c r="M365" s="142">
        <v>5356.3530000000001</v>
      </c>
      <c r="N365" s="142">
        <v>11072.51</v>
      </c>
      <c r="O365" s="142">
        <v>3652.0549999999998</v>
      </c>
      <c r="P365" s="171"/>
      <c r="Q365" s="179"/>
      <c r="R365" s="179"/>
      <c r="S365" s="179"/>
      <c r="T365" s="179"/>
      <c r="U365" s="179"/>
      <c r="V365" s="179"/>
    </row>
    <row r="366" spans="1:22">
      <c r="A366" s="235"/>
      <c r="B366" s="216" t="s">
        <v>19</v>
      </c>
      <c r="C366" s="142">
        <v>5499.3530000000001</v>
      </c>
      <c r="D366" s="142">
        <v>188.095</v>
      </c>
      <c r="E366" s="142">
        <v>505.98399999999998</v>
      </c>
      <c r="F366" s="142">
        <v>150.90899999999999</v>
      </c>
      <c r="G366" s="142">
        <v>733.23500000000001</v>
      </c>
      <c r="H366" s="142">
        <v>800.19</v>
      </c>
      <c r="I366" s="142">
        <v>608.26800000000003</v>
      </c>
      <c r="J366" s="142">
        <v>2561.46</v>
      </c>
      <c r="K366" s="142">
        <v>1065.028</v>
      </c>
      <c r="L366" s="142">
        <v>2612.1779999999999</v>
      </c>
      <c r="M366" s="142">
        <v>4227.0780000000004</v>
      </c>
      <c r="N366" s="142">
        <v>2552.4409999999998</v>
      </c>
      <c r="O366" s="142">
        <v>1430.585</v>
      </c>
      <c r="P366" s="171"/>
      <c r="Q366" s="179"/>
      <c r="R366" s="179"/>
      <c r="S366" s="179"/>
      <c r="T366" s="179"/>
      <c r="U366" s="179"/>
      <c r="V366" s="179"/>
    </row>
    <row r="367" spans="1:22">
      <c r="A367" s="235"/>
      <c r="B367" s="216" t="s">
        <v>170</v>
      </c>
      <c r="C367" s="142">
        <v>0</v>
      </c>
      <c r="D367" s="142">
        <v>0</v>
      </c>
      <c r="E367" s="142">
        <v>0</v>
      </c>
      <c r="F367" s="142">
        <v>0</v>
      </c>
      <c r="G367" s="142">
        <v>0</v>
      </c>
      <c r="H367" s="142">
        <v>0</v>
      </c>
      <c r="I367" s="142">
        <v>0</v>
      </c>
      <c r="J367" s="142">
        <v>0</v>
      </c>
      <c r="K367" s="142">
        <v>0</v>
      </c>
      <c r="L367" s="142">
        <v>0</v>
      </c>
      <c r="M367" s="142">
        <v>0</v>
      </c>
      <c r="N367" s="142">
        <v>0</v>
      </c>
      <c r="O367" s="142">
        <v>0</v>
      </c>
      <c r="P367" s="171"/>
      <c r="Q367" s="179"/>
      <c r="R367" s="179"/>
      <c r="S367" s="179"/>
      <c r="T367" s="179"/>
      <c r="U367" s="179"/>
      <c r="V367" s="179"/>
    </row>
    <row r="368" spans="1:22">
      <c r="A368" s="235"/>
      <c r="B368" s="216" t="s">
        <v>72</v>
      </c>
      <c r="C368" s="142">
        <v>0</v>
      </c>
      <c r="D368" s="142">
        <v>0</v>
      </c>
      <c r="E368" s="142">
        <v>0</v>
      </c>
      <c r="F368" s="142">
        <v>0</v>
      </c>
      <c r="G368" s="142">
        <v>0</v>
      </c>
      <c r="H368" s="142">
        <v>0</v>
      </c>
      <c r="I368" s="142">
        <v>0</v>
      </c>
      <c r="J368" s="142">
        <v>0</v>
      </c>
      <c r="K368" s="142">
        <v>0</v>
      </c>
      <c r="L368" s="142">
        <v>0</v>
      </c>
      <c r="M368" s="142">
        <v>0</v>
      </c>
      <c r="N368" s="142">
        <v>0</v>
      </c>
      <c r="O368" s="142">
        <v>0</v>
      </c>
      <c r="P368" s="171"/>
      <c r="Q368" s="179"/>
      <c r="R368" s="179"/>
      <c r="S368" s="179"/>
      <c r="T368" s="179"/>
      <c r="U368" s="179"/>
      <c r="V368" s="179"/>
    </row>
    <row r="369" spans="1:17">
      <c r="A369" s="235"/>
      <c r="B369" s="216" t="s">
        <v>60</v>
      </c>
      <c r="C369" s="142">
        <v>0</v>
      </c>
      <c r="D369" s="142">
        <v>0</v>
      </c>
      <c r="E369" s="142">
        <v>0</v>
      </c>
      <c r="F369" s="142">
        <v>0</v>
      </c>
      <c r="G369" s="142">
        <v>0</v>
      </c>
      <c r="H369" s="142">
        <v>0</v>
      </c>
      <c r="I369" s="142">
        <v>0</v>
      </c>
      <c r="J369" s="142">
        <v>0</v>
      </c>
      <c r="K369" s="142">
        <v>0</v>
      </c>
      <c r="L369" s="142">
        <v>0</v>
      </c>
      <c r="M369" s="142">
        <v>0</v>
      </c>
      <c r="N369" s="142">
        <v>0</v>
      </c>
      <c r="O369" s="142">
        <v>0</v>
      </c>
      <c r="P369" s="171"/>
    </row>
    <row r="370" spans="1:17">
      <c r="A370" s="235"/>
      <c r="B370" s="216" t="s">
        <v>69</v>
      </c>
      <c r="C370" s="142">
        <v>1658.9880000000001</v>
      </c>
      <c r="D370" s="142">
        <v>1278.7840000000001</v>
      </c>
      <c r="E370" s="142">
        <v>1742.4670000000001</v>
      </c>
      <c r="F370" s="142">
        <v>18.949000000000002</v>
      </c>
      <c r="G370" s="142">
        <v>39.518999999999998</v>
      </c>
      <c r="H370" s="142">
        <v>262.69600000000003</v>
      </c>
      <c r="I370" s="142">
        <v>19.006</v>
      </c>
      <c r="J370" s="142">
        <v>530.85799999999995</v>
      </c>
      <c r="K370" s="142">
        <v>1598.1</v>
      </c>
      <c r="L370" s="142">
        <v>628.48400000000004</v>
      </c>
      <c r="M370" s="142">
        <v>1854.759</v>
      </c>
      <c r="N370" s="142">
        <v>1547.4829999999999</v>
      </c>
      <c r="O370" s="142">
        <v>837.52</v>
      </c>
      <c r="P370" s="171"/>
    </row>
    <row r="371" spans="1:17">
      <c r="A371" s="235"/>
      <c r="B371" s="216" t="s">
        <v>73</v>
      </c>
      <c r="C371" s="142">
        <v>779.20500000000004</v>
      </c>
      <c r="D371" s="142">
        <v>0</v>
      </c>
      <c r="E371" s="142">
        <v>0.16800000000000001</v>
      </c>
      <c r="F371" s="142">
        <v>25.091000000000001</v>
      </c>
      <c r="G371" s="142">
        <v>0</v>
      </c>
      <c r="H371" s="142">
        <v>0</v>
      </c>
      <c r="I371" s="142">
        <v>0</v>
      </c>
      <c r="J371" s="142">
        <v>0</v>
      </c>
      <c r="K371" s="142">
        <v>0</v>
      </c>
      <c r="L371" s="142">
        <v>0</v>
      </c>
      <c r="M371" s="142">
        <v>0</v>
      </c>
      <c r="N371" s="142">
        <v>0</v>
      </c>
      <c r="O371" s="142">
        <v>0</v>
      </c>
      <c r="P371" s="172">
        <f>O376/C376-1</f>
        <v>-2.5744060144595293E-2</v>
      </c>
      <c r="Q371" s="172">
        <f>(O357+O376)/(C376+C357)-1</f>
        <v>-0.32733190423345393</v>
      </c>
    </row>
    <row r="372" spans="1:17">
      <c r="A372" s="235"/>
      <c r="B372" s="216" t="s">
        <v>66</v>
      </c>
      <c r="C372" s="142">
        <v>63965.084000000003</v>
      </c>
      <c r="D372" s="142">
        <v>19560.11</v>
      </c>
      <c r="E372" s="142">
        <v>61583.904999999999</v>
      </c>
      <c r="F372" s="142">
        <v>6305.0339999999997</v>
      </c>
      <c r="G372" s="142">
        <v>1891.778</v>
      </c>
      <c r="H372" s="142">
        <v>2707.0210000000002</v>
      </c>
      <c r="I372" s="142">
        <v>3565.0010000000002</v>
      </c>
      <c r="J372" s="142">
        <v>39701.78</v>
      </c>
      <c r="K372" s="142">
        <v>80273.923999999999</v>
      </c>
      <c r="L372" s="142">
        <v>182093.989</v>
      </c>
      <c r="M372" s="142">
        <v>228735.50899999999</v>
      </c>
      <c r="N372" s="142">
        <v>219533.73699999999</v>
      </c>
      <c r="O372" s="142">
        <v>113160.24400000001</v>
      </c>
      <c r="P372" s="171"/>
    </row>
    <row r="373" spans="1:17">
      <c r="A373" s="235"/>
      <c r="B373" s="216" t="s">
        <v>67</v>
      </c>
      <c r="C373" s="142">
        <v>16218.591</v>
      </c>
      <c r="D373" s="142">
        <v>5669.5519999999997</v>
      </c>
      <c r="E373" s="142">
        <v>8192.3739999999998</v>
      </c>
      <c r="F373" s="142">
        <v>221.136</v>
      </c>
      <c r="G373" s="142">
        <v>6.3490000000000002</v>
      </c>
      <c r="H373" s="142">
        <v>44.374000000000002</v>
      </c>
      <c r="I373" s="142">
        <v>454.596</v>
      </c>
      <c r="J373" s="142">
        <v>4909.5150000000003</v>
      </c>
      <c r="K373" s="142">
        <v>3210.4679999999998</v>
      </c>
      <c r="L373" s="142">
        <v>1585.9380000000001</v>
      </c>
      <c r="M373" s="142">
        <v>7091.69</v>
      </c>
      <c r="N373" s="142">
        <v>9918.5030000000006</v>
      </c>
      <c r="O373" s="142">
        <v>7992.8239999999996</v>
      </c>
      <c r="P373" s="171"/>
    </row>
    <row r="374" spans="1:17">
      <c r="A374" s="235"/>
      <c r="B374" s="216" t="s">
        <v>209</v>
      </c>
      <c r="C374" s="142">
        <v>0</v>
      </c>
      <c r="D374" s="142">
        <v>0</v>
      </c>
      <c r="E374" s="142">
        <v>0</v>
      </c>
      <c r="F374" s="142">
        <v>0</v>
      </c>
      <c r="G374" s="142">
        <v>0</v>
      </c>
      <c r="H374" s="142">
        <v>0</v>
      </c>
      <c r="I374" s="142">
        <v>0</v>
      </c>
      <c r="J374" s="142">
        <v>0</v>
      </c>
      <c r="K374" s="142">
        <v>0</v>
      </c>
      <c r="L374" s="142">
        <v>0</v>
      </c>
      <c r="M374" s="142">
        <v>0</v>
      </c>
      <c r="N374" s="142">
        <v>0</v>
      </c>
      <c r="O374" s="142">
        <v>0</v>
      </c>
      <c r="P374" s="171"/>
    </row>
    <row r="375" spans="1:17">
      <c r="A375" s="235"/>
      <c r="B375" s="216" t="s">
        <v>64</v>
      </c>
      <c r="C375" s="142">
        <v>14627.808000000001</v>
      </c>
      <c r="D375" s="142">
        <v>439.1</v>
      </c>
      <c r="E375" s="142">
        <v>116.1</v>
      </c>
      <c r="F375" s="142">
        <v>65.5</v>
      </c>
      <c r="G375" s="142">
        <v>6874.9160000000002</v>
      </c>
      <c r="H375" s="142">
        <v>7145.2420000000002</v>
      </c>
      <c r="I375" s="142">
        <v>116.25</v>
      </c>
      <c r="J375" s="142">
        <v>522.16700000000003</v>
      </c>
      <c r="K375" s="142">
        <v>79.099999999999994</v>
      </c>
      <c r="L375" s="142">
        <v>37.975000000000001</v>
      </c>
      <c r="M375" s="142">
        <v>4166.1670000000004</v>
      </c>
      <c r="N375" s="142">
        <v>15612.15</v>
      </c>
      <c r="O375" s="142">
        <v>3349.6170000000002</v>
      </c>
      <c r="P375" s="171"/>
    </row>
    <row r="376" spans="1:17">
      <c r="A376" s="236"/>
      <c r="B376" s="230" t="s">
        <v>0</v>
      </c>
      <c r="C376" s="232">
        <v>168987.95199999999</v>
      </c>
      <c r="D376" s="232">
        <v>69570.445000000007</v>
      </c>
      <c r="E376" s="232">
        <v>183731.40400000001</v>
      </c>
      <c r="F376" s="232">
        <v>51957.722000000002</v>
      </c>
      <c r="G376" s="232">
        <v>79570.773000000001</v>
      </c>
      <c r="H376" s="232">
        <v>50262.436000000002</v>
      </c>
      <c r="I376" s="232">
        <v>12266.174000000001</v>
      </c>
      <c r="J376" s="232">
        <v>128279.82</v>
      </c>
      <c r="K376" s="232">
        <v>165614.91699999999</v>
      </c>
      <c r="L376" s="232">
        <v>266408.196</v>
      </c>
      <c r="M376" s="232">
        <v>338337.76199999999</v>
      </c>
      <c r="N376" s="232">
        <v>371073.36700000003</v>
      </c>
      <c r="O376" s="232">
        <v>164637.516</v>
      </c>
      <c r="P376" s="171"/>
    </row>
    <row r="377" spans="1:17">
      <c r="A377" s="179"/>
      <c r="B377" s="179"/>
      <c r="C377" s="179"/>
      <c r="D377" s="179"/>
      <c r="E377" s="179"/>
      <c r="F377" s="179"/>
      <c r="G377" s="179"/>
      <c r="H377" s="179"/>
      <c r="I377" s="179"/>
      <c r="J377" s="179"/>
      <c r="K377" s="179"/>
      <c r="L377" s="179"/>
      <c r="M377" s="179"/>
      <c r="N377" s="179"/>
      <c r="P377" s="171"/>
    </row>
    <row r="378" spans="1:17">
      <c r="A378" s="179"/>
      <c r="B378" s="179"/>
      <c r="C378" s="179"/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</row>
    <row r="379" spans="1:17">
      <c r="A379" s="179"/>
      <c r="B379" s="179"/>
      <c r="C379" s="179"/>
      <c r="D379" s="179"/>
      <c r="E379" s="179"/>
      <c r="F379" s="179"/>
      <c r="G379" s="179"/>
      <c r="H379" s="179"/>
      <c r="I379" s="179"/>
      <c r="J379" s="179"/>
      <c r="K379" s="179"/>
      <c r="L379" s="179"/>
      <c r="M379" s="179"/>
      <c r="N379" s="179"/>
    </row>
    <row r="380" spans="1:17">
      <c r="A380" s="82"/>
      <c r="D380" s="185"/>
    </row>
    <row r="381" spans="1:17">
      <c r="A381" s="82"/>
    </row>
    <row r="383" spans="1:17">
      <c r="A383" s="82"/>
    </row>
    <row r="384" spans="1:17">
      <c r="A384" s="82"/>
    </row>
    <row r="385" spans="1:15">
      <c r="A385" s="82"/>
    </row>
    <row r="386" spans="1:15">
      <c r="A386" s="82"/>
    </row>
    <row r="387" spans="1:15">
      <c r="A387" s="82"/>
    </row>
    <row r="388" spans="1:15">
      <c r="A388" s="82" t="s">
        <v>193</v>
      </c>
    </row>
    <row r="389" spans="1:15">
      <c r="B389" s="160" t="str">
        <f>MID(B390,6,1)</f>
        <v>A</v>
      </c>
      <c r="C389" s="160" t="str">
        <f t="shared" ref="C389:N389" si="24">MID(C390,6,1)</f>
        <v>S</v>
      </c>
      <c r="D389" s="160" t="str">
        <f t="shared" si="24"/>
        <v>O</v>
      </c>
      <c r="E389" s="160" t="str">
        <f t="shared" si="24"/>
        <v>N</v>
      </c>
      <c r="F389" s="160" t="str">
        <f t="shared" si="24"/>
        <v>D</v>
      </c>
      <c r="G389" s="160" t="str">
        <f t="shared" si="24"/>
        <v>E</v>
      </c>
      <c r="H389" s="160" t="str">
        <f t="shared" si="24"/>
        <v>F</v>
      </c>
      <c r="I389" s="160" t="str">
        <f t="shared" si="24"/>
        <v>M</v>
      </c>
      <c r="J389" s="160" t="str">
        <f t="shared" si="24"/>
        <v>A</v>
      </c>
      <c r="K389" s="160" t="str">
        <f t="shared" si="24"/>
        <v>M</v>
      </c>
      <c r="L389" s="160" t="str">
        <f t="shared" si="24"/>
        <v>J</v>
      </c>
      <c r="M389" s="160" t="str">
        <f t="shared" si="24"/>
        <v>J</v>
      </c>
      <c r="N389" s="160" t="str">
        <f t="shared" si="24"/>
        <v>A</v>
      </c>
    </row>
    <row r="390" spans="1:15">
      <c r="A390" s="120" t="s">
        <v>74</v>
      </c>
      <c r="B390" s="163" t="s">
        <v>210</v>
      </c>
      <c r="C390" s="163" t="s">
        <v>212</v>
      </c>
      <c r="D390" s="163" t="s">
        <v>214</v>
      </c>
      <c r="E390" s="163" t="s">
        <v>218</v>
      </c>
      <c r="F390" s="163" t="s">
        <v>221</v>
      </c>
      <c r="G390" s="163" t="s">
        <v>223</v>
      </c>
      <c r="H390" s="163" t="s">
        <v>227</v>
      </c>
      <c r="I390" s="163" t="s">
        <v>229</v>
      </c>
      <c r="J390" s="163" t="s">
        <v>231</v>
      </c>
      <c r="K390" s="163" t="s">
        <v>233</v>
      </c>
      <c r="L390" s="163" t="s">
        <v>239</v>
      </c>
      <c r="M390" s="163" t="s">
        <v>242</v>
      </c>
      <c r="N390" s="163" t="s">
        <v>253</v>
      </c>
    </row>
    <row r="391" spans="1:15">
      <c r="A391" s="120" t="s">
        <v>26</v>
      </c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</row>
    <row r="392" spans="1:15">
      <c r="A392" s="216" t="s">
        <v>162</v>
      </c>
      <c r="B392" s="200">
        <v>35242.697999999997</v>
      </c>
      <c r="C392" s="200">
        <v>27929.848999999998</v>
      </c>
      <c r="D392" s="200">
        <v>20968.252</v>
      </c>
      <c r="E392" s="200">
        <v>22665.061000000002</v>
      </c>
      <c r="F392" s="200">
        <v>17933.278999999999</v>
      </c>
      <c r="G392" s="200">
        <v>23166.077000000001</v>
      </c>
      <c r="H392" s="200">
        <v>25587.149000000001</v>
      </c>
      <c r="I392" s="200">
        <v>33879.158000000003</v>
      </c>
      <c r="J392" s="200">
        <v>36517.428</v>
      </c>
      <c r="K392" s="200">
        <v>40300.444000000003</v>
      </c>
      <c r="L392" s="200">
        <v>30981.732</v>
      </c>
      <c r="M392" s="200">
        <v>30265.316999999999</v>
      </c>
      <c r="N392" s="200">
        <v>28257.925999999999</v>
      </c>
      <c r="O392" s="62"/>
    </row>
    <row r="393" spans="1:15">
      <c r="A393" s="216" t="s">
        <v>163</v>
      </c>
      <c r="B393" s="200">
        <v>26163.522000000001</v>
      </c>
      <c r="C393" s="200">
        <v>22461.603999999999</v>
      </c>
      <c r="D393" s="200">
        <v>13158.781999999999</v>
      </c>
      <c r="E393" s="200">
        <v>6005.0370000000003</v>
      </c>
      <c r="F393" s="200">
        <v>9131.7250000000004</v>
      </c>
      <c r="G393" s="200">
        <v>5810.0649999999996</v>
      </c>
      <c r="H393" s="200">
        <v>2983.4830000000002</v>
      </c>
      <c r="I393" s="200">
        <v>4872.5479999999998</v>
      </c>
      <c r="J393" s="200">
        <v>11786.290999999999</v>
      </c>
      <c r="K393" s="200">
        <v>13779.143</v>
      </c>
      <c r="L393" s="200">
        <v>16829.794000000002</v>
      </c>
      <c r="M393" s="200">
        <v>12436.032999999999</v>
      </c>
      <c r="N393" s="200">
        <v>16401.524000000001</v>
      </c>
      <c r="O393" s="62"/>
    </row>
    <row r="394" spans="1:15">
      <c r="A394" s="209" t="s">
        <v>216</v>
      </c>
      <c r="B394" s="210">
        <f>SUM(B392:B393)</f>
        <v>61406.22</v>
      </c>
      <c r="C394" s="210">
        <f t="shared" ref="C394:N394" si="25">SUM(C392:C393)</f>
        <v>50391.452999999994</v>
      </c>
      <c r="D394" s="210">
        <f t="shared" si="25"/>
        <v>34127.034</v>
      </c>
      <c r="E394" s="210">
        <f t="shared" si="25"/>
        <v>28670.098000000002</v>
      </c>
      <c r="F394" s="210">
        <f t="shared" si="25"/>
        <v>27065.004000000001</v>
      </c>
      <c r="G394" s="210">
        <f t="shared" si="25"/>
        <v>28976.142</v>
      </c>
      <c r="H394" s="210">
        <f t="shared" si="25"/>
        <v>28570.632000000001</v>
      </c>
      <c r="I394" s="210">
        <f t="shared" si="25"/>
        <v>38751.706000000006</v>
      </c>
      <c r="J394" s="210">
        <f t="shared" si="25"/>
        <v>48303.718999999997</v>
      </c>
      <c r="K394" s="210">
        <f t="shared" si="25"/>
        <v>54079.587</v>
      </c>
      <c r="L394" s="210">
        <f t="shared" si="25"/>
        <v>47811.525999999998</v>
      </c>
      <c r="M394" s="210">
        <f t="shared" si="25"/>
        <v>42701.35</v>
      </c>
      <c r="N394" s="210">
        <f t="shared" si="25"/>
        <v>44659.45</v>
      </c>
    </row>
    <row r="395" spans="1:15">
      <c r="A395" s="141"/>
    </row>
    <row r="396" spans="1:15">
      <c r="A396" s="141"/>
    </row>
    <row r="397" spans="1:15">
      <c r="A397" s="82" t="s">
        <v>165</v>
      </c>
    </row>
    <row r="398" spans="1:15">
      <c r="A398" s="82" t="s">
        <v>166</v>
      </c>
    </row>
    <row r="399" spans="1:15">
      <c r="A399" s="120"/>
      <c r="B399" s="120" t="s">
        <v>26</v>
      </c>
      <c r="C399" s="238" t="s">
        <v>199</v>
      </c>
      <c r="D399" s="239"/>
      <c r="E399" s="239"/>
      <c r="F399" s="239"/>
      <c r="G399" s="239"/>
      <c r="H399" s="239"/>
      <c r="I399" s="239"/>
      <c r="J399" s="239"/>
      <c r="K399" s="239"/>
      <c r="L399" s="239"/>
      <c r="M399" s="239"/>
      <c r="N399" s="239"/>
      <c r="O399" s="239"/>
    </row>
    <row r="400" spans="1:15">
      <c r="A400" s="120"/>
      <c r="B400" s="120" t="s">
        <v>74</v>
      </c>
      <c r="C400" s="163" t="s">
        <v>210</v>
      </c>
      <c r="D400" s="163" t="s">
        <v>212</v>
      </c>
      <c r="E400" s="163" t="s">
        <v>214</v>
      </c>
      <c r="F400" s="163" t="s">
        <v>218</v>
      </c>
      <c r="G400" s="163" t="s">
        <v>221</v>
      </c>
      <c r="H400" s="163" t="s">
        <v>223</v>
      </c>
      <c r="I400" s="163" t="s">
        <v>227</v>
      </c>
      <c r="J400" s="163" t="s">
        <v>229</v>
      </c>
      <c r="K400" s="163" t="s">
        <v>231</v>
      </c>
      <c r="L400" s="163" t="s">
        <v>233</v>
      </c>
      <c r="M400" s="163" t="s">
        <v>239</v>
      </c>
      <c r="N400" s="163" t="s">
        <v>242</v>
      </c>
      <c r="O400" s="163" t="s">
        <v>253</v>
      </c>
    </row>
    <row r="401" spans="1:33">
      <c r="A401" s="120" t="s">
        <v>105</v>
      </c>
      <c r="B401" s="120" t="s">
        <v>184</v>
      </c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</row>
    <row r="402" spans="1:33">
      <c r="A402" s="237" t="s">
        <v>59</v>
      </c>
      <c r="B402" s="216" t="s">
        <v>116</v>
      </c>
      <c r="C402" s="200">
        <v>157.3914054217</v>
      </c>
      <c r="D402" s="200">
        <v>166.42095092229999</v>
      </c>
      <c r="E402" s="200">
        <v>162.7965502049</v>
      </c>
      <c r="F402" s="200">
        <v>164.47094452299999</v>
      </c>
      <c r="G402" s="200">
        <v>174.62615588240001</v>
      </c>
      <c r="H402" s="200">
        <v>182.37316718189999</v>
      </c>
      <c r="I402" s="200">
        <v>135.90872295330001</v>
      </c>
      <c r="J402" s="200">
        <v>198.52719663740001</v>
      </c>
      <c r="K402" s="200">
        <v>177.1996726072</v>
      </c>
      <c r="L402" s="200">
        <v>185.86729484080001</v>
      </c>
      <c r="M402" s="200">
        <v>176.97038287890001</v>
      </c>
      <c r="N402" s="200">
        <v>213.39231058019999</v>
      </c>
      <c r="O402" s="200">
        <v>246.23396768160001</v>
      </c>
      <c r="P402" s="173">
        <f>O402/C402-1</f>
        <v>0.56446895573404055</v>
      </c>
    </row>
    <row r="403" spans="1:33">
      <c r="A403" s="236"/>
      <c r="B403" s="216" t="s">
        <v>120</v>
      </c>
      <c r="C403" s="200">
        <v>210.14936945490001</v>
      </c>
      <c r="D403" s="200">
        <v>232.59996176300001</v>
      </c>
      <c r="E403" s="200">
        <v>244.1453660576</v>
      </c>
      <c r="F403" s="200">
        <v>203.0076708007</v>
      </c>
      <c r="G403" s="200">
        <v>212.75769545259999</v>
      </c>
      <c r="H403" s="200">
        <v>221.4334733087</v>
      </c>
      <c r="I403" s="200">
        <v>242.9232967364</v>
      </c>
      <c r="J403" s="200">
        <v>288.07185545369998</v>
      </c>
      <c r="K403" s="200">
        <v>217.4622782973</v>
      </c>
      <c r="L403" s="200">
        <v>235.293847833</v>
      </c>
      <c r="M403" s="200">
        <v>229.24076378859999</v>
      </c>
      <c r="N403" s="200">
        <v>264.94740235220002</v>
      </c>
      <c r="O403" s="200">
        <v>340.4885887918</v>
      </c>
      <c r="P403" s="173">
        <f>O403/C403-1</f>
        <v>0.62022179593011817</v>
      </c>
    </row>
    <row r="404" spans="1:33">
      <c r="A404" s="234" t="s">
        <v>63</v>
      </c>
      <c r="B404" s="216" t="s">
        <v>116</v>
      </c>
      <c r="C404" s="226">
        <v>61.503685353400002</v>
      </c>
      <c r="D404" s="200">
        <v>54.1608380053</v>
      </c>
      <c r="E404" s="200">
        <v>60.675018032799997</v>
      </c>
      <c r="F404" s="200">
        <v>57.152078829099999</v>
      </c>
      <c r="G404" s="200">
        <v>77.8107698699</v>
      </c>
      <c r="H404" s="200">
        <v>69.163489003400002</v>
      </c>
      <c r="I404" s="200">
        <v>9.6432943307999999</v>
      </c>
      <c r="J404" s="200">
        <v>36.377330786199998</v>
      </c>
      <c r="K404" s="200">
        <v>38.858312790200003</v>
      </c>
      <c r="L404" s="200">
        <v>55.430609213399997</v>
      </c>
      <c r="M404" s="200">
        <v>68.651800307200006</v>
      </c>
      <c r="N404" s="200">
        <v>106.7119975024</v>
      </c>
      <c r="O404" s="200">
        <v>119.08103415950001</v>
      </c>
      <c r="P404" s="173">
        <f>O404/C404-1</f>
        <v>0.93616095483157991</v>
      </c>
    </row>
    <row r="405" spans="1:33">
      <c r="A405" s="236"/>
      <c r="B405" s="216" t="s">
        <v>120</v>
      </c>
      <c r="C405" s="227">
        <v>-36.745907028200001</v>
      </c>
      <c r="D405" s="227">
        <v>-45.205144467899999</v>
      </c>
      <c r="E405" s="227">
        <v>-56.700768444099999</v>
      </c>
      <c r="F405" s="227">
        <v>-23.385671125799998</v>
      </c>
      <c r="G405" s="227">
        <v>14.4702230779</v>
      </c>
      <c r="H405" s="227">
        <v>16.7039540687</v>
      </c>
      <c r="I405" s="227">
        <v>-66.725363478899993</v>
      </c>
      <c r="J405" s="227">
        <v>-76.212094080300005</v>
      </c>
      <c r="K405" s="227">
        <v>-118.2093170884</v>
      </c>
      <c r="L405" s="227">
        <v>-130.68465328580001</v>
      </c>
      <c r="M405" s="227">
        <v>-104.15063570149999</v>
      </c>
      <c r="N405" s="227">
        <v>-32.700471665000002</v>
      </c>
      <c r="O405" s="227">
        <v>-58.654238601000003</v>
      </c>
    </row>
    <row r="407" spans="1:33">
      <c r="A407" s="141"/>
      <c r="B407" s="141"/>
      <c r="R407" s="141"/>
      <c r="S407" s="141"/>
      <c r="T407" s="141"/>
      <c r="U407" s="141"/>
      <c r="V407" s="141"/>
      <c r="W407" s="141"/>
      <c r="X407" s="141"/>
      <c r="Y407" s="141"/>
      <c r="Z407" s="141"/>
      <c r="AA407" s="141"/>
      <c r="AB407" s="141"/>
      <c r="AC407" s="141"/>
      <c r="AD407" s="141"/>
      <c r="AE407" s="141"/>
      <c r="AF407" s="141"/>
      <c r="AG407" s="141"/>
    </row>
    <row r="408" spans="1:33">
      <c r="A408" t="s">
        <v>167</v>
      </c>
    </row>
    <row r="409" spans="1:33">
      <c r="A409" s="120"/>
      <c r="B409" s="120" t="s">
        <v>26</v>
      </c>
      <c r="C409" s="238" t="s">
        <v>145</v>
      </c>
      <c r="D409" s="239"/>
      <c r="E409" s="239"/>
      <c r="F409" s="239"/>
      <c r="G409" s="239"/>
      <c r="H409" s="239"/>
      <c r="I409" s="239"/>
      <c r="J409" s="239"/>
      <c r="K409" s="239"/>
      <c r="L409" s="239"/>
      <c r="M409" s="239"/>
      <c r="N409" s="239"/>
      <c r="O409" s="239"/>
    </row>
    <row r="410" spans="1:33">
      <c r="A410" s="120"/>
      <c r="B410" s="120" t="s">
        <v>74</v>
      </c>
      <c r="C410" s="163" t="s">
        <v>210</v>
      </c>
      <c r="D410" s="163" t="s">
        <v>212</v>
      </c>
      <c r="E410" s="163" t="s">
        <v>214</v>
      </c>
      <c r="F410" s="163" t="s">
        <v>218</v>
      </c>
      <c r="G410" s="163" t="s">
        <v>221</v>
      </c>
      <c r="H410" s="163" t="s">
        <v>223</v>
      </c>
      <c r="I410" s="163" t="s">
        <v>227</v>
      </c>
      <c r="J410" s="163" t="s">
        <v>229</v>
      </c>
      <c r="K410" s="163" t="s">
        <v>231</v>
      </c>
      <c r="L410" s="163" t="s">
        <v>233</v>
      </c>
      <c r="M410" s="163" t="s">
        <v>239</v>
      </c>
      <c r="N410" s="163" t="s">
        <v>242</v>
      </c>
      <c r="O410" s="163" t="s">
        <v>253</v>
      </c>
    </row>
    <row r="411" spans="1:33">
      <c r="A411" s="120" t="s">
        <v>105</v>
      </c>
      <c r="B411" s="120" t="s">
        <v>186</v>
      </c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</row>
    <row r="412" spans="1:33">
      <c r="A412" s="237" t="s">
        <v>59</v>
      </c>
      <c r="B412" s="216" t="s">
        <v>117</v>
      </c>
      <c r="C412" s="200">
        <v>35.031649862599998</v>
      </c>
      <c r="D412" s="200">
        <v>32.7380599946</v>
      </c>
      <c r="E412" s="200">
        <v>36.398819601600003</v>
      </c>
      <c r="F412" s="200">
        <v>25.577419348599999</v>
      </c>
      <c r="G412" s="200">
        <v>19.581757195600002</v>
      </c>
      <c r="H412" s="200">
        <v>23.5337400642</v>
      </c>
      <c r="I412" s="200">
        <v>14.062624576599999</v>
      </c>
      <c r="J412" s="200">
        <v>16.3789167664</v>
      </c>
      <c r="K412" s="200">
        <v>14.070145721799999</v>
      </c>
      <c r="L412" s="200">
        <v>21.894220540100001</v>
      </c>
      <c r="M412" s="200">
        <v>25.395063536999999</v>
      </c>
      <c r="N412" s="200">
        <v>30.5925534056</v>
      </c>
      <c r="O412" s="200">
        <v>44.883591819199999</v>
      </c>
      <c r="P412" s="173">
        <f>O412/C412-1</f>
        <v>0.28122974496607966</v>
      </c>
    </row>
    <row r="413" spans="1:33">
      <c r="A413" s="235"/>
      <c r="B413" s="216" t="s">
        <v>118</v>
      </c>
      <c r="C413" s="200">
        <v>98.521136264800006</v>
      </c>
      <c r="D413" s="200">
        <v>101.9472367099</v>
      </c>
      <c r="E413" s="200">
        <v>97.886706690099999</v>
      </c>
      <c r="F413" s="200">
        <v>88.113274485000005</v>
      </c>
      <c r="G413" s="200">
        <v>96.135054601199997</v>
      </c>
      <c r="H413" s="200">
        <v>104.8609944799</v>
      </c>
      <c r="I413" s="200">
        <v>56.752351668899998</v>
      </c>
      <c r="J413" s="200">
        <v>85.8452393779</v>
      </c>
      <c r="K413" s="200">
        <v>101.4215209665</v>
      </c>
      <c r="L413" s="200">
        <v>93.643971058299996</v>
      </c>
      <c r="M413" s="200">
        <v>120.4206122228</v>
      </c>
      <c r="N413" s="200">
        <v>159.0252583937</v>
      </c>
      <c r="O413" s="200">
        <v>178.46187225150001</v>
      </c>
      <c r="P413" s="173">
        <f>O413/C413-1</f>
        <v>0.81140696319051209</v>
      </c>
    </row>
    <row r="414" spans="1:33">
      <c r="A414" s="235"/>
      <c r="B414" s="216" t="s">
        <v>185</v>
      </c>
      <c r="C414" s="200">
        <v>105.48086387319999</v>
      </c>
      <c r="D414" s="200">
        <v>87.551958489200004</v>
      </c>
      <c r="E414" s="200">
        <v>93.292720630199995</v>
      </c>
      <c r="F414" s="200">
        <v>90.087431370600001</v>
      </c>
      <c r="G414" s="200">
        <v>94.3620246941</v>
      </c>
      <c r="H414" s="200">
        <v>0</v>
      </c>
      <c r="I414" s="200">
        <v>0</v>
      </c>
      <c r="J414" s="200">
        <v>0</v>
      </c>
      <c r="K414" s="200">
        <v>0</v>
      </c>
      <c r="L414" s="200">
        <v>0</v>
      </c>
      <c r="M414" s="200">
        <v>0</v>
      </c>
      <c r="N414" s="200">
        <v>0</v>
      </c>
      <c r="O414" s="200">
        <v>0</v>
      </c>
      <c r="P414" s="173">
        <f>O414/C414-1</f>
        <v>-1</v>
      </c>
    </row>
    <row r="415" spans="1:33">
      <c r="A415" s="236"/>
      <c r="B415" s="216" t="s">
        <v>119</v>
      </c>
      <c r="C415" s="200">
        <v>109.9492029741</v>
      </c>
      <c r="D415" s="200">
        <v>94.673383029199996</v>
      </c>
      <c r="E415" s="200">
        <v>107.2113005402</v>
      </c>
      <c r="F415" s="200">
        <v>96.675296389500005</v>
      </c>
      <c r="G415" s="200">
        <v>100.82860255590001</v>
      </c>
      <c r="H415" s="200">
        <v>116.26221271990001</v>
      </c>
      <c r="I415" s="200">
        <v>53.062662903499998</v>
      </c>
      <c r="J415" s="200">
        <v>95.202608416299995</v>
      </c>
      <c r="K415" s="200">
        <v>90.676531800999996</v>
      </c>
      <c r="L415" s="200">
        <v>105.20790321210001</v>
      </c>
      <c r="M415" s="200">
        <v>118.6213073962</v>
      </c>
      <c r="N415" s="200">
        <v>153.96840648060001</v>
      </c>
      <c r="O415" s="200">
        <v>178.9797034163</v>
      </c>
      <c r="P415" s="173">
        <f>O415/C415-1</f>
        <v>0.62783993494214818</v>
      </c>
      <c r="R415" s="190">
        <v>147.141711762314</v>
      </c>
    </row>
    <row r="416" spans="1:33">
      <c r="A416" s="234" t="s">
        <v>63</v>
      </c>
      <c r="B416" s="216" t="s">
        <v>117</v>
      </c>
      <c r="C416" s="200">
        <v>18.185907200199999</v>
      </c>
      <c r="D416" s="200">
        <v>24.3133326757</v>
      </c>
      <c r="E416" s="200">
        <v>16.621921591100001</v>
      </c>
      <c r="F416" s="200">
        <v>18.8662189675</v>
      </c>
      <c r="G416" s="200">
        <v>13.108400383799999</v>
      </c>
      <c r="H416" s="200">
        <v>10.8123653194</v>
      </c>
      <c r="I416" s="200">
        <v>15.1023403009</v>
      </c>
      <c r="J416" s="200">
        <v>10.382563942199999</v>
      </c>
      <c r="K416" s="200">
        <v>15.5035226809</v>
      </c>
      <c r="L416" s="200">
        <v>14.389684620000001</v>
      </c>
      <c r="M416" s="200">
        <v>9.1825881708000008</v>
      </c>
      <c r="N416" s="200">
        <v>7.5328923777999997</v>
      </c>
      <c r="O416" s="200">
        <v>11.1345213068</v>
      </c>
      <c r="P416" s="171"/>
    </row>
    <row r="417" spans="1:19">
      <c r="A417" s="235"/>
      <c r="B417" s="216" t="s">
        <v>118</v>
      </c>
      <c r="C417" s="200">
        <v>15.0051950839</v>
      </c>
      <c r="D417" s="200">
        <v>-5.3674323135000002</v>
      </c>
      <c r="E417" s="200">
        <v>3.3776366820999999</v>
      </c>
      <c r="F417" s="200">
        <v>-5.9475195433000003</v>
      </c>
      <c r="G417" s="200">
        <v>20.511905126199999</v>
      </c>
      <c r="H417" s="200">
        <v>-14.7022421982</v>
      </c>
      <c r="I417" s="200">
        <v>-27.801700988499999</v>
      </c>
      <c r="J417" s="200">
        <v>-25.084918421099999</v>
      </c>
      <c r="K417" s="200">
        <v>-4.6433687562000001</v>
      </c>
      <c r="L417" s="200">
        <v>5.7439296054</v>
      </c>
      <c r="M417" s="200">
        <v>9.4156882767999992</v>
      </c>
      <c r="N417" s="200">
        <v>28.6561094795</v>
      </c>
      <c r="O417" s="200">
        <v>21.059890067600001</v>
      </c>
      <c r="P417" s="173">
        <f>O417/C417-1</f>
        <v>0.40350658221008118</v>
      </c>
    </row>
    <row r="418" spans="1:19">
      <c r="A418" s="235"/>
      <c r="B418" s="216" t="s">
        <v>185</v>
      </c>
      <c r="C418" s="200">
        <v>8.1725149182999992</v>
      </c>
      <c r="D418" s="200">
        <v>13.4386992617</v>
      </c>
      <c r="E418" s="200">
        <v>30.503105186900001</v>
      </c>
      <c r="F418" s="200">
        <v>8.6680619366999991</v>
      </c>
      <c r="G418" s="200">
        <v>29.5562912143</v>
      </c>
      <c r="H418" s="200">
        <v>0</v>
      </c>
      <c r="I418" s="200">
        <v>0</v>
      </c>
      <c r="J418" s="200">
        <v>0</v>
      </c>
      <c r="K418" s="200">
        <v>0</v>
      </c>
      <c r="L418" s="200">
        <v>0</v>
      </c>
      <c r="M418" s="200">
        <v>0</v>
      </c>
      <c r="N418" s="200">
        <v>0</v>
      </c>
      <c r="O418" s="200">
        <v>0</v>
      </c>
      <c r="P418" s="173">
        <f>O418/C418-1</f>
        <v>-1</v>
      </c>
    </row>
    <row r="419" spans="1:19">
      <c r="A419" s="236"/>
      <c r="B419" s="216" t="s">
        <v>119</v>
      </c>
      <c r="C419" s="200">
        <v>15.012926886100001</v>
      </c>
      <c r="D419" s="200">
        <v>0.25983211550000002</v>
      </c>
      <c r="E419" s="200">
        <v>32.758575262699999</v>
      </c>
      <c r="F419" s="200">
        <v>15.736337971199999</v>
      </c>
      <c r="G419" s="200">
        <v>44.960934410900002</v>
      </c>
      <c r="H419" s="200">
        <v>25.704341869</v>
      </c>
      <c r="I419" s="200">
        <v>-4.6515428505000003</v>
      </c>
      <c r="J419" s="200">
        <v>-3.5963361356000001</v>
      </c>
      <c r="K419" s="200">
        <v>2.2148005276</v>
      </c>
      <c r="L419" s="200">
        <v>11.137572520699999</v>
      </c>
      <c r="M419" s="200">
        <v>18.572375337299999</v>
      </c>
      <c r="N419" s="200">
        <v>28.812205579800001</v>
      </c>
      <c r="O419" s="200">
        <v>47.723712989299997</v>
      </c>
      <c r="P419" s="173">
        <f>O419/C419-1</f>
        <v>2.1788413646033198</v>
      </c>
      <c r="R419" s="191">
        <v>39.372424399301003</v>
      </c>
    </row>
    <row r="420" spans="1:19">
      <c r="P420" s="178"/>
      <c r="Q420" s="178"/>
      <c r="R420" s="178"/>
      <c r="S420" s="178"/>
    </row>
    <row r="421" spans="1:19">
      <c r="A421" s="199"/>
      <c r="B421" s="199"/>
      <c r="C421" s="199"/>
      <c r="D421" s="199"/>
      <c r="E421" s="199"/>
      <c r="F421" s="199"/>
      <c r="G421" s="199"/>
      <c r="H421" s="199"/>
      <c r="I421" s="199"/>
      <c r="J421" s="199"/>
      <c r="K421" s="199"/>
      <c r="L421" s="199"/>
      <c r="M421" s="199"/>
      <c r="N421" s="199"/>
      <c r="O421" s="199"/>
      <c r="P421" s="199"/>
      <c r="Q421" s="199"/>
      <c r="R421" s="199"/>
      <c r="S421" s="199"/>
    </row>
    <row r="422" spans="1:19">
      <c r="C422" s="188"/>
      <c r="D422" s="188"/>
      <c r="E422" s="188"/>
      <c r="F422" s="188"/>
      <c r="G422" s="188"/>
      <c r="H422" s="188"/>
      <c r="I422" s="188"/>
      <c r="J422" s="188"/>
      <c r="K422" s="188"/>
      <c r="L422" s="188"/>
      <c r="M422" s="188"/>
      <c r="N422" s="188"/>
      <c r="O422" s="188"/>
    </row>
    <row r="423" spans="1:19" s="111" customFormat="1" ht="15">
      <c r="B423" s="112" t="s">
        <v>205</v>
      </c>
      <c r="C423" s="113"/>
      <c r="D423" s="113"/>
      <c r="E423" s="113"/>
      <c r="F423" s="113"/>
      <c r="G423" s="113"/>
      <c r="H423" s="113"/>
      <c r="I423" s="113"/>
      <c r="J423" s="113"/>
    </row>
    <row r="424" spans="1:19" ht="14.25">
      <c r="A424" s="170"/>
      <c r="B424" s="170"/>
      <c r="C424" s="166" t="s">
        <v>200</v>
      </c>
      <c r="D424" s="166" t="s">
        <v>201</v>
      </c>
      <c r="E424" s="166" t="s">
        <v>202</v>
      </c>
      <c r="F424" s="166" t="s">
        <v>203</v>
      </c>
      <c r="G424" s="166" t="s">
        <v>204</v>
      </c>
      <c r="H424" s="113"/>
      <c r="I424" s="113"/>
      <c r="J424" s="113"/>
      <c r="K424" s="111"/>
      <c r="L424" s="111"/>
    </row>
    <row r="425" spans="1:19" ht="14.25">
      <c r="A425" s="167" t="str">
        <f>MID(B425,1,1)</f>
        <v>A</v>
      </c>
      <c r="B425" s="16" t="s">
        <v>211</v>
      </c>
      <c r="C425" s="200">
        <v>7.661290322580645</v>
      </c>
      <c r="D425" s="200">
        <v>25.537634408602152</v>
      </c>
      <c r="E425" s="200">
        <v>37.365591397849464</v>
      </c>
      <c r="F425" s="200">
        <v>28.62903225806452</v>
      </c>
      <c r="G425" s="200">
        <v>0.80645161290322576</v>
      </c>
      <c r="H425" s="113"/>
      <c r="I425" s="113"/>
      <c r="J425" s="113"/>
      <c r="K425" s="111"/>
      <c r="L425" s="111"/>
    </row>
    <row r="426" spans="1:19" ht="14.25">
      <c r="A426" s="167" t="str">
        <f t="shared" ref="A426:A437" si="26">MID(B426,1,1)</f>
        <v>S</v>
      </c>
      <c r="B426" s="16" t="s">
        <v>213</v>
      </c>
      <c r="C426" s="200">
        <v>9.1666666666666661</v>
      </c>
      <c r="D426" s="200">
        <v>31.25</v>
      </c>
      <c r="E426" s="200">
        <v>39.305555555555557</v>
      </c>
      <c r="F426" s="200">
        <v>18.888888888888889</v>
      </c>
      <c r="G426" s="200">
        <v>1.3888888888888888</v>
      </c>
      <c r="H426" s="113"/>
      <c r="I426" s="113"/>
      <c r="J426" s="113"/>
      <c r="K426" s="111"/>
      <c r="L426" s="111"/>
    </row>
    <row r="427" spans="1:19" ht="14.25">
      <c r="A427" s="167" t="str">
        <f t="shared" si="26"/>
        <v>O</v>
      </c>
      <c r="B427" s="16" t="s">
        <v>219</v>
      </c>
      <c r="C427" s="200">
        <v>3.5906040268456376</v>
      </c>
      <c r="D427" s="200">
        <v>27.114093959731544</v>
      </c>
      <c r="E427" s="200">
        <v>31.006711409395969</v>
      </c>
      <c r="F427" s="200">
        <v>34.161073825503358</v>
      </c>
      <c r="G427" s="200">
        <v>4.1275167785234901</v>
      </c>
      <c r="H427" s="113"/>
      <c r="I427" s="113"/>
      <c r="J427" s="113"/>
      <c r="K427" s="111"/>
      <c r="L427" s="111"/>
    </row>
    <row r="428" spans="1:19" ht="14.25">
      <c r="A428" s="167" t="str">
        <f t="shared" si="26"/>
        <v>N</v>
      </c>
      <c r="B428" s="16" t="s">
        <v>220</v>
      </c>
      <c r="C428" s="200">
        <v>2.5</v>
      </c>
      <c r="D428" s="200">
        <v>39.340277777777779</v>
      </c>
      <c r="E428" s="200">
        <v>43.402777777777779</v>
      </c>
      <c r="F428" s="200">
        <v>14.131944444444445</v>
      </c>
      <c r="G428" s="200">
        <v>0.625</v>
      </c>
      <c r="H428" s="113"/>
      <c r="I428" s="113"/>
      <c r="J428" s="113"/>
      <c r="K428" s="111"/>
      <c r="L428" s="111"/>
    </row>
    <row r="429" spans="1:19" ht="14.25">
      <c r="A429" s="167" t="str">
        <f t="shared" si="26"/>
        <v>D</v>
      </c>
      <c r="B429" s="16" t="s">
        <v>222</v>
      </c>
      <c r="C429" s="200"/>
      <c r="D429" s="200">
        <v>15.32258064516129</v>
      </c>
      <c r="E429" s="200">
        <v>64.4489247311828</v>
      </c>
      <c r="F429" s="200">
        <v>19.959677419354836</v>
      </c>
      <c r="G429" s="200">
        <v>0.26881720430107531</v>
      </c>
      <c r="H429" s="113"/>
      <c r="I429" s="113"/>
      <c r="J429" s="113"/>
      <c r="K429" s="111"/>
      <c r="L429" s="111"/>
    </row>
    <row r="430" spans="1:19" ht="14.25">
      <c r="A430" s="167" t="str">
        <f t="shared" si="26"/>
        <v>E</v>
      </c>
      <c r="B430" s="16" t="s">
        <v>226</v>
      </c>
      <c r="C430" s="200">
        <v>2.8561827956989245</v>
      </c>
      <c r="D430" s="200">
        <v>26.512096774193552</v>
      </c>
      <c r="E430" s="200">
        <v>43.346774193548384</v>
      </c>
      <c r="F430" s="200">
        <v>25.60483870967742</v>
      </c>
      <c r="G430" s="200">
        <v>1.6801075268817203</v>
      </c>
      <c r="H430" s="113"/>
      <c r="I430" s="113"/>
      <c r="J430" s="113"/>
      <c r="K430" s="111"/>
      <c r="L430" s="111"/>
    </row>
    <row r="431" spans="1:19" ht="14.25">
      <c r="A431" s="167" t="str">
        <f t="shared" si="26"/>
        <v>F</v>
      </c>
      <c r="B431" s="16" t="s">
        <v>228</v>
      </c>
      <c r="C431" s="200">
        <v>31.659226190476193</v>
      </c>
      <c r="D431" s="200">
        <v>58.816964285714292</v>
      </c>
      <c r="E431" s="200">
        <v>6.510416666666667</v>
      </c>
      <c r="F431" s="200">
        <v>2.864583333333333</v>
      </c>
      <c r="G431" s="200">
        <v>0.14880952380952381</v>
      </c>
      <c r="H431" s="113"/>
      <c r="I431" s="113"/>
      <c r="J431" s="113"/>
      <c r="K431" s="111"/>
      <c r="L431" s="111"/>
    </row>
    <row r="432" spans="1:19" ht="14.25">
      <c r="A432" s="167" t="str">
        <f t="shared" si="26"/>
        <v>M</v>
      </c>
      <c r="B432" s="16" t="s">
        <v>230</v>
      </c>
      <c r="C432" s="200">
        <v>20.861372812920592</v>
      </c>
      <c r="D432" s="200">
        <v>45.289367429340508</v>
      </c>
      <c r="E432" s="200">
        <v>20.928667563930013</v>
      </c>
      <c r="F432" s="200">
        <v>9.4549125168236881</v>
      </c>
      <c r="G432" s="200">
        <v>3.4656796769851947</v>
      </c>
      <c r="H432" s="113"/>
      <c r="I432" s="113"/>
      <c r="J432" s="113"/>
      <c r="K432" s="111"/>
      <c r="L432" s="111"/>
    </row>
    <row r="433" spans="1:12" ht="14.25">
      <c r="A433" s="167" t="str">
        <f t="shared" si="26"/>
        <v>A</v>
      </c>
      <c r="B433" s="16" t="s">
        <v>232</v>
      </c>
      <c r="C433" s="200">
        <v>24.930555555555557</v>
      </c>
      <c r="D433" s="200">
        <v>32.708333333333336</v>
      </c>
      <c r="E433" s="200">
        <v>33.333333333333329</v>
      </c>
      <c r="F433" s="200">
        <v>8.9236111111111107</v>
      </c>
      <c r="G433" s="200">
        <v>0.10416666666666667</v>
      </c>
      <c r="H433" s="113"/>
      <c r="I433" s="113"/>
      <c r="J433" s="113"/>
      <c r="K433" s="111"/>
      <c r="L433" s="111"/>
    </row>
    <row r="434" spans="1:12" ht="14.25">
      <c r="A434" s="167" t="str">
        <f t="shared" si="26"/>
        <v>M</v>
      </c>
      <c r="B434" s="16" t="s">
        <v>234</v>
      </c>
      <c r="C434" s="200">
        <v>19.959677419354836</v>
      </c>
      <c r="D434" s="200">
        <v>28.931451612903224</v>
      </c>
      <c r="E434" s="200">
        <v>26.948924731182792</v>
      </c>
      <c r="F434" s="200">
        <v>23.084677419354836</v>
      </c>
      <c r="G434" s="200">
        <v>1.0752688172043012</v>
      </c>
      <c r="H434" s="113"/>
      <c r="I434" s="113"/>
      <c r="J434" s="113"/>
      <c r="K434" s="111"/>
      <c r="L434" s="111"/>
    </row>
    <row r="435" spans="1:12" ht="14.25">
      <c r="A435" s="167" t="str">
        <f t="shared" si="26"/>
        <v>J</v>
      </c>
      <c r="B435" s="16" t="s">
        <v>241</v>
      </c>
      <c r="C435" s="200">
        <v>16.909722222222221</v>
      </c>
      <c r="D435" s="200">
        <v>21.25</v>
      </c>
      <c r="E435" s="200">
        <v>25.381944444444443</v>
      </c>
      <c r="F435" s="200">
        <v>34.583333333333336</v>
      </c>
      <c r="G435" s="200">
        <v>1.875</v>
      </c>
      <c r="H435" s="113"/>
      <c r="I435" s="113"/>
      <c r="J435" s="113"/>
      <c r="K435" s="111"/>
      <c r="L435" s="111"/>
    </row>
    <row r="436" spans="1:12" ht="14.25">
      <c r="A436" s="167" t="str">
        <f t="shared" si="26"/>
        <v>J</v>
      </c>
      <c r="B436" s="16" t="s">
        <v>243</v>
      </c>
      <c r="C436" s="200">
        <v>10.786290322580646</v>
      </c>
      <c r="D436" s="200">
        <v>12.936827956989246</v>
      </c>
      <c r="E436" s="200">
        <v>20.530913978494624</v>
      </c>
      <c r="F436" s="200">
        <v>21.63978494623656</v>
      </c>
      <c r="G436" s="200">
        <v>34.106182795698928</v>
      </c>
      <c r="H436" s="113"/>
      <c r="I436" s="113"/>
      <c r="J436" s="113"/>
      <c r="K436" s="111"/>
      <c r="L436" s="111"/>
    </row>
    <row r="437" spans="1:12" ht="14.25">
      <c r="A437" s="167" t="str">
        <f t="shared" si="26"/>
        <v>A</v>
      </c>
      <c r="B437" s="16" t="s">
        <v>264</v>
      </c>
      <c r="C437" s="200">
        <v>8.6693548387096779</v>
      </c>
      <c r="D437" s="200">
        <v>19.489247311827956</v>
      </c>
      <c r="E437" s="200">
        <v>8.702956989247312</v>
      </c>
      <c r="F437" s="200">
        <v>8.8037634408602159</v>
      </c>
      <c r="G437" s="200">
        <v>54.33467741935484</v>
      </c>
      <c r="H437" s="113"/>
      <c r="I437" s="113"/>
      <c r="J437" s="113"/>
      <c r="K437" s="111"/>
      <c r="L437" s="111"/>
    </row>
    <row r="438" spans="1:12" ht="14.25">
      <c r="J438" s="113"/>
      <c r="K438" s="111"/>
      <c r="L438" s="111"/>
    </row>
    <row r="439" spans="1:12" ht="14.25">
      <c r="I439" s="113"/>
      <c r="J439" s="113"/>
      <c r="K439" s="111"/>
      <c r="L439" s="111"/>
    </row>
    <row r="440" spans="1:12" ht="14.25">
      <c r="H440" s="113"/>
      <c r="I440" s="113"/>
      <c r="J440" s="113"/>
      <c r="K440" s="111"/>
    </row>
    <row r="441" spans="1:12" ht="14.25">
      <c r="H441" s="113"/>
      <c r="I441" s="113"/>
      <c r="J441" s="113"/>
      <c r="K441" s="111"/>
    </row>
    <row r="450" spans="1:14">
      <c r="A450" s="104" t="s">
        <v>50</v>
      </c>
      <c r="B450" s="83"/>
      <c r="C450" s="83"/>
      <c r="D450" s="83"/>
      <c r="E450" s="83"/>
      <c r="F450" s="83"/>
      <c r="G450" s="83"/>
      <c r="H450" s="83"/>
      <c r="I450" s="83"/>
      <c r="N450" s="155"/>
    </row>
    <row r="451" spans="1:14">
      <c r="A451" s="14"/>
      <c r="B451" s="246" t="s">
        <v>1</v>
      </c>
      <c r="C451" s="246" t="s">
        <v>2</v>
      </c>
      <c r="D451" s="246" t="s">
        <v>24</v>
      </c>
      <c r="E451" s="246" t="s">
        <v>16</v>
      </c>
      <c r="F451" s="246" t="s">
        <v>17</v>
      </c>
      <c r="G451" s="246" t="s">
        <v>176</v>
      </c>
      <c r="H451" s="246" t="s">
        <v>25</v>
      </c>
      <c r="I451" s="246" t="s">
        <v>28</v>
      </c>
      <c r="J451" s="250" t="s">
        <v>103</v>
      </c>
    </row>
    <row r="452" spans="1:14">
      <c r="A452" s="15"/>
      <c r="B452" s="247"/>
      <c r="C452" s="247"/>
      <c r="D452" s="247"/>
      <c r="E452" s="247"/>
      <c r="F452" s="247"/>
      <c r="G452" s="247"/>
      <c r="H452" s="247"/>
      <c r="I452" s="247"/>
      <c r="J452" s="251"/>
    </row>
    <row r="453" spans="1:14">
      <c r="A453" s="105" t="str">
        <f>MID(B46,6,3) &amp; "-" &amp; MID(B46,3,2)</f>
        <v>Ago-25</v>
      </c>
      <c r="B453" s="103">
        <f>VLOOKUP("Mercado Diario",$A$45:$N$62,2,FALSE)</f>
        <v>67.971779283100005</v>
      </c>
      <c r="C453" s="103">
        <f>VLOOKUP("Mercado Intradiario",$A$45:$N$62,2,FALSE)</f>
        <v>-0.1044271398</v>
      </c>
      <c r="D453" s="103">
        <f t="shared" ref="D453:D465" si="27">SUM(B453:C453)</f>
        <v>67.86735214330001</v>
      </c>
      <c r="E453" s="103">
        <f>SUM(B81:B90)</f>
        <v>13.070550368200001</v>
      </c>
      <c r="F453" s="103">
        <f>VLOOKUP("Pago capacidad",$A$45:$N$62,2,FALSE)</f>
        <v>0.1428973409</v>
      </c>
      <c r="G453" s="103"/>
      <c r="H453" s="103">
        <f t="shared" ref="H453:H465" si="28">SUM(D453:G453)</f>
        <v>81.08079985240002</v>
      </c>
      <c r="I453" s="90">
        <f t="array" ref="I453:I465">TRANSPOSE(B70:N70)/1000</f>
        <v>20983.429715999999</v>
      </c>
      <c r="J453" s="207" t="str">
        <f>MID(A453,1,1)</f>
        <v>A</v>
      </c>
      <c r="K453" s="188"/>
    </row>
    <row r="454" spans="1:14">
      <c r="A454" s="105" t="str">
        <f>MID(C46,6,3) &amp; "-" &amp; MID(C46,3,2)</f>
        <v>Sep-25</v>
      </c>
      <c r="B454" s="103">
        <f>VLOOKUP("Mercado Diario",$A$45:$N$62,3,FALSE)</f>
        <v>60.835528935100001</v>
      </c>
      <c r="C454" s="103">
        <f>VLOOKUP("Mercado Intradiario",$A$45:$N$62,3,FALSE)</f>
        <v>-0.1387680976</v>
      </c>
      <c r="D454" s="103">
        <f t="shared" si="27"/>
        <v>60.696760837500001</v>
      </c>
      <c r="E454" s="103">
        <f>SUM(C81:C90)</f>
        <v>16.371915236299998</v>
      </c>
      <c r="F454" s="103">
        <f>VLOOKUP("Pago capacidad",$A$45:$N$62,3,FALSE)</f>
        <v>0.15202778519999999</v>
      </c>
      <c r="G454" s="103"/>
      <c r="H454" s="103">
        <f t="shared" si="28"/>
        <v>77.220703858999997</v>
      </c>
      <c r="I454" s="90">
        <v>19616.305505</v>
      </c>
      <c r="J454" s="207" t="str">
        <f t="shared" ref="J454:J465" si="29">MID(A454,1,1)</f>
        <v>S</v>
      </c>
      <c r="K454" s="188"/>
    </row>
    <row r="455" spans="1:14">
      <c r="A455" s="105" t="str">
        <f>MID(D46,6,3) &amp; "-" &amp; MID(D46,3,2)</f>
        <v>Oct-25</v>
      </c>
      <c r="B455" s="103">
        <f>VLOOKUP("Mercado Diario",$A$45:$N$62,4,FALSE)</f>
        <v>76.625034286499996</v>
      </c>
      <c r="C455" s="103">
        <f>VLOOKUP("Mercado Intradiario",$A$45:$N$62,4,FALSE)</f>
        <v>-0.2096887402</v>
      </c>
      <c r="D455" s="103">
        <f t="shared" si="27"/>
        <v>76.415345546300003</v>
      </c>
      <c r="E455" s="103">
        <f>SUM(D81:D90)</f>
        <v>17.298976390300002</v>
      </c>
      <c r="F455" s="103">
        <f>VLOOKUP("Pago capacidad",$A$45:$N$62,4,FALSE)</f>
        <v>0.1437232759</v>
      </c>
      <c r="G455" s="103"/>
      <c r="H455" s="103">
        <f t="shared" si="28"/>
        <v>93.858045212500002</v>
      </c>
      <c r="I455" s="90">
        <v>19234.647993999999</v>
      </c>
      <c r="J455" s="207" t="str">
        <f t="shared" si="29"/>
        <v>O</v>
      </c>
    </row>
    <row r="456" spans="1:14">
      <c r="A456" s="105" t="str">
        <f>MID(E46,6,3) &amp; "-" &amp; MID(E46,3,2)</f>
        <v>Nov-25</v>
      </c>
      <c r="B456" s="103">
        <f>VLOOKUP("Mercado Diario",$A$45:$N$62,5,FALSE)</f>
        <v>60.513136074800002</v>
      </c>
      <c r="C456" s="103">
        <f>VLOOKUP("Mercado Intradiario",$A$45:$N$62,5,FALSE)</f>
        <v>-0.20737476830000001</v>
      </c>
      <c r="D456" s="103">
        <f t="shared" si="27"/>
        <v>60.305761306500003</v>
      </c>
      <c r="E456" s="103">
        <f>SUM(E81:E90)</f>
        <v>16.011915831199996</v>
      </c>
      <c r="F456" s="103">
        <f>VLOOKUP("Pago capacidad",$A$45:$N$62,5,FALSE)</f>
        <v>0.1762569182</v>
      </c>
      <c r="G456" s="103"/>
      <c r="H456" s="103">
        <f t="shared" si="28"/>
        <v>76.493934055899999</v>
      </c>
      <c r="I456" s="90">
        <v>19924.028947999999</v>
      </c>
      <c r="J456" s="207" t="str">
        <f t="shared" si="29"/>
        <v>N</v>
      </c>
    </row>
    <row r="457" spans="1:14">
      <c r="A457" s="105" t="str">
        <f>MID(F46,6,3) &amp; "-" &amp; MID(F46,3,2)</f>
        <v>Dic-25</v>
      </c>
      <c r="B457" s="103">
        <f>VLOOKUP("Mercado Diario",$A$45:$N$62,6,FALSE)</f>
        <v>80.190623150799993</v>
      </c>
      <c r="C457" s="103">
        <f>VLOOKUP("Mercado Intradiario",$A$45:$N$62,6,FALSE)</f>
        <v>-0.19548364230000001</v>
      </c>
      <c r="D457" s="103">
        <f t="shared" si="27"/>
        <v>79.995139508499989</v>
      </c>
      <c r="E457" s="103">
        <f>SUM(F81:F90)</f>
        <v>13.648843053900002</v>
      </c>
      <c r="F457" s="103">
        <f>VLOOKUP("Pago capacidad",$A$45:$N$62,6,FALSE)</f>
        <v>0.26816459869999998</v>
      </c>
      <c r="G457" s="103"/>
      <c r="H457" s="103">
        <f t="shared" si="28"/>
        <v>93.912147161099995</v>
      </c>
      <c r="I457" s="90">
        <v>21437.217204999997</v>
      </c>
      <c r="J457" s="207" t="str">
        <f t="shared" si="29"/>
        <v>D</v>
      </c>
    </row>
    <row r="458" spans="1:14">
      <c r="A458" s="105" t="str">
        <f>MID(G46,6,3) &amp; "-" &amp; MID(G46,3,2)</f>
        <v>Ene-26</v>
      </c>
      <c r="B458" s="103">
        <f>VLOOKUP("Mercado Diario",$A$45:$N$62,7,FALSE)</f>
        <v>73.478981588699995</v>
      </c>
      <c r="C458" s="103">
        <f>VLOOKUP("Mercado Intradiario",$A$45:$N$62,7,FALSE)</f>
        <v>-0.128192892</v>
      </c>
      <c r="D458" s="103">
        <f t="shared" si="27"/>
        <v>73.350788696699993</v>
      </c>
      <c r="E458" s="103">
        <f>SUM(G81:G90)</f>
        <v>14.338369997300003</v>
      </c>
      <c r="F458" s="103">
        <f>VLOOKUP("Pago capacidad",$A$45:$N$62,7,FALSE)</f>
        <v>0.24420658989999999</v>
      </c>
      <c r="G458" s="103"/>
      <c r="H458" s="103">
        <f t="shared" si="28"/>
        <v>87.933365283900002</v>
      </c>
      <c r="I458" s="90">
        <v>22790.441230999997</v>
      </c>
      <c r="J458" s="207" t="str">
        <f t="shared" si="29"/>
        <v>E</v>
      </c>
    </row>
    <row r="459" spans="1:14">
      <c r="A459" s="105" t="str">
        <f>MID(H46,6,3) &amp; "-" &amp; MID(H46,3,2)</f>
        <v>Feb-26</v>
      </c>
      <c r="B459" s="103">
        <f>VLOOKUP("Mercado Diario",$A$45:$N$62,8,FALSE)</f>
        <v>17.935995286899999</v>
      </c>
      <c r="C459" s="103">
        <f>VLOOKUP("Mercado Intradiario",$A$45:$N$62,8,FALSE)</f>
        <v>-0.1702995809</v>
      </c>
      <c r="D459" s="103">
        <f t="shared" si="27"/>
        <v>17.765695705999999</v>
      </c>
      <c r="E459" s="103">
        <f>SUM(H81:H90)</f>
        <v>23.911267803699996</v>
      </c>
      <c r="F459" s="103">
        <f>VLOOKUP("Pago capacidad",$A$45:$N$62,8,FALSE)</f>
        <v>0.25911674759999997</v>
      </c>
      <c r="G459" s="103"/>
      <c r="H459" s="103">
        <f t="shared" si="28"/>
        <v>41.936080257299992</v>
      </c>
      <c r="I459" s="90">
        <v>19587.221914000002</v>
      </c>
      <c r="J459" s="207" t="str">
        <f t="shared" si="29"/>
        <v>F</v>
      </c>
    </row>
    <row r="460" spans="1:14">
      <c r="A460" s="105" t="str">
        <f>MID(I46,6,3) &amp; "-" &amp; MID(I46,3,2)</f>
        <v>Mar-26</v>
      </c>
      <c r="B460" s="103">
        <f>VLOOKUP("Mercado Diario",$A$45:$N$62,9,FALSE)</f>
        <v>44.074282876300003</v>
      </c>
      <c r="C460" s="103">
        <f>VLOOKUP("Mercado Intradiario",$A$45:$N$62,9,FALSE)</f>
        <v>-0.1349723867</v>
      </c>
      <c r="D460" s="103">
        <f t="shared" si="27"/>
        <v>43.939310489600004</v>
      </c>
      <c r="E460" s="103">
        <f>SUM(I81:I90)</f>
        <v>27.300125441199999</v>
      </c>
      <c r="F460" s="103">
        <f>VLOOKUP("Pago capacidad",$A$45:$N$62,9,FALSE)</f>
        <v>0.17325188799999999</v>
      </c>
      <c r="G460" s="103"/>
      <c r="H460" s="103">
        <f t="shared" si="28"/>
        <v>71.412687818799995</v>
      </c>
      <c r="I460" s="90">
        <v>20587.271290000001</v>
      </c>
      <c r="J460" s="207" t="str">
        <f t="shared" si="29"/>
        <v>M</v>
      </c>
    </row>
    <row r="461" spans="1:14">
      <c r="A461" s="105" t="str">
        <f>MID(J46,6,3) &amp; "-" &amp; MID(J46,3,2)</f>
        <v>Abr-26</v>
      </c>
      <c r="B461" s="103">
        <f>VLOOKUP("Mercado Diario",$A$45:$N$62,10,FALSE)</f>
        <v>42.954241151600002</v>
      </c>
      <c r="C461" s="103">
        <f>VLOOKUP("Mercado Intradiario",$A$45:$N$62,10,FALSE)</f>
        <v>-8.4694488999999998E-2</v>
      </c>
      <c r="D461" s="103">
        <f t="shared" si="27"/>
        <v>42.869546662600001</v>
      </c>
      <c r="E461" s="103">
        <f>SUM(J81:J90)</f>
        <v>20.636702039900005</v>
      </c>
      <c r="F461" s="103">
        <f>VLOOKUP("Pago capacidad",$A$45:$N$62,10,FALSE)</f>
        <v>0.13393517329999999</v>
      </c>
      <c r="G461" s="103"/>
      <c r="H461" s="103">
        <f t="shared" si="28"/>
        <v>63.640183875800005</v>
      </c>
      <c r="I461" s="90">
        <v>18283.089006000002</v>
      </c>
      <c r="J461" s="207" t="str">
        <f t="shared" si="29"/>
        <v>A</v>
      </c>
    </row>
    <row r="462" spans="1:14">
      <c r="A462" s="105" t="str">
        <f>MID(K46,6,3) &amp; "-" &amp; MID(K46,3,2)</f>
        <v>May-26</v>
      </c>
      <c r="B462" s="103">
        <f>VLOOKUP("Mercado Diario",$A$45:$N$62,11,FALSE)</f>
        <v>53.691555497099998</v>
      </c>
      <c r="C462" s="103">
        <f>VLOOKUP("Mercado Intradiario",$A$45:$N$62,11,FALSE)</f>
        <v>-0.2010751882</v>
      </c>
      <c r="D462" s="103">
        <f t="shared" si="27"/>
        <v>53.490480308899997</v>
      </c>
      <c r="E462" s="103">
        <f>SUM(K81:K90)</f>
        <v>20.261777813300004</v>
      </c>
      <c r="F462" s="103">
        <f>VLOOKUP("Pago capacidad",$A$45:$N$62,11,FALSE)</f>
        <v>0.117391838</v>
      </c>
      <c r="G462" s="103"/>
      <c r="H462" s="103">
        <f t="shared" si="28"/>
        <v>73.869649960200007</v>
      </c>
      <c r="I462" s="90">
        <v>19207.686730000001</v>
      </c>
      <c r="J462" s="207" t="str">
        <f t="shared" si="29"/>
        <v>M</v>
      </c>
    </row>
    <row r="463" spans="1:14">
      <c r="A463" s="105" t="str">
        <f>MID(L46,6,3) &amp; "-" &amp; MID(L46,3,2)</f>
        <v>Jun-26</v>
      </c>
      <c r="B463" s="103">
        <f>VLOOKUP("Mercado Diario",$A$45:$N$62,12,FALSE)</f>
        <v>69.599228460299997</v>
      </c>
      <c r="C463" s="103">
        <f>VLOOKUP("Mercado Intradiario",$A$45:$N$62,12,FALSE)</f>
        <v>-0.1242286572</v>
      </c>
      <c r="D463" s="103">
        <f t="shared" si="27"/>
        <v>69.47499980309999</v>
      </c>
      <c r="E463" s="103">
        <f>SUM(L81:L90)</f>
        <v>17.4370919196</v>
      </c>
      <c r="F463" s="103">
        <f>VLOOKUP("Pago capacidad",$A$45:$N$62,12,FALSE)</f>
        <v>0.14573198609999999</v>
      </c>
      <c r="G463" s="103"/>
      <c r="H463" s="103">
        <f t="shared" si="28"/>
        <v>87.057823708799987</v>
      </c>
      <c r="I463" s="90">
        <v>20742.421578000001</v>
      </c>
      <c r="J463" s="207" t="str">
        <f t="shared" si="29"/>
        <v>J</v>
      </c>
    </row>
    <row r="464" spans="1:14">
      <c r="A464" s="105" t="str">
        <f>MID(M46,6,3) &amp; "-" &amp; MID(M46,3,2)</f>
        <v>Jul-26</v>
      </c>
      <c r="B464" s="103">
        <f>VLOOKUP("Mercado Diario",$A$45:$N$62,13,FALSE)</f>
        <v>104.5357384583</v>
      </c>
      <c r="C464" s="103">
        <f>VLOOKUP("Mercado Intradiario",$A$45:$N$62,13,FALSE)</f>
        <v>-0.1518089091</v>
      </c>
      <c r="D464" s="103">
        <f t="shared" si="27"/>
        <v>104.3839295492</v>
      </c>
      <c r="E464" s="103">
        <f>SUM(M81:M90)</f>
        <v>17.781368195899997</v>
      </c>
      <c r="F464" s="103">
        <f>VLOOKUP("Pago capacidad",$A$45:$N$62,13,FALSE)</f>
        <v>0.2639183175</v>
      </c>
      <c r="G464" s="103"/>
      <c r="H464" s="103">
        <f t="shared" si="28"/>
        <v>122.42921606260001</v>
      </c>
      <c r="I464" s="90">
        <v>23416.414204999997</v>
      </c>
      <c r="J464" s="207" t="str">
        <f t="shared" si="29"/>
        <v>J</v>
      </c>
      <c r="K464" s="144"/>
      <c r="N464" t="s">
        <v>177</v>
      </c>
    </row>
    <row r="465" spans="1:15">
      <c r="A465" s="106" t="str">
        <f>MID(N46,6,3) &amp; "-" &amp; MID(N46,3,2)</f>
        <v>Ago-26</v>
      </c>
      <c r="B465" s="102">
        <f>VLOOKUP("Mercado Diario",$A$45:$N$62,14,FALSE)</f>
        <v>117.1824954099</v>
      </c>
      <c r="C465" s="102">
        <f>VLOOKUP("Mercado Intradiario",$A$45:$N$62,14,FALSE)</f>
        <v>-0.24033575190000001</v>
      </c>
      <c r="D465" s="102">
        <f t="shared" si="27"/>
        <v>116.94215965799999</v>
      </c>
      <c r="E465" s="102">
        <f>SUM(N81:N90)</f>
        <v>17.563023739400002</v>
      </c>
      <c r="F465" s="102">
        <f>VLOOKUP("Pago capacidad",$A$45:$N$62,14,FALSE)</f>
        <v>0.14158742299999999</v>
      </c>
      <c r="G465" s="102"/>
      <c r="H465" s="102">
        <f t="shared" si="28"/>
        <v>134.64677082040001</v>
      </c>
      <c r="I465" s="107">
        <v>21512.750126999999</v>
      </c>
      <c r="J465" s="208" t="str">
        <f t="shared" si="29"/>
        <v>A</v>
      </c>
      <c r="K465" s="49">
        <f>(H465/H464-1)*100</f>
        <v>9.9792803962356338</v>
      </c>
      <c r="L465" s="49">
        <f>(H465/H453-1)*100</f>
        <v>66.064926672543692</v>
      </c>
      <c r="M465" s="49">
        <f>H465/H453</f>
        <v>1.6606492667254369</v>
      </c>
      <c r="N465" s="155">
        <f>E465/H465</f>
        <v>0.13043776417651057</v>
      </c>
    </row>
    <row r="466" spans="1:15">
      <c r="D466" s="155"/>
      <c r="E466" s="155"/>
      <c r="F466" s="155"/>
      <c r="G466" s="155"/>
      <c r="H466" s="155"/>
    </row>
    <row r="467" spans="1:15">
      <c r="D467" s="155"/>
      <c r="E467" s="192"/>
      <c r="F467" s="155"/>
      <c r="G467" s="155"/>
    </row>
    <row r="469" spans="1:15">
      <c r="A469" s="121" t="str">
        <f>Dat_02!B37</f>
        <v>Precios mercados europeos (€/MWh)</v>
      </c>
    </row>
    <row r="470" spans="1:15">
      <c r="A470" s="131" t="str">
        <f>Dat_02!B38</f>
        <v>Day Ahead Market</v>
      </c>
      <c r="B470" s="132"/>
      <c r="C470" s="132" t="str">
        <f>Dat_02!D38</f>
        <v>GME</v>
      </c>
      <c r="D470" s="132"/>
      <c r="E470" s="132"/>
      <c r="F470" s="132"/>
      <c r="G470" s="132"/>
      <c r="H470" s="132"/>
    </row>
    <row r="471" spans="1:15" ht="22.5">
      <c r="A471" s="133" t="str">
        <f>Dat_02!B39</f>
        <v>Monthly AVG Base Price</v>
      </c>
      <c r="B471" s="134" t="str">
        <f>Dat_02!C39</f>
        <v>APX</v>
      </c>
      <c r="C471" s="134" t="str">
        <f>Dat_02!D39</f>
        <v>IPEX</v>
      </c>
      <c r="D471" s="134" t="str">
        <f>Dat_02!E39</f>
        <v>EPEX</v>
      </c>
      <c r="E471" s="134" t="str">
        <f>Dat_02!F39</f>
        <v>NordPool</v>
      </c>
      <c r="F471" s="134" t="str">
        <f>Dat_02!G39</f>
        <v>OMIE</v>
      </c>
      <c r="G471" s="134" t="str">
        <f>Dat_02!H39</f>
        <v>EPEX</v>
      </c>
      <c r="H471" s="134" t="str">
        <f>Dat_02!I39</f>
        <v>N2EX</v>
      </c>
    </row>
    <row r="472" spans="1:15">
      <c r="A472" s="125"/>
      <c r="B472" s="134" t="str">
        <f>Dat_02!C40</f>
        <v>Netherlands</v>
      </c>
      <c r="C472" s="134" t="str">
        <f>Dat_02!D40</f>
        <v>Italy (PUN)</v>
      </c>
      <c r="D472" s="134" t="str">
        <f>Dat_02!E40</f>
        <v>Germany</v>
      </c>
      <c r="E472" s="134"/>
      <c r="F472" s="134"/>
      <c r="G472" s="134" t="str">
        <f>Dat_02!H40</f>
        <v>France</v>
      </c>
      <c r="H472" s="134" t="str">
        <f>Dat_02!I40</f>
        <v>Reino Unido</v>
      </c>
    </row>
    <row r="473" spans="1:15">
      <c r="A473" s="124"/>
      <c r="B473" s="135"/>
      <c r="C473" s="135"/>
      <c r="D473" s="135" t="str">
        <f>Dat_02!E41</f>
        <v>Austria</v>
      </c>
      <c r="E473" s="135"/>
      <c r="F473" s="135"/>
      <c r="G473" s="135"/>
      <c r="H473" s="135"/>
      <c r="I473" s="62"/>
      <c r="J473" s="62"/>
      <c r="K473" s="62"/>
      <c r="L473" s="62"/>
      <c r="M473" s="62"/>
      <c r="N473" s="62"/>
      <c r="O473" s="62"/>
    </row>
    <row r="474" spans="1:15">
      <c r="A474" s="156" t="str">
        <f>A453</f>
        <v>Ago-25</v>
      </c>
      <c r="B474" s="129">
        <f>Dat_02!C42</f>
        <v>74.582688172000005</v>
      </c>
      <c r="C474" s="129">
        <f>Dat_02!D42</f>
        <v>108.78899922580645</v>
      </c>
      <c r="D474" s="129">
        <f>Dat_02!E42</f>
        <v>76.990255376299999</v>
      </c>
      <c r="E474" s="129">
        <f>Dat_02!F42</f>
        <v>36.467580645200002</v>
      </c>
      <c r="F474" s="129">
        <f>Dat_02!G42</f>
        <v>68.444690860199998</v>
      </c>
      <c r="G474" s="129">
        <f>Dat_02!H42</f>
        <v>54.439758064499998</v>
      </c>
      <c r="H474" s="129">
        <f>Dat_02!I42</f>
        <v>82.500147849499996</v>
      </c>
    </row>
    <row r="475" spans="1:15">
      <c r="A475" s="156" t="str">
        <f t="shared" ref="A475:A486" si="30">A454</f>
        <v>Sep-25</v>
      </c>
      <c r="B475" s="129">
        <f>Dat_02!C43</f>
        <v>77.6496527778</v>
      </c>
      <c r="C475" s="129">
        <f>Dat_02!D43</f>
        <v>109.07591293333333</v>
      </c>
      <c r="D475" s="129">
        <f>Dat_02!E43</f>
        <v>83.511083333299993</v>
      </c>
      <c r="E475" s="129">
        <f>Dat_02!F43</f>
        <v>39.348402777799997</v>
      </c>
      <c r="F475" s="129">
        <f>Dat_02!G43</f>
        <v>61.0423333333</v>
      </c>
      <c r="G475" s="129">
        <f>Dat_02!H43</f>
        <v>34.808055555599999</v>
      </c>
      <c r="H475" s="129">
        <f>Dat_02!I43</f>
        <v>77.024888888899994</v>
      </c>
      <c r="I475" s="62"/>
      <c r="J475" s="62"/>
      <c r="K475" s="62"/>
      <c r="L475" s="62"/>
      <c r="M475" s="62"/>
      <c r="N475" s="62"/>
      <c r="O475" s="62"/>
    </row>
    <row r="476" spans="1:15">
      <c r="A476" s="156" t="str">
        <f t="shared" si="30"/>
        <v>Oct-25</v>
      </c>
      <c r="B476" s="129">
        <f>Dat_02!C44</f>
        <v>82.445254032299999</v>
      </c>
      <c r="C476" s="129">
        <f>Dat_02!D44</f>
        <v>111.04</v>
      </c>
      <c r="D476" s="129">
        <f>Dat_02!E44</f>
        <v>84.508893817200004</v>
      </c>
      <c r="E476" s="129">
        <f>Dat_02!F44</f>
        <v>39.047491935499998</v>
      </c>
      <c r="F476" s="129">
        <f>Dat_02!G44</f>
        <v>75.748020134200004</v>
      </c>
      <c r="G476" s="129">
        <f>Dat_02!H44</f>
        <v>57.4709020134</v>
      </c>
      <c r="H476" s="129">
        <f>Dat_02!I44</f>
        <v>80.786680107500004</v>
      </c>
    </row>
    <row r="477" spans="1:15">
      <c r="A477" s="156" t="str">
        <f t="shared" si="30"/>
        <v>Nov-25</v>
      </c>
      <c r="B477" s="129">
        <f>Dat_02!C45</f>
        <v>93.733074999999999</v>
      </c>
      <c r="C477" s="129">
        <f>Dat_02!D45</f>
        <v>117.08504656666666</v>
      </c>
      <c r="D477" s="129">
        <f>Dat_02!E45</f>
        <v>101.8817375</v>
      </c>
      <c r="E477" s="129">
        <f>Dat_02!F45</f>
        <v>60.5770777778</v>
      </c>
      <c r="F477" s="129">
        <f>Dat_02!G45</f>
        <v>58.649345833300004</v>
      </c>
      <c r="G477" s="129">
        <f>Dat_02!H45</f>
        <v>59.127286111099998</v>
      </c>
      <c r="H477" s="129">
        <f>Dat_02!I45</f>
        <v>88.232763888899996</v>
      </c>
      <c r="I477" s="62"/>
      <c r="J477" s="62"/>
      <c r="K477" s="62"/>
      <c r="L477" s="62"/>
      <c r="M477" s="62"/>
      <c r="N477" s="62"/>
      <c r="O477" s="62"/>
    </row>
    <row r="478" spans="1:15">
      <c r="A478" s="156" t="str">
        <f t="shared" si="30"/>
        <v>Dic-25</v>
      </c>
      <c r="B478" s="129">
        <f>Dat_02!C46</f>
        <v>87.699244623699997</v>
      </c>
      <c r="C478" s="129">
        <f>Dat_02!D46</f>
        <v>115.489526</v>
      </c>
      <c r="D478" s="129">
        <f>Dat_02!E46</f>
        <v>93.469694892500002</v>
      </c>
      <c r="E478" s="129">
        <f>Dat_02!F46</f>
        <v>52.992161290299997</v>
      </c>
      <c r="F478" s="129">
        <f>Dat_02!G46</f>
        <v>77.905099462400003</v>
      </c>
      <c r="G478" s="129">
        <f>Dat_02!H46</f>
        <v>68.731865591399995</v>
      </c>
      <c r="H478" s="129">
        <f>Dat_02!I46</f>
        <v>86.262016129000003</v>
      </c>
    </row>
    <row r="479" spans="1:15">
      <c r="A479" s="156" t="str">
        <f t="shared" si="30"/>
        <v>Ene-26</v>
      </c>
      <c r="B479" s="129">
        <f>Dat_02!C47</f>
        <v>107.5919986559</v>
      </c>
      <c r="C479" s="129">
        <f>Dat_02!D47</f>
        <v>132.664908</v>
      </c>
      <c r="D479" s="129">
        <f>Dat_02!E47</f>
        <v>110.09061962369999</v>
      </c>
      <c r="E479" s="129">
        <f>Dat_02!F47</f>
        <v>103.3727822581</v>
      </c>
      <c r="F479" s="129">
        <f>Dat_02!G47</f>
        <v>71.672103494599995</v>
      </c>
      <c r="G479" s="129">
        <f>Dat_02!H47</f>
        <v>100.65052016129999</v>
      </c>
      <c r="H479" s="129">
        <f>Dat_02!I47</f>
        <v>107.6122177419</v>
      </c>
      <c r="I479" s="62"/>
      <c r="J479" s="62"/>
      <c r="K479" s="62"/>
      <c r="L479" s="62"/>
      <c r="M479" s="62"/>
      <c r="N479" s="62"/>
      <c r="O479" s="62"/>
    </row>
    <row r="480" spans="1:15">
      <c r="A480" s="156" t="str">
        <f t="shared" si="30"/>
        <v>Feb-26</v>
      </c>
      <c r="B480" s="129">
        <f>Dat_02!C48</f>
        <v>92.947516368999999</v>
      </c>
      <c r="C480" s="129">
        <f>Dat_02!D48</f>
        <v>114.40511824999999</v>
      </c>
      <c r="D480" s="129">
        <f>Dat_02!E48</f>
        <v>96.576650297599997</v>
      </c>
      <c r="E480" s="129">
        <f>Dat_02!F48</f>
        <v>104.3786235119</v>
      </c>
      <c r="F480" s="129">
        <f>Dat_02!G48</f>
        <v>16.409894345200001</v>
      </c>
      <c r="G480" s="129">
        <f>Dat_02!H48</f>
        <v>46.020644345199997</v>
      </c>
      <c r="H480" s="129">
        <f>Dat_02!I48</f>
        <v>92.584702381</v>
      </c>
    </row>
    <row r="481" spans="1:15">
      <c r="A481" s="156" t="str">
        <f t="shared" si="30"/>
        <v>Mar-26</v>
      </c>
      <c r="B481" s="129">
        <f>Dat_02!C49</f>
        <v>98.900441453599996</v>
      </c>
      <c r="C481" s="129">
        <f>Dat_02!D49</f>
        <v>143.4</v>
      </c>
      <c r="D481" s="129">
        <f>Dat_02!E49</f>
        <v>99.287811574700001</v>
      </c>
      <c r="E481" s="129">
        <f>Dat_02!F49</f>
        <v>63.7653216689</v>
      </c>
      <c r="F481" s="129">
        <f>Dat_02!G49</f>
        <v>41.766621803500001</v>
      </c>
      <c r="G481" s="129">
        <f>Dat_02!H49</f>
        <v>63.850882907100001</v>
      </c>
      <c r="H481" s="129">
        <f>Dat_02!I49</f>
        <v>110.3645625841</v>
      </c>
      <c r="I481" s="62"/>
      <c r="J481" s="62"/>
      <c r="K481" s="62"/>
      <c r="L481" s="62"/>
      <c r="M481" s="62"/>
      <c r="N481" s="62"/>
      <c r="O481" s="62"/>
    </row>
    <row r="482" spans="1:15">
      <c r="A482" s="156" t="str">
        <f t="shared" si="30"/>
        <v>Abr-26</v>
      </c>
      <c r="B482" s="129">
        <f>Dat_02!C50</f>
        <v>84.589972222200004</v>
      </c>
      <c r="C482" s="129">
        <f>Dat_02!D50</f>
        <v>119.46565373333334</v>
      </c>
      <c r="D482" s="129">
        <f>Dat_02!E50</f>
        <v>78.5157097222</v>
      </c>
      <c r="E482" s="129">
        <f>Dat_02!F50</f>
        <v>63.334976388900003</v>
      </c>
      <c r="F482" s="129">
        <f>Dat_02!G50</f>
        <v>42.444170833299999</v>
      </c>
      <c r="G482" s="129">
        <f>Dat_02!H50</f>
        <v>39.798891666700001</v>
      </c>
      <c r="H482" s="129">
        <f>Dat_02!I50</f>
        <v>95.724319444399995</v>
      </c>
    </row>
    <row r="483" spans="1:15">
      <c r="A483" s="156" t="str">
        <f t="shared" si="30"/>
        <v>May-26</v>
      </c>
      <c r="B483" s="129">
        <f>Dat_02!C51</f>
        <v>94.911931451599997</v>
      </c>
      <c r="C483" s="129">
        <f>Dat_02!D51</f>
        <v>119.35125796774193</v>
      </c>
      <c r="D483" s="129">
        <f>Dat_02!E51</f>
        <v>97.536033602200007</v>
      </c>
      <c r="E483" s="129">
        <f>Dat_02!F51</f>
        <v>76.153911290300002</v>
      </c>
      <c r="F483" s="129">
        <f>Dat_02!G51</f>
        <v>54.225541666700003</v>
      </c>
      <c r="G483" s="129">
        <f>Dat_02!H51</f>
        <v>52.202379032300001</v>
      </c>
      <c r="H483" s="129">
        <f>Dat_02!I51</f>
        <v>120.7447177419</v>
      </c>
    </row>
    <row r="484" spans="1:15">
      <c r="A484" s="156" t="str">
        <f t="shared" si="30"/>
        <v>Jun-26</v>
      </c>
      <c r="B484" s="129">
        <f>Dat_02!C52</f>
        <v>110.0845875</v>
      </c>
      <c r="C484" s="129">
        <f>Dat_02!D52</f>
        <v>132.50458610000001</v>
      </c>
      <c r="D484" s="129">
        <f>Dat_02!E52</f>
        <v>109.51600000000001</v>
      </c>
      <c r="E484" s="129">
        <f>Dat_02!F52</f>
        <v>64.776052777800004</v>
      </c>
      <c r="F484" s="129">
        <f>Dat_02!G52</f>
        <v>69.592775000000003</v>
      </c>
      <c r="G484" s="129">
        <f>Dat_02!H52</f>
        <v>66.072679166699999</v>
      </c>
      <c r="H484" s="129">
        <f>Dat_02!I52</f>
        <v>114.8787222222</v>
      </c>
    </row>
    <row r="485" spans="1:15">
      <c r="A485" s="156" t="str">
        <f t="shared" si="30"/>
        <v>Jul-26</v>
      </c>
      <c r="B485" s="129">
        <f>Dat_02!C53</f>
        <v>105.8621518817</v>
      </c>
      <c r="C485" s="129">
        <f>Dat_02!D53</f>
        <v>157.03839312903227</v>
      </c>
      <c r="D485" s="129">
        <f>Dat_02!E53</f>
        <v>105.44709139779999</v>
      </c>
      <c r="E485" s="129">
        <f>Dat_02!F53</f>
        <v>51.263922043000001</v>
      </c>
      <c r="F485" s="129">
        <f>Dat_02!G53</f>
        <v>104.7467755376</v>
      </c>
      <c r="G485" s="129">
        <f>Dat_02!H53</f>
        <v>95.233424731200003</v>
      </c>
      <c r="H485" s="129">
        <f>Dat_02!I53</f>
        <v>125.3962365591</v>
      </c>
    </row>
    <row r="486" spans="1:15">
      <c r="A486" s="157" t="str">
        <f t="shared" si="30"/>
        <v>Ago-26</v>
      </c>
      <c r="B486" s="130">
        <f>Dat_02!C54</f>
        <v>125.4113037634</v>
      </c>
      <c r="C486" s="130">
        <f>Dat_02!D54</f>
        <v>180</v>
      </c>
      <c r="D486" s="130">
        <f>Dat_02!E54</f>
        <v>126.89439112902902</v>
      </c>
      <c r="E486" s="130">
        <f>Dat_02!F54</f>
        <v>77.016336021499995</v>
      </c>
      <c r="F486" s="130">
        <f>Dat_02!G54</f>
        <v>118.24515725809999</v>
      </c>
      <c r="G486" s="130">
        <f>Dat_02!H54</f>
        <v>122.80202284950001</v>
      </c>
      <c r="H486" s="130">
        <f>Dat_02!I54</f>
        <v>149.8766666667</v>
      </c>
    </row>
    <row r="493" spans="1:15" ht="22.5">
      <c r="A493" s="127"/>
      <c r="B493" s="128" t="s">
        <v>123</v>
      </c>
      <c r="C493" s="186" t="s">
        <v>192</v>
      </c>
      <c r="D493" s="128" t="s">
        <v>237</v>
      </c>
      <c r="E493" s="128" t="s">
        <v>124</v>
      </c>
      <c r="F493" s="128" t="s">
        <v>125</v>
      </c>
      <c r="G493" s="128" t="s">
        <v>126</v>
      </c>
      <c r="H493" s="128" t="s">
        <v>127</v>
      </c>
    </row>
    <row r="494" spans="1:15">
      <c r="A494" s="156" t="str">
        <f>A474</f>
        <v>Ago-25</v>
      </c>
      <c r="B494" s="129">
        <f>Dat_02!C23</f>
        <v>33.982108926282621</v>
      </c>
      <c r="C494" s="129">
        <f>Dat_02!E23</f>
        <v>0.45837908115469161</v>
      </c>
      <c r="D494" s="129">
        <f>Dat_02!F23</f>
        <v>11.764023789041095</v>
      </c>
      <c r="E494" s="129">
        <f>Dat_02!G23</f>
        <v>12.010099393972602</v>
      </c>
      <c r="F494" s="129">
        <f>Dat_02!H23</f>
        <v>2.9763363422511082</v>
      </c>
      <c r="G494" s="129">
        <f>Dat_02!I23</f>
        <v>12.850098981867445</v>
      </c>
      <c r="H494" s="129">
        <f>Dat_02!J23</f>
        <v>74.041046514569558</v>
      </c>
    </row>
    <row r="495" spans="1:15">
      <c r="A495" s="156" t="str">
        <f t="shared" ref="A495:A506" si="31">A475</f>
        <v>Sep-25</v>
      </c>
      <c r="B495" s="129">
        <f>Dat_02!C24</f>
        <v>30.953398432508514</v>
      </c>
      <c r="C495" s="129">
        <f>Dat_02!E24</f>
        <v>1.900069856177921</v>
      </c>
      <c r="D495" s="129">
        <f>Dat_02!F24</f>
        <v>11.384539150684931</v>
      </c>
      <c r="E495" s="129">
        <f>Dat_02!G24</f>
        <v>11.622676832876714</v>
      </c>
      <c r="F495" s="129">
        <f>Dat_02!H24</f>
        <v>2.8559872049747308</v>
      </c>
      <c r="G495" s="129">
        <f>Dat_02!I24</f>
        <v>12.330501010216789</v>
      </c>
      <c r="H495" s="129">
        <f>Dat_02!J24</f>
        <v>71.047172487439596</v>
      </c>
    </row>
    <row r="496" spans="1:15">
      <c r="A496" s="156" t="str">
        <f t="shared" si="31"/>
        <v>Oct-25</v>
      </c>
      <c r="B496" s="129">
        <f>Dat_02!C25</f>
        <v>38.845886561838952</v>
      </c>
      <c r="C496" s="129">
        <f>Dat_02!E25</f>
        <v>-0.7241756311536014</v>
      </c>
      <c r="D496" s="129">
        <f>Dat_02!F25</f>
        <v>11.764023789041095</v>
      </c>
      <c r="E496" s="129">
        <f>Dat_02!G25</f>
        <v>12.010099393972602</v>
      </c>
      <c r="F496" s="129">
        <f>Dat_02!H25</f>
        <v>3.16454609486023</v>
      </c>
      <c r="G496" s="129">
        <f>Dat_02!I25</f>
        <v>13.662679843797449</v>
      </c>
      <c r="H496" s="129">
        <f>Dat_02!J25</f>
        <v>78.723060052356729</v>
      </c>
    </row>
    <row r="497" spans="1:10">
      <c r="A497" s="156" t="str">
        <f t="shared" si="31"/>
        <v>Nov-25</v>
      </c>
      <c r="B497" s="129">
        <f>Dat_02!C26</f>
        <v>31.962466494863026</v>
      </c>
      <c r="C497" s="129">
        <f>Dat_02!E26</f>
        <v>2.457004808219176</v>
      </c>
      <c r="D497" s="129">
        <f>Dat_02!F26</f>
        <v>11.384539150684931</v>
      </c>
      <c r="E497" s="129">
        <f>Dat_02!G26</f>
        <v>11.622676832876714</v>
      </c>
      <c r="F497" s="129">
        <f>Dat_02!H26</f>
        <v>2.936052185028835</v>
      </c>
      <c r="G497" s="129">
        <f>Dat_02!I26</f>
        <v>12.676175289051264</v>
      </c>
      <c r="H497" s="129">
        <f>Dat_02!J26</f>
        <v>73.038914760723941</v>
      </c>
    </row>
    <row r="498" spans="1:10">
      <c r="A498" s="156" t="str">
        <f t="shared" si="31"/>
        <v>Dic-25</v>
      </c>
      <c r="B498" s="129">
        <f>Dat_02!C27</f>
        <v>40.723071146627149</v>
      </c>
      <c r="C498" s="129">
        <f>Dat_02!E27</f>
        <v>-0.86264325745366688</v>
      </c>
      <c r="D498" s="129">
        <f>Dat_02!F27</f>
        <v>11.764023789041095</v>
      </c>
      <c r="E498" s="129">
        <f>Dat_02!G27</f>
        <v>12.010099393972602</v>
      </c>
      <c r="F498" s="129">
        <f>Dat_02!H27</f>
        <v>3.2534414145507853</v>
      </c>
      <c r="G498" s="129">
        <f>Dat_02!I27</f>
        <v>14.046478422214973</v>
      </c>
      <c r="H498" s="129">
        <f>Dat_02!J27</f>
        <v>80.934470908952946</v>
      </c>
    </row>
    <row r="499" spans="1:10">
      <c r="A499" s="156" t="str">
        <f t="shared" si="31"/>
        <v>Ene-26</v>
      </c>
      <c r="B499" s="129">
        <f>Dat_02!C28</f>
        <v>38.540996661928141</v>
      </c>
      <c r="C499" s="129">
        <f>Dat_02!E28</f>
        <v>-1.659115594278239</v>
      </c>
      <c r="D499" s="129">
        <f>Dat_02!F28</f>
        <v>12.381879098630138</v>
      </c>
      <c r="E499" s="129">
        <f>Dat_02!G28</f>
        <v>12.323310722191778</v>
      </c>
      <c r="F499" s="129">
        <f>Dat_02!H28</f>
        <v>3.1487599684977607</v>
      </c>
      <c r="G499" s="129">
        <f>Dat_02!I28</f>
        <v>13.59452447996361</v>
      </c>
      <c r="H499" s="129">
        <f>Dat_02!J28</f>
        <v>78.330355336933181</v>
      </c>
    </row>
    <row r="500" spans="1:10">
      <c r="A500" s="156" t="str">
        <f t="shared" si="31"/>
        <v>Feb-26</v>
      </c>
      <c r="B500" s="129">
        <f>Dat_02!C29</f>
        <v>18.044945201992526</v>
      </c>
      <c r="C500" s="129">
        <f>Dat_02!E29</f>
        <v>7.7245187151930264</v>
      </c>
      <c r="D500" s="129">
        <f>Dat_02!F29</f>
        <v>11.183632734246576</v>
      </c>
      <c r="E500" s="129">
        <f>Dat_02!G29</f>
        <v>11.130732265205479</v>
      </c>
      <c r="F500" s="129">
        <f>Dat_02!H29</f>
        <v>2.4583801996198562</v>
      </c>
      <c r="G500" s="129">
        <f>Dat_02!I29</f>
        <v>10.613863914414068</v>
      </c>
      <c r="H500" s="129">
        <f>Dat_02!J29</f>
        <v>61.156073030671536</v>
      </c>
    </row>
    <row r="501" spans="1:10">
      <c r="A501" s="156" t="str">
        <f t="shared" si="31"/>
        <v>Mar-26</v>
      </c>
      <c r="B501" s="129">
        <f>Dat_02!C30</f>
        <v>31.636893219086918</v>
      </c>
      <c r="C501" s="129">
        <f>Dat_02!E30</f>
        <v>3.7048841957353842</v>
      </c>
      <c r="D501" s="129">
        <f>Dat_02!F30</f>
        <v>12.381879098630138</v>
      </c>
      <c r="E501" s="129">
        <f>Dat_02!G30</f>
        <v>12.323310722191778</v>
      </c>
      <c r="F501" s="129">
        <f>Dat_02!H30</f>
        <v>0.30023483617822111</v>
      </c>
      <c r="G501" s="129">
        <f>Dat_02!I30</f>
        <v>6.0347202071822439</v>
      </c>
      <c r="H501" s="129">
        <f>Dat_02!J30</f>
        <v>66.381922279004684</v>
      </c>
    </row>
    <row r="502" spans="1:10">
      <c r="A502" s="156" t="str">
        <f t="shared" si="31"/>
        <v>Abr-26</v>
      </c>
      <c r="B502" s="129">
        <f>Dat_02!C31</f>
        <v>27.244573794534087</v>
      </c>
      <c r="C502" s="129">
        <f>Dat_02!E31</f>
        <v>1.3355846395987854</v>
      </c>
      <c r="D502" s="129">
        <f>Dat_02!F31</f>
        <v>11.982463643835615</v>
      </c>
      <c r="E502" s="129">
        <f>Dat_02!G31</f>
        <v>11.925784569863014</v>
      </c>
      <c r="F502" s="129">
        <f>Dat_02!H31</f>
        <v>0.26244203323915749</v>
      </c>
      <c r="G502" s="129">
        <f>Dat_02!I31</f>
        <v>5.2750848681070659</v>
      </c>
      <c r="H502" s="129">
        <f>Dat_02!J31</f>
        <v>58.025933549177722</v>
      </c>
    </row>
    <row r="503" spans="1:10">
      <c r="A503" s="156" t="str">
        <f t="shared" si="31"/>
        <v>May-26</v>
      </c>
      <c r="B503" s="129">
        <f>Dat_02!C32</f>
        <v>31.022369677920643</v>
      </c>
      <c r="C503" s="129">
        <f>Dat_02!E32</f>
        <v>-1.5648728685577673</v>
      </c>
      <c r="D503" s="129">
        <f>Dat_02!F32</f>
        <v>12.381879098630138</v>
      </c>
      <c r="E503" s="129">
        <f>Dat_02!G32</f>
        <v>12.323310722191778</v>
      </c>
      <c r="F503" s="129">
        <f>Dat_02!H32</f>
        <v>0.27081343315092399</v>
      </c>
      <c r="G503" s="129">
        <f>Dat_02!I32</f>
        <v>5.4433500063335725</v>
      </c>
      <c r="H503" s="129">
        <f>Dat_02!J32</f>
        <v>59.876850069669295</v>
      </c>
    </row>
    <row r="504" spans="1:10">
      <c r="A504" s="156" t="str">
        <f t="shared" si="31"/>
        <v>Jun-26</v>
      </c>
      <c r="B504" s="129">
        <f>Dat_02!C33</f>
        <v>33.958947411608634</v>
      </c>
      <c r="C504" s="129">
        <f>Dat_02!E33</f>
        <v>-3.5113131617169322</v>
      </c>
      <c r="D504" s="129">
        <f>Dat_02!F33</f>
        <v>11.982463643835615</v>
      </c>
      <c r="E504" s="129">
        <f>Dat_02!G33</f>
        <v>11.925784569863014</v>
      </c>
      <c r="F504" s="129">
        <f>Dat_02!H33</f>
        <v>2.7790512567753907</v>
      </c>
      <c r="G504" s="129">
        <f>Dat_02!I33</f>
        <v>11.998336081276801</v>
      </c>
      <c r="H504" s="129">
        <f>Dat_02!J33</f>
        <v>69.133269801642527</v>
      </c>
    </row>
    <row r="505" spans="1:10">
      <c r="A505" s="156" t="str">
        <f t="shared" si="31"/>
        <v>Jul-26</v>
      </c>
      <c r="B505" s="129">
        <f>Dat_02!C34</f>
        <v>48.753372336741108</v>
      </c>
      <c r="C505" s="129">
        <f>Dat_02!E34</f>
        <v>-6.9578264226933442</v>
      </c>
      <c r="D505" s="129">
        <f>Dat_02!F34</f>
        <v>12.381879098630138</v>
      </c>
      <c r="E505" s="129">
        <f>Dat_02!G34</f>
        <v>12.323310722191778</v>
      </c>
      <c r="F505" s="129">
        <f>Dat_02!H34</f>
        <v>3.3999807351903426</v>
      </c>
      <c r="G505" s="129">
        <f>Dat_02!I34</f>
        <v>14.679150458712604</v>
      </c>
      <c r="H505" s="129">
        <f>Dat_02!J34</f>
        <v>84.579866928772617</v>
      </c>
    </row>
    <row r="506" spans="1:10">
      <c r="A506" s="157" t="str">
        <f t="shared" si="31"/>
        <v>Ago-26</v>
      </c>
      <c r="B506" s="130">
        <f>Dat_02!C35</f>
        <v>53.460100218631332</v>
      </c>
      <c r="C506" s="130">
        <f>Dat_02!E35</f>
        <v>-9.6282364244560839</v>
      </c>
      <c r="D506" s="130">
        <f>Dat_02!F35</f>
        <v>12.381879098630138</v>
      </c>
      <c r="E506" s="130">
        <f>Dat_02!G35</f>
        <v>12.323310722191778</v>
      </c>
      <c r="F506" s="130">
        <f>Dat_02!H35</f>
        <v>3.5040914865474404</v>
      </c>
      <c r="G506" s="130">
        <f>Dat_02!I35</f>
        <v>15.128640471324365</v>
      </c>
      <c r="H506" s="130">
        <f>Dat_02!J35</f>
        <v>87.16978557286896</v>
      </c>
      <c r="I506" s="155">
        <f>H506/H505-1</f>
        <v>3.0620982724853363E-2</v>
      </c>
      <c r="J506" s="155">
        <f>H506/H494-1</f>
        <v>0.17731703799886156</v>
      </c>
    </row>
    <row r="709" ht="37.5" customHeight="1"/>
    <row r="710" ht="37.5" customHeight="1"/>
  </sheetData>
  <mergeCells count="32">
    <mergeCell ref="B44:N44"/>
    <mergeCell ref="D67:F67"/>
    <mergeCell ref="G67:K67"/>
    <mergeCell ref="L67:M67"/>
    <mergeCell ref="B4:AB4"/>
    <mergeCell ref="B5:AB5"/>
    <mergeCell ref="B118:C118"/>
    <mergeCell ref="C451:C452"/>
    <mergeCell ref="C195:O195"/>
    <mergeCell ref="C336:O336"/>
    <mergeCell ref="C131:O131"/>
    <mergeCell ref="E451:E452"/>
    <mergeCell ref="B451:B452"/>
    <mergeCell ref="H451:H452"/>
    <mergeCell ref="J451:J452"/>
    <mergeCell ref="D451:D452"/>
    <mergeCell ref="G451:G452"/>
    <mergeCell ref="I451:I452"/>
    <mergeCell ref="F451:F452"/>
    <mergeCell ref="A154:A173"/>
    <mergeCell ref="A134:A153"/>
    <mergeCell ref="A416:A419"/>
    <mergeCell ref="A412:A415"/>
    <mergeCell ref="C409:O409"/>
    <mergeCell ref="A404:A405"/>
    <mergeCell ref="A339:A357"/>
    <mergeCell ref="A358:A376"/>
    <mergeCell ref="B188:N188"/>
    <mergeCell ref="A402:A403"/>
    <mergeCell ref="C399:O399"/>
    <mergeCell ref="A217:A235"/>
    <mergeCell ref="A198:A216"/>
  </mergeCells>
  <phoneticPr fontId="72" type="noConversion"/>
  <conditionalFormatting sqref="L94">
    <cfRule type="cellIs" dxfId="5" priority="1" operator="not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/>
  <dimension ref="A4:Q60"/>
  <sheetViews>
    <sheetView topLeftCell="A13" zoomScale="106" workbookViewId="0">
      <selection activeCell="O41" sqref="O41"/>
    </sheetView>
  </sheetViews>
  <sheetFormatPr baseColWidth="10" defaultRowHeight="12.75"/>
  <cols>
    <col min="1" max="1" width="2.5703125" customWidth="1"/>
    <col min="5" max="5" width="7.85546875" customWidth="1"/>
    <col min="6" max="6" width="7.140625" customWidth="1"/>
    <col min="7" max="7" width="10.42578125" customWidth="1"/>
  </cols>
  <sheetData>
    <row r="4" spans="1:10">
      <c r="B4" s="121" t="s">
        <v>109</v>
      </c>
      <c r="C4" s="122"/>
      <c r="D4" s="122"/>
      <c r="E4" s="122"/>
    </row>
    <row r="5" spans="1:10">
      <c r="A5" s="116"/>
      <c r="B5" s="123"/>
      <c r="C5" s="259" t="s">
        <v>111</v>
      </c>
      <c r="D5" s="259"/>
      <c r="E5" s="123"/>
    </row>
    <row r="6" spans="1:10">
      <c r="A6" s="116"/>
      <c r="B6" s="124" t="s">
        <v>110</v>
      </c>
      <c r="C6" s="124" t="s">
        <v>113</v>
      </c>
      <c r="D6" s="124" t="s">
        <v>114</v>
      </c>
      <c r="E6" s="124" t="s">
        <v>112</v>
      </c>
    </row>
    <row r="7" spans="1:10">
      <c r="A7" s="116" t="str">
        <f>B42</f>
        <v>A</v>
      </c>
      <c r="B7" s="136">
        <v>45870</v>
      </c>
      <c r="C7" s="126">
        <v>170</v>
      </c>
      <c r="D7" s="126">
        <v>-5</v>
      </c>
      <c r="E7" s="129">
        <v>68.444690860214948</v>
      </c>
      <c r="I7" s="205">
        <f>C7-D7</f>
        <v>175</v>
      </c>
      <c r="J7" s="116" t="str">
        <f>IF(D7&gt;0,D7,"")</f>
        <v/>
      </c>
    </row>
    <row r="8" spans="1:10">
      <c r="A8" s="116" t="str">
        <f t="shared" ref="A8:A19" si="0">B43</f>
        <v>S</v>
      </c>
      <c r="B8" s="136">
        <v>45901</v>
      </c>
      <c r="C8" s="126">
        <v>215</v>
      </c>
      <c r="D8" s="126">
        <v>-0.99</v>
      </c>
      <c r="E8" s="129">
        <v>61.04233333333341</v>
      </c>
      <c r="I8" s="205">
        <f t="shared" ref="I8:I19" si="1">C8-D8</f>
        <v>215.99</v>
      </c>
      <c r="J8" s="116" t="str">
        <f t="shared" ref="J8:J19" si="2">IF(D8&gt;0,D8,"")</f>
        <v/>
      </c>
    </row>
    <row r="9" spans="1:10">
      <c r="A9" s="116" t="str">
        <f t="shared" si="0"/>
        <v>O</v>
      </c>
      <c r="B9" s="136">
        <v>45931</v>
      </c>
      <c r="C9" s="126">
        <v>230</v>
      </c>
      <c r="D9" s="126">
        <v>-2.64</v>
      </c>
      <c r="E9" s="129">
        <v>75.728938172042902</v>
      </c>
      <c r="I9" s="205">
        <f t="shared" si="1"/>
        <v>232.64</v>
      </c>
      <c r="J9" s="116" t="str">
        <f t="shared" si="2"/>
        <v/>
      </c>
    </row>
    <row r="10" spans="1:10">
      <c r="A10" s="116" t="str">
        <f t="shared" si="0"/>
        <v>N</v>
      </c>
      <c r="B10" s="136">
        <v>45962</v>
      </c>
      <c r="C10" s="126">
        <v>170.01</v>
      </c>
      <c r="D10" s="126">
        <v>-0.45</v>
      </c>
      <c r="E10" s="129">
        <v>58.649345833333335</v>
      </c>
      <c r="I10" s="205">
        <f t="shared" si="1"/>
        <v>170.45999999999998</v>
      </c>
      <c r="J10" s="116" t="str">
        <f t="shared" si="2"/>
        <v/>
      </c>
    </row>
    <row r="11" spans="1:10">
      <c r="A11" s="116" t="str">
        <f t="shared" si="0"/>
        <v>D</v>
      </c>
      <c r="B11" s="136">
        <v>45992</v>
      </c>
      <c r="C11" s="126">
        <v>165.5</v>
      </c>
      <c r="D11" s="126">
        <v>0.5</v>
      </c>
      <c r="E11" s="129">
        <v>77.904858870967814</v>
      </c>
      <c r="I11" s="205">
        <f t="shared" si="1"/>
        <v>165</v>
      </c>
      <c r="J11" s="116">
        <f t="shared" si="2"/>
        <v>0.5</v>
      </c>
    </row>
    <row r="12" spans="1:10">
      <c r="A12" s="116" t="str">
        <f t="shared" si="0"/>
        <v>E</v>
      </c>
      <c r="B12" s="136">
        <v>46023</v>
      </c>
      <c r="C12" s="126">
        <v>200</v>
      </c>
      <c r="D12" s="126">
        <v>-0.5</v>
      </c>
      <c r="E12" s="129">
        <v>71.67187836021516</v>
      </c>
      <c r="I12" s="205">
        <f t="shared" si="1"/>
        <v>200.5</v>
      </c>
      <c r="J12" s="116" t="str">
        <f t="shared" si="2"/>
        <v/>
      </c>
    </row>
    <row r="13" spans="1:10">
      <c r="A13" s="116" t="str">
        <f t="shared" si="0"/>
        <v>F</v>
      </c>
      <c r="B13" s="136">
        <v>46054</v>
      </c>
      <c r="C13" s="126">
        <v>187.1</v>
      </c>
      <c r="D13" s="126">
        <v>-4</v>
      </c>
      <c r="E13" s="129">
        <v>16.409894345238087</v>
      </c>
      <c r="I13" s="205">
        <f t="shared" si="1"/>
        <v>191.1</v>
      </c>
      <c r="J13" s="116" t="str">
        <f t="shared" si="2"/>
        <v/>
      </c>
    </row>
    <row r="14" spans="1:10">
      <c r="A14" s="116" t="str">
        <f t="shared" si="0"/>
        <v>M</v>
      </c>
      <c r="B14" s="136">
        <v>46082</v>
      </c>
      <c r="C14" s="126">
        <v>250</v>
      </c>
      <c r="D14" s="126">
        <v>-10</v>
      </c>
      <c r="E14" s="129">
        <v>41.766621803500001</v>
      </c>
      <c r="I14" s="205">
        <f t="shared" si="1"/>
        <v>260</v>
      </c>
      <c r="J14" s="116" t="str">
        <f t="shared" si="2"/>
        <v/>
      </c>
    </row>
    <row r="15" spans="1:10">
      <c r="A15" s="116" t="str">
        <f t="shared" si="0"/>
        <v>A</v>
      </c>
      <c r="B15" s="136">
        <v>46113</v>
      </c>
      <c r="C15" s="126">
        <v>157.47</v>
      </c>
      <c r="D15" s="126">
        <v>-7.51</v>
      </c>
      <c r="E15" s="129">
        <v>42.444170833299999</v>
      </c>
      <c r="I15" s="205">
        <f t="shared" si="1"/>
        <v>164.98</v>
      </c>
      <c r="J15" s="116" t="str">
        <f t="shared" si="2"/>
        <v/>
      </c>
    </row>
    <row r="16" spans="1:10">
      <c r="A16" s="116" t="str">
        <f t="shared" si="0"/>
        <v>M</v>
      </c>
      <c r="B16" s="136">
        <v>46143</v>
      </c>
      <c r="C16" s="126">
        <v>210</v>
      </c>
      <c r="D16" s="126">
        <v>-3</v>
      </c>
      <c r="E16" s="129">
        <v>54.225541666700003</v>
      </c>
      <c r="I16" s="205">
        <f t="shared" si="1"/>
        <v>213</v>
      </c>
      <c r="J16" s="116" t="str">
        <f t="shared" si="2"/>
        <v/>
      </c>
    </row>
    <row r="17" spans="1:10">
      <c r="A17" s="116" t="str">
        <f t="shared" si="0"/>
        <v>J</v>
      </c>
      <c r="B17" s="136">
        <v>46174</v>
      </c>
      <c r="C17" s="126">
        <v>185.9</v>
      </c>
      <c r="D17" s="126">
        <v>-2.1</v>
      </c>
      <c r="E17" s="129">
        <v>69.592775000000003</v>
      </c>
      <c r="I17" s="205">
        <f t="shared" si="1"/>
        <v>188</v>
      </c>
      <c r="J17" s="116" t="str">
        <f t="shared" si="2"/>
        <v/>
      </c>
    </row>
    <row r="18" spans="1:10">
      <c r="A18" s="116" t="str">
        <f t="shared" si="0"/>
        <v>J</v>
      </c>
      <c r="B18" s="136">
        <v>46204</v>
      </c>
      <c r="C18" s="126">
        <v>290</v>
      </c>
      <c r="D18" s="126">
        <v>-2</v>
      </c>
      <c r="E18" s="129">
        <v>104.75</v>
      </c>
      <c r="I18" s="205">
        <f t="shared" si="1"/>
        <v>292</v>
      </c>
      <c r="J18" s="116" t="str">
        <f t="shared" si="2"/>
        <v/>
      </c>
    </row>
    <row r="19" spans="1:10">
      <c r="A19" s="116" t="str">
        <f t="shared" si="0"/>
        <v>A</v>
      </c>
      <c r="B19" s="137">
        <v>46235</v>
      </c>
      <c r="C19" s="138">
        <v>268.97000000000003</v>
      </c>
      <c r="D19" s="138">
        <v>-2.1</v>
      </c>
      <c r="E19" s="139">
        <v>118.24515725809999</v>
      </c>
      <c r="F19" s="117">
        <f>(E19/E18-1)*100</f>
        <v>12.883205019665866</v>
      </c>
      <c r="G19" s="117">
        <f>(E19/E7-1)*100</f>
        <v>72.760159731881728</v>
      </c>
      <c r="H19" s="49">
        <f>E19/E7</f>
        <v>1.7276015973188172</v>
      </c>
      <c r="I19" s="205">
        <f t="shared" si="1"/>
        <v>271.07000000000005</v>
      </c>
      <c r="J19" s="116" t="str">
        <f t="shared" si="2"/>
        <v/>
      </c>
    </row>
    <row r="21" spans="1:10">
      <c r="B21" s="121" t="s">
        <v>122</v>
      </c>
    </row>
    <row r="22" spans="1:10" ht="30.75" customHeight="1">
      <c r="B22" s="127"/>
      <c r="C22" s="128" t="s">
        <v>123</v>
      </c>
      <c r="D22" s="186"/>
      <c r="E22" s="186" t="s">
        <v>192</v>
      </c>
      <c r="F22" s="128" t="s">
        <v>237</v>
      </c>
      <c r="G22" s="128" t="s">
        <v>124</v>
      </c>
      <c r="H22" s="128" t="s">
        <v>125</v>
      </c>
      <c r="I22" s="128" t="s">
        <v>126</v>
      </c>
      <c r="J22" s="128" t="s">
        <v>127</v>
      </c>
    </row>
    <row r="23" spans="1:10">
      <c r="A23" s="116" t="str">
        <f>B42</f>
        <v>A</v>
      </c>
      <c r="B23" s="136">
        <f>B7</f>
        <v>45870</v>
      </c>
      <c r="C23" s="129">
        <v>33.982108926282621</v>
      </c>
      <c r="D23" s="129"/>
      <c r="E23" s="129">
        <v>0.45837908115469161</v>
      </c>
      <c r="F23" s="129">
        <v>11.764023789041095</v>
      </c>
      <c r="G23" s="129">
        <v>12.010099393972602</v>
      </c>
      <c r="H23" s="129">
        <v>2.9763363422511082</v>
      </c>
      <c r="I23" s="129">
        <v>12.850098981867445</v>
      </c>
      <c r="J23" s="129">
        <f t="shared" ref="J23:J35" si="3">SUM(C23:I23)</f>
        <v>74.041046514569558</v>
      </c>
    </row>
    <row r="24" spans="1:10">
      <c r="A24" s="116" t="str">
        <f t="shared" ref="A24:A35" si="4">B43</f>
        <v>S</v>
      </c>
      <c r="B24" s="136">
        <f t="shared" ref="B24:B35" si="5">B8</f>
        <v>45901</v>
      </c>
      <c r="C24" s="129">
        <v>30.953398432508514</v>
      </c>
      <c r="D24" s="129"/>
      <c r="E24" s="129">
        <v>1.900069856177921</v>
      </c>
      <c r="F24" s="129">
        <v>11.384539150684931</v>
      </c>
      <c r="G24" s="129">
        <v>11.622676832876714</v>
      </c>
      <c r="H24" s="129">
        <v>2.8559872049747308</v>
      </c>
      <c r="I24" s="129">
        <v>12.330501010216789</v>
      </c>
      <c r="J24" s="129">
        <f t="shared" si="3"/>
        <v>71.047172487439596</v>
      </c>
    </row>
    <row r="25" spans="1:10">
      <c r="A25" s="116" t="str">
        <f t="shared" si="4"/>
        <v>O</v>
      </c>
      <c r="B25" s="136">
        <f t="shared" si="5"/>
        <v>45931</v>
      </c>
      <c r="C25" s="129">
        <v>38.845886561838952</v>
      </c>
      <c r="D25" s="129"/>
      <c r="E25" s="129">
        <v>-0.7241756311536014</v>
      </c>
      <c r="F25" s="129">
        <v>11.764023789041095</v>
      </c>
      <c r="G25" s="129">
        <v>12.010099393972602</v>
      </c>
      <c r="H25" s="129">
        <v>3.16454609486023</v>
      </c>
      <c r="I25" s="129">
        <v>13.662679843797449</v>
      </c>
      <c r="J25" s="129">
        <f t="shared" si="3"/>
        <v>78.723060052356729</v>
      </c>
    </row>
    <row r="26" spans="1:10">
      <c r="A26" s="116" t="str">
        <f t="shared" si="4"/>
        <v>N</v>
      </c>
      <c r="B26" s="136">
        <f t="shared" si="5"/>
        <v>45962</v>
      </c>
      <c r="C26" s="129">
        <v>31.962466494863026</v>
      </c>
      <c r="D26" s="129"/>
      <c r="E26" s="129">
        <v>2.457004808219176</v>
      </c>
      <c r="F26" s="129">
        <v>11.384539150684931</v>
      </c>
      <c r="G26" s="129">
        <v>11.622676832876714</v>
      </c>
      <c r="H26" s="129">
        <v>2.936052185028835</v>
      </c>
      <c r="I26" s="129">
        <v>12.676175289051264</v>
      </c>
      <c r="J26" s="129">
        <f t="shared" si="3"/>
        <v>73.038914760723941</v>
      </c>
    </row>
    <row r="27" spans="1:10">
      <c r="A27" s="116" t="str">
        <f t="shared" si="4"/>
        <v>D</v>
      </c>
      <c r="B27" s="136">
        <f t="shared" si="5"/>
        <v>45992</v>
      </c>
      <c r="C27" s="129">
        <v>40.723071146627149</v>
      </c>
      <c r="D27" s="129"/>
      <c r="E27" s="129">
        <v>-0.86264325745366688</v>
      </c>
      <c r="F27" s="129">
        <v>11.764023789041095</v>
      </c>
      <c r="G27" s="129">
        <v>12.010099393972602</v>
      </c>
      <c r="H27" s="129">
        <v>3.2534414145507853</v>
      </c>
      <c r="I27" s="129">
        <v>14.046478422214973</v>
      </c>
      <c r="J27" s="129">
        <f t="shared" si="3"/>
        <v>80.934470908952946</v>
      </c>
    </row>
    <row r="28" spans="1:10">
      <c r="A28" s="116" t="str">
        <f t="shared" si="4"/>
        <v>E</v>
      </c>
      <c r="B28" s="136">
        <f t="shared" si="5"/>
        <v>46023</v>
      </c>
      <c r="C28" s="129">
        <v>38.540996661928141</v>
      </c>
      <c r="D28" s="129"/>
      <c r="E28" s="129">
        <v>-1.659115594278239</v>
      </c>
      <c r="F28" s="129">
        <v>12.381879098630138</v>
      </c>
      <c r="G28" s="129">
        <v>12.323310722191778</v>
      </c>
      <c r="H28" s="129">
        <v>3.1487599684977607</v>
      </c>
      <c r="I28" s="129">
        <v>13.59452447996361</v>
      </c>
      <c r="J28" s="129">
        <f t="shared" si="3"/>
        <v>78.330355336933181</v>
      </c>
    </row>
    <row r="29" spans="1:10">
      <c r="A29" s="116" t="str">
        <f t="shared" si="4"/>
        <v>F</v>
      </c>
      <c r="B29" s="136">
        <f t="shared" si="5"/>
        <v>46054</v>
      </c>
      <c r="C29" s="129">
        <v>18.044945201992526</v>
      </c>
      <c r="D29" s="129"/>
      <c r="E29" s="129">
        <v>7.7245187151930264</v>
      </c>
      <c r="F29" s="129">
        <v>11.183632734246576</v>
      </c>
      <c r="G29" s="129">
        <v>11.130732265205479</v>
      </c>
      <c r="H29" s="129">
        <v>2.4583801996198562</v>
      </c>
      <c r="I29" s="129">
        <v>10.613863914414068</v>
      </c>
      <c r="J29" s="129">
        <f t="shared" si="3"/>
        <v>61.156073030671536</v>
      </c>
    </row>
    <row r="30" spans="1:10">
      <c r="A30" s="116" t="str">
        <f t="shared" si="4"/>
        <v>M</v>
      </c>
      <c r="B30" s="136">
        <f t="shared" si="5"/>
        <v>46082</v>
      </c>
      <c r="C30" s="129">
        <v>31.636893219086918</v>
      </c>
      <c r="D30" s="129"/>
      <c r="E30" s="129">
        <v>3.7048841957353842</v>
      </c>
      <c r="F30" s="129">
        <v>12.381879098630138</v>
      </c>
      <c r="G30" s="129">
        <v>12.323310722191778</v>
      </c>
      <c r="H30" s="129">
        <v>0.30023483617822111</v>
      </c>
      <c r="I30" s="129">
        <v>6.0347202071822439</v>
      </c>
      <c r="J30" s="129">
        <f t="shared" si="3"/>
        <v>66.381922279004684</v>
      </c>
    </row>
    <row r="31" spans="1:10">
      <c r="A31" s="116" t="str">
        <f t="shared" si="4"/>
        <v>A</v>
      </c>
      <c r="B31" s="136">
        <f t="shared" si="5"/>
        <v>46113</v>
      </c>
      <c r="C31" s="129">
        <v>27.244573794534087</v>
      </c>
      <c r="D31" s="129"/>
      <c r="E31" s="129">
        <v>1.3355846395987854</v>
      </c>
      <c r="F31" s="129">
        <v>11.982463643835615</v>
      </c>
      <c r="G31" s="129">
        <v>11.925784569863014</v>
      </c>
      <c r="H31" s="129">
        <v>0.26244203323915749</v>
      </c>
      <c r="I31" s="129">
        <v>5.2750848681070659</v>
      </c>
      <c r="J31" s="129">
        <f t="shared" si="3"/>
        <v>58.025933549177722</v>
      </c>
    </row>
    <row r="32" spans="1:10">
      <c r="A32" s="116" t="str">
        <f t="shared" si="4"/>
        <v>M</v>
      </c>
      <c r="B32" s="136">
        <f t="shared" si="5"/>
        <v>46143</v>
      </c>
      <c r="C32" s="129">
        <v>31.022369677920643</v>
      </c>
      <c r="D32" s="129"/>
      <c r="E32" s="129">
        <v>-1.5648728685577673</v>
      </c>
      <c r="F32" s="129">
        <v>12.381879098630138</v>
      </c>
      <c r="G32" s="129">
        <v>12.323310722191778</v>
      </c>
      <c r="H32" s="129">
        <v>0.27081343315092399</v>
      </c>
      <c r="I32" s="129">
        <v>5.4433500063335725</v>
      </c>
      <c r="J32" s="129">
        <f t="shared" si="3"/>
        <v>59.876850069669295</v>
      </c>
    </row>
    <row r="33" spans="1:17">
      <c r="A33" s="116" t="str">
        <f t="shared" si="4"/>
        <v>J</v>
      </c>
      <c r="B33" s="136">
        <f t="shared" si="5"/>
        <v>46174</v>
      </c>
      <c r="C33" s="129">
        <v>33.958947411608634</v>
      </c>
      <c r="D33" s="129"/>
      <c r="E33" s="129">
        <v>-3.5113131617169322</v>
      </c>
      <c r="F33" s="129">
        <v>11.982463643835615</v>
      </c>
      <c r="G33" s="129">
        <v>11.925784569863014</v>
      </c>
      <c r="H33" s="129">
        <v>2.7790512567753907</v>
      </c>
      <c r="I33" s="129">
        <v>11.998336081276801</v>
      </c>
      <c r="J33" s="129">
        <f t="shared" si="3"/>
        <v>69.133269801642527</v>
      </c>
    </row>
    <row r="34" spans="1:17">
      <c r="A34" s="116" t="str">
        <f t="shared" si="4"/>
        <v>J</v>
      </c>
      <c r="B34" s="136">
        <f t="shared" si="5"/>
        <v>46204</v>
      </c>
      <c r="C34" s="129">
        <v>48.753372336741108</v>
      </c>
      <c r="D34" s="129"/>
      <c r="E34" s="129">
        <v>-6.9578264226933442</v>
      </c>
      <c r="F34" s="129">
        <v>12.381879098630138</v>
      </c>
      <c r="G34" s="129">
        <v>12.323310722191778</v>
      </c>
      <c r="H34" s="129">
        <v>3.3999807351903426</v>
      </c>
      <c r="I34" s="129">
        <v>14.679150458712604</v>
      </c>
      <c r="J34" s="129">
        <f t="shared" si="3"/>
        <v>84.579866928772617</v>
      </c>
      <c r="K34" s="155"/>
    </row>
    <row r="35" spans="1:17">
      <c r="A35" s="116" t="str">
        <f t="shared" si="4"/>
        <v>A</v>
      </c>
      <c r="B35" s="137">
        <f t="shared" si="5"/>
        <v>46235</v>
      </c>
      <c r="C35" s="130">
        <v>53.460100218631332</v>
      </c>
      <c r="D35" s="130"/>
      <c r="E35" s="130">
        <v>-9.6282364244560839</v>
      </c>
      <c r="F35" s="130">
        <v>12.381879098630138</v>
      </c>
      <c r="G35" s="130">
        <v>12.323310722191778</v>
      </c>
      <c r="H35" s="130">
        <v>3.5040914865474404</v>
      </c>
      <c r="I35" s="130">
        <v>15.128640471324365</v>
      </c>
      <c r="J35" s="130">
        <f t="shared" si="3"/>
        <v>87.16978557286896</v>
      </c>
      <c r="K35" s="155">
        <f>J35/J34-1</f>
        <v>3.0620982724853363E-2</v>
      </c>
      <c r="L35" s="155">
        <f>J35/J23-1</f>
        <v>0.17731703799886156</v>
      </c>
      <c r="M35" s="155"/>
      <c r="N35" s="155"/>
      <c r="O35" s="155"/>
      <c r="P35" s="155"/>
      <c r="Q35" s="155"/>
    </row>
    <row r="37" spans="1:17">
      <c r="B37" s="121" t="s">
        <v>128</v>
      </c>
    </row>
    <row r="38" spans="1:17" ht="22.5">
      <c r="B38" s="131" t="s">
        <v>129</v>
      </c>
      <c r="C38" s="132"/>
      <c r="D38" s="132" t="s">
        <v>130</v>
      </c>
      <c r="E38" s="132"/>
      <c r="F38" s="132"/>
      <c r="G38" s="132"/>
      <c r="H38" s="132"/>
      <c r="I38" s="132"/>
    </row>
    <row r="39" spans="1:17" ht="22.5">
      <c r="B39" s="133" t="s">
        <v>131</v>
      </c>
      <c r="C39" s="134" t="s">
        <v>132</v>
      </c>
      <c r="D39" s="134" t="s">
        <v>133</v>
      </c>
      <c r="E39" s="134" t="s">
        <v>134</v>
      </c>
      <c r="F39" s="134" t="s">
        <v>135</v>
      </c>
      <c r="G39" s="134" t="s">
        <v>136</v>
      </c>
      <c r="H39" s="134" t="s">
        <v>134</v>
      </c>
      <c r="I39" s="134" t="s">
        <v>154</v>
      </c>
    </row>
    <row r="40" spans="1:17">
      <c r="B40" s="125"/>
      <c r="C40" s="134" t="s">
        <v>137</v>
      </c>
      <c r="D40" s="134" t="s">
        <v>138</v>
      </c>
      <c r="E40" s="134" t="s">
        <v>139</v>
      </c>
      <c r="F40" s="134"/>
      <c r="G40" s="134"/>
      <c r="H40" s="134" t="s">
        <v>140</v>
      </c>
      <c r="I40" s="134" t="s">
        <v>155</v>
      </c>
    </row>
    <row r="41" spans="1:17">
      <c r="B41" s="124"/>
      <c r="C41" s="135"/>
      <c r="D41" s="135"/>
      <c r="E41" s="135" t="s">
        <v>141</v>
      </c>
      <c r="F41" s="135"/>
      <c r="G41" s="135"/>
      <c r="H41" s="135"/>
      <c r="I41" s="135"/>
    </row>
    <row r="42" spans="1:17">
      <c r="B42" s="156" t="s">
        <v>8</v>
      </c>
      <c r="C42" s="129">
        <v>74.582688172000005</v>
      </c>
      <c r="D42" s="129">
        <v>108.78899922580645</v>
      </c>
      <c r="E42" s="129">
        <v>76.990255376299999</v>
      </c>
      <c r="F42" s="129">
        <v>36.467580645200002</v>
      </c>
      <c r="G42" s="129">
        <v>68.444690860199998</v>
      </c>
      <c r="H42" s="129">
        <v>54.439758064499998</v>
      </c>
      <c r="I42" s="129">
        <v>82.500147849499996</v>
      </c>
    </row>
    <row r="43" spans="1:17">
      <c r="B43" s="156" t="s">
        <v>10</v>
      </c>
      <c r="C43" s="129">
        <v>77.6496527778</v>
      </c>
      <c r="D43" s="129">
        <v>109.07591293333333</v>
      </c>
      <c r="E43" s="129">
        <v>83.511083333299993</v>
      </c>
      <c r="F43" s="129">
        <v>39.348402777799997</v>
      </c>
      <c r="G43" s="129">
        <v>61.0423333333</v>
      </c>
      <c r="H43" s="129">
        <v>34.808055555599999</v>
      </c>
      <c r="I43" s="129">
        <v>77.024888888899994</v>
      </c>
    </row>
    <row r="44" spans="1:17">
      <c r="B44" s="156" t="s">
        <v>11</v>
      </c>
      <c r="C44" s="129">
        <v>82.445254032299999</v>
      </c>
      <c r="D44" s="129">
        <v>111.04</v>
      </c>
      <c r="E44" s="129">
        <v>84.508893817200004</v>
      </c>
      <c r="F44" s="129">
        <v>39.047491935499998</v>
      </c>
      <c r="G44" s="129">
        <v>75.748020134200004</v>
      </c>
      <c r="H44" s="129">
        <v>57.4709020134</v>
      </c>
      <c r="I44" s="129">
        <v>80.786680107500004</v>
      </c>
    </row>
    <row r="45" spans="1:17">
      <c r="B45" s="156" t="s">
        <v>12</v>
      </c>
      <c r="C45" s="129">
        <v>93.733074999999999</v>
      </c>
      <c r="D45" s="129">
        <v>117.08504656666666</v>
      </c>
      <c r="E45" s="129">
        <v>101.8817375</v>
      </c>
      <c r="F45" s="129">
        <v>60.5770777778</v>
      </c>
      <c r="G45" s="129">
        <v>58.649345833300004</v>
      </c>
      <c r="H45" s="129">
        <v>59.127286111099998</v>
      </c>
      <c r="I45" s="129">
        <v>88.232763888899996</v>
      </c>
    </row>
    <row r="46" spans="1:17">
      <c r="B46" s="156" t="s">
        <v>13</v>
      </c>
      <c r="C46" s="129">
        <v>87.699244623699997</v>
      </c>
      <c r="D46" s="129">
        <v>115.489526</v>
      </c>
      <c r="E46" s="129">
        <v>93.469694892500002</v>
      </c>
      <c r="F46" s="129">
        <v>52.992161290299997</v>
      </c>
      <c r="G46" s="129">
        <v>77.905099462400003</v>
      </c>
      <c r="H46" s="129">
        <v>68.731865591399995</v>
      </c>
      <c r="I46" s="129">
        <v>86.262016129000003</v>
      </c>
    </row>
    <row r="47" spans="1:17">
      <c r="B47" s="156" t="s">
        <v>5</v>
      </c>
      <c r="C47" s="129">
        <v>107.5919986559</v>
      </c>
      <c r="D47" s="129">
        <v>132.664908</v>
      </c>
      <c r="E47" s="129">
        <v>110.09061962369999</v>
      </c>
      <c r="F47" s="129">
        <v>103.3727822581</v>
      </c>
      <c r="G47" s="129">
        <v>71.672103494599995</v>
      </c>
      <c r="H47" s="129">
        <v>100.65052016129999</v>
      </c>
      <c r="I47" s="129">
        <v>107.6122177419</v>
      </c>
    </row>
    <row r="48" spans="1:17">
      <c r="B48" s="156" t="s">
        <v>6</v>
      </c>
      <c r="C48" s="129">
        <v>92.947516368999999</v>
      </c>
      <c r="D48" s="129">
        <v>114.40511824999999</v>
      </c>
      <c r="E48" s="129">
        <v>96.576650297599997</v>
      </c>
      <c r="F48" s="129">
        <v>104.3786235119</v>
      </c>
      <c r="G48" s="129">
        <v>16.409894345200001</v>
      </c>
      <c r="H48" s="129">
        <v>46.020644345199997</v>
      </c>
      <c r="I48" s="129">
        <v>92.584702381</v>
      </c>
    </row>
    <row r="49" spans="2:10">
      <c r="B49" s="156" t="s">
        <v>7</v>
      </c>
      <c r="C49" s="129">
        <v>98.900441453599996</v>
      </c>
      <c r="D49" s="129">
        <v>143.4</v>
      </c>
      <c r="E49" s="129">
        <v>99.287811574700001</v>
      </c>
      <c r="F49" s="129">
        <v>63.7653216689</v>
      </c>
      <c r="G49" s="129">
        <v>41.766621803500001</v>
      </c>
      <c r="H49" s="129">
        <v>63.850882907100001</v>
      </c>
      <c r="I49" s="129">
        <v>110.3645625841</v>
      </c>
    </row>
    <row r="50" spans="2:10">
      <c r="B50" s="156" t="s">
        <v>8</v>
      </c>
      <c r="C50" s="129">
        <v>84.589972222200004</v>
      </c>
      <c r="D50" s="129">
        <v>119.46565373333334</v>
      </c>
      <c r="E50" s="129">
        <v>78.5157097222</v>
      </c>
      <c r="F50" s="129">
        <v>63.334976388900003</v>
      </c>
      <c r="G50" s="129">
        <v>42.444170833299999</v>
      </c>
      <c r="H50" s="129">
        <v>39.798891666700001</v>
      </c>
      <c r="I50" s="129">
        <v>95.724319444399995</v>
      </c>
    </row>
    <row r="51" spans="2:10">
      <c r="B51" s="156" t="s">
        <v>7</v>
      </c>
      <c r="C51" s="129">
        <v>94.911931451599997</v>
      </c>
      <c r="D51" s="129">
        <v>119.35125796774193</v>
      </c>
      <c r="E51" s="129">
        <v>97.536033602200007</v>
      </c>
      <c r="F51" s="129">
        <v>76.153911290300002</v>
      </c>
      <c r="G51" s="129">
        <v>54.225541666700003</v>
      </c>
      <c r="H51" s="129">
        <v>52.202379032300001</v>
      </c>
      <c r="I51" s="129">
        <v>120.7447177419</v>
      </c>
    </row>
    <row r="52" spans="2:10">
      <c r="B52" s="156" t="s">
        <v>9</v>
      </c>
      <c r="C52" s="129">
        <v>110.0845875</v>
      </c>
      <c r="D52" s="129">
        <v>132.50458610000001</v>
      </c>
      <c r="E52" s="129">
        <v>109.51600000000001</v>
      </c>
      <c r="F52" s="129">
        <v>64.776052777800004</v>
      </c>
      <c r="G52" s="129">
        <v>69.592775000000003</v>
      </c>
      <c r="H52" s="129">
        <v>66.072679166699999</v>
      </c>
      <c r="I52" s="129">
        <v>114.8787222222</v>
      </c>
    </row>
    <row r="53" spans="2:10">
      <c r="B53" s="156" t="s">
        <v>9</v>
      </c>
      <c r="C53" s="129">
        <v>105.8621518817</v>
      </c>
      <c r="D53" s="129">
        <v>157.03839312903227</v>
      </c>
      <c r="E53" s="129">
        <v>105.44709139779999</v>
      </c>
      <c r="F53" s="129">
        <v>51.263922043000001</v>
      </c>
      <c r="G53" s="129">
        <v>104.7467755376</v>
      </c>
      <c r="H53" s="129">
        <v>95.233424731200003</v>
      </c>
      <c r="I53" s="129">
        <v>125.3962365591</v>
      </c>
    </row>
    <row r="54" spans="2:10">
      <c r="B54" s="157" t="s">
        <v>8</v>
      </c>
      <c r="C54" s="130">
        <v>125.4113037634</v>
      </c>
      <c r="D54" s="130">
        <v>180</v>
      </c>
      <c r="E54" s="130">
        <v>126.89439112902902</v>
      </c>
      <c r="F54" s="130">
        <v>77.016336021499995</v>
      </c>
      <c r="G54" s="130">
        <v>118.24515725809999</v>
      </c>
      <c r="H54" s="130">
        <v>122.80202284950001</v>
      </c>
      <c r="I54" s="130">
        <v>149.8766666667</v>
      </c>
      <c r="J54" s="164">
        <f>G54/G42-1</f>
        <v>0.72760159731919449</v>
      </c>
    </row>
    <row r="56" spans="2:10">
      <c r="C56" s="155"/>
      <c r="D56" s="155"/>
      <c r="E56" s="155"/>
      <c r="F56" s="155"/>
      <c r="G56" s="155"/>
      <c r="H56" s="155"/>
      <c r="I56" s="155"/>
    </row>
    <row r="60" spans="2:10">
      <c r="F60" s="155"/>
    </row>
  </sheetData>
  <mergeCells count="1">
    <mergeCell ref="C5:D5"/>
  </mergeCells>
  <phoneticPr fontId="7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4"/>
  <dimension ref="B1:H31"/>
  <sheetViews>
    <sheetView showGridLines="0" showRowColHeaders="0" tabSelected="1" zoomScale="99" zoomScaleNormal="99" workbookViewId="0">
      <selection activeCell="E31" sqref="E31"/>
    </sheetView>
  </sheetViews>
  <sheetFormatPr baseColWidth="10" defaultColWidth="11.42578125" defaultRowHeight="12.75"/>
  <cols>
    <col min="1" max="1" width="0.42578125" customWidth="1"/>
    <col min="2" max="2" width="2.5703125" customWidth="1"/>
    <col min="3" max="3" width="16.42578125" customWidth="1"/>
    <col min="4" max="4" width="4.5703125" customWidth="1"/>
    <col min="5" max="5" width="95.5703125" customWidth="1"/>
  </cols>
  <sheetData>
    <row r="1" spans="2:8" ht="0.75" customHeight="1"/>
    <row r="2" spans="2:8" ht="21" customHeight="1">
      <c r="C2" s="92"/>
      <c r="D2" s="92"/>
      <c r="E2" s="194" t="s">
        <v>30</v>
      </c>
    </row>
    <row r="3" spans="2:8" ht="15" customHeight="1">
      <c r="C3" s="92"/>
      <c r="D3" s="92"/>
      <c r="E3" s="18" t="str">
        <f>Dat_01!A2</f>
        <v>Agosto 2026</v>
      </c>
    </row>
    <row r="4" spans="2:8" s="1" customFormat="1" ht="20.25" customHeight="1">
      <c r="B4" s="2"/>
      <c r="C4" s="11" t="s">
        <v>29</v>
      </c>
    </row>
    <row r="5" spans="2:8" s="1" customFormat="1" ht="9" customHeight="1">
      <c r="B5" s="2"/>
      <c r="C5" s="3"/>
    </row>
    <row r="6" spans="2:8" s="1" customFormat="1" ht="3" customHeight="1">
      <c r="B6" s="2"/>
      <c r="C6" s="3"/>
    </row>
    <row r="7" spans="2:8" s="1" customFormat="1" ht="7.5" customHeight="1">
      <c r="B7" s="2"/>
      <c r="C7" s="93"/>
      <c r="D7" s="9"/>
      <c r="E7" s="9"/>
    </row>
    <row r="8" spans="2:8" s="1" customFormat="1" ht="12.6" customHeight="1">
      <c r="B8" s="2"/>
      <c r="C8" s="94"/>
      <c r="D8" s="95" t="s">
        <v>53</v>
      </c>
      <c r="E8" s="96" t="s">
        <v>36</v>
      </c>
      <c r="F8" s="97"/>
      <c r="G8" s="72"/>
    </row>
    <row r="9" spans="2:8" s="1" customFormat="1" ht="12.6" customHeight="1">
      <c r="B9" s="2"/>
      <c r="C9" s="94"/>
      <c r="D9" s="95" t="s">
        <v>53</v>
      </c>
      <c r="E9" s="96" t="s">
        <v>206</v>
      </c>
      <c r="F9" s="97"/>
      <c r="G9" s="72"/>
    </row>
    <row r="10" spans="2:8" s="1" customFormat="1" ht="12.6" customHeight="1">
      <c r="B10" s="2"/>
      <c r="C10" s="94"/>
      <c r="D10" s="95" t="s">
        <v>53</v>
      </c>
      <c r="E10" s="96" t="s">
        <v>54</v>
      </c>
      <c r="F10" s="97"/>
      <c r="H10" s="92"/>
    </row>
    <row r="11" spans="2:8" s="1" customFormat="1" ht="12.6" customHeight="1">
      <c r="B11" s="2"/>
      <c r="C11" s="94"/>
      <c r="D11" s="95" t="s">
        <v>53</v>
      </c>
      <c r="E11" s="96" t="s">
        <v>55</v>
      </c>
      <c r="F11" s="97"/>
      <c r="H11" s="92"/>
    </row>
    <row r="12" spans="2:8" s="1" customFormat="1" ht="12.6" customHeight="1">
      <c r="B12" s="2"/>
      <c r="C12" s="94"/>
      <c r="D12" s="95" t="s">
        <v>53</v>
      </c>
      <c r="E12" s="96" t="s">
        <v>27</v>
      </c>
      <c r="F12" s="97"/>
    </row>
    <row r="13" spans="2:8" s="1" customFormat="1" ht="12.6" customHeight="1">
      <c r="B13" s="2"/>
      <c r="C13" s="94"/>
      <c r="D13" s="95" t="s">
        <v>53</v>
      </c>
      <c r="E13" s="96" t="s">
        <v>56</v>
      </c>
      <c r="F13" s="97"/>
    </row>
    <row r="14" spans="2:8" s="1" customFormat="1" ht="12.6" customHeight="1">
      <c r="B14" s="2"/>
      <c r="C14" s="94"/>
      <c r="D14" s="95" t="s">
        <v>53</v>
      </c>
      <c r="E14" s="96" t="s">
        <v>169</v>
      </c>
      <c r="F14" s="97"/>
    </row>
    <row r="15" spans="2:8" s="1" customFormat="1" ht="12.6" customHeight="1">
      <c r="B15" s="2"/>
      <c r="C15" s="94"/>
      <c r="D15" s="95" t="s">
        <v>53</v>
      </c>
      <c r="E15" s="96" t="s">
        <v>34</v>
      </c>
      <c r="F15" s="97"/>
    </row>
    <row r="16" spans="2:8" s="1" customFormat="1" ht="12.6" customHeight="1">
      <c r="B16" s="2"/>
      <c r="C16" s="94"/>
      <c r="D16" s="95" t="s">
        <v>53</v>
      </c>
      <c r="E16" s="96" t="s">
        <v>197</v>
      </c>
      <c r="F16" s="97"/>
    </row>
    <row r="17" spans="2:6" s="1" customFormat="1" ht="12.6" customHeight="1">
      <c r="B17" s="2"/>
      <c r="C17" s="94"/>
      <c r="D17" s="95" t="s">
        <v>53</v>
      </c>
      <c r="E17" s="96" t="s">
        <v>52</v>
      </c>
      <c r="F17" s="97"/>
    </row>
    <row r="18" spans="2:6" s="1" customFormat="1" ht="12.6" customHeight="1">
      <c r="B18" s="2"/>
      <c r="C18" s="94"/>
      <c r="D18" s="95" t="s">
        <v>53</v>
      </c>
      <c r="E18" s="96" t="s">
        <v>3</v>
      </c>
      <c r="F18" s="97"/>
    </row>
    <row r="19" spans="2:6" s="1" customFormat="1" ht="12.6" customHeight="1">
      <c r="B19" s="2"/>
      <c r="C19" s="94"/>
      <c r="D19" s="95" t="s">
        <v>53</v>
      </c>
      <c r="E19" s="96" t="s">
        <v>235</v>
      </c>
      <c r="F19" s="97"/>
    </row>
    <row r="20" spans="2:6" s="1" customFormat="1" ht="12.6" customHeight="1">
      <c r="B20" s="2"/>
      <c r="C20" s="94"/>
      <c r="D20" s="95" t="s">
        <v>53</v>
      </c>
      <c r="E20" s="96" t="s">
        <v>236</v>
      </c>
      <c r="F20" s="97"/>
    </row>
    <row r="21" spans="2:6" s="1" customFormat="1" ht="12.6" customHeight="1">
      <c r="B21" s="2"/>
      <c r="C21" s="94"/>
      <c r="D21" s="95" t="s">
        <v>53</v>
      </c>
      <c r="E21" s="96" t="s">
        <v>238</v>
      </c>
      <c r="F21" s="97"/>
    </row>
    <row r="22" spans="2:6" s="1" customFormat="1" ht="8.25" customHeight="1">
      <c r="B22" s="2"/>
      <c r="C22" s="94"/>
      <c r="D22" s="98"/>
      <c r="E22" s="99"/>
      <c r="F22" s="97"/>
    </row>
    <row r="23" spans="2:6" ht="11.25" customHeight="1">
      <c r="C23" s="100" t="s">
        <v>191</v>
      </c>
    </row>
    <row r="24" spans="2:6">
      <c r="C24" s="100"/>
      <c r="E24" s="1"/>
    </row>
    <row r="27" spans="2:6">
      <c r="E27" s="3"/>
    </row>
    <row r="28" spans="2:6">
      <c r="E28" s="3"/>
    </row>
    <row r="29" spans="2:6">
      <c r="E29" s="3"/>
    </row>
    <row r="30" spans="2:6">
      <c r="E30" s="6"/>
    </row>
    <row r="31" spans="2:6">
      <c r="E31" s="101"/>
    </row>
  </sheetData>
  <hyperlinks>
    <hyperlink ref="E8" location="'M1'!A1" display="Valores extremos y medio del precio del mercado diario" xr:uid="{00000000-0004-0000-0000-000000000000}"/>
    <hyperlink ref="E9" location="'M2'!A1" display="Mercado diario: participación de cada tecnología en el precio marginal." xr:uid="{00000000-0004-0000-0000-000001000000}"/>
    <hyperlink ref="E10" location="'M3'!A1" display="Evolución del componente del  precio medio final de la energía." xr:uid="{00000000-0004-0000-0000-000002000000}"/>
    <hyperlink ref="E11" location="'M4'!A1" display="Componentes del precio medio final de la energía." xr:uid="{00000000-0004-0000-0000-000003000000}"/>
    <hyperlink ref="E12" location="'M5'!A1" display="Repercusión de los servicios de ajuste del sistema en el precio final medio" xr:uid="{00000000-0004-0000-0000-000004000000}"/>
    <hyperlink ref="E13" location="'M6'!A1" display="Coste de los servicios de ajuste" xr:uid="{00000000-0004-0000-0000-000005000000}"/>
    <hyperlink ref="E14" location="'M7'!A1" display="Energía gestionada en los servicios de ajustes" xr:uid="{00000000-0004-0000-0000-000006000000}"/>
    <hyperlink ref="E15" location="'M8'!A1" display="Solución de restricciones técnicas (Fase I)" xr:uid="{00000000-0004-0000-0000-000007000000}"/>
    <hyperlink ref="E16" location="'M9'!A1" display="Banda de regulación secundaria" xr:uid="{00000000-0004-0000-0000-000008000000}"/>
    <hyperlink ref="E17" location="'M10'!A1" display="Regulación secundaria utilizada" xr:uid="{00000000-0004-0000-0000-000009000000}"/>
    <hyperlink ref="E18" location="'M11'!A1" display="Regulación terciaria" xr:uid="{00000000-0004-0000-0000-00000A000000}"/>
    <hyperlink ref="E19" location="'M12'!A1" display="Gestión de desvíos" xr:uid="{00000000-0004-0000-0000-00000B000000}"/>
    <hyperlink ref="E20" location="'M13'!A1" display="Restricciones técnicas en tiempo real" xr:uid="{00000000-0004-0000-0000-00000C000000}"/>
    <hyperlink ref="E21" location="'M14'!A1" display="Composición del precio de la factural del PVPC" xr:uid="{19C3207F-067D-4768-A42D-790367240AB4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>
    <pageSetUpPr fitToPage="1"/>
  </sheetPr>
  <dimension ref="A2:P71"/>
  <sheetViews>
    <sheetView showGridLines="0" showRowColHeaders="0" topLeftCell="B1" zoomScaleNormal="100" workbookViewId="0">
      <selection activeCell="N30" sqref="N30"/>
    </sheetView>
  </sheetViews>
  <sheetFormatPr baseColWidth="10" defaultColWidth="10.5703125" defaultRowHeight="10.5"/>
  <cols>
    <col min="1" max="1" width="10.5703125" style="41" hidden="1" customWidth="1"/>
    <col min="2" max="2" width="2.5703125" style="41" customWidth="1"/>
    <col min="3" max="3" width="23.5703125" style="41" customWidth="1"/>
    <col min="4" max="4" width="2.5703125" style="41" customWidth="1"/>
    <col min="5" max="58" width="10.5703125" style="41" customWidth="1"/>
    <col min="59" max="16384" width="10.5703125" style="41"/>
  </cols>
  <sheetData>
    <row r="2" spans="3:12" ht="12.75">
      <c r="C2"/>
      <c r="D2"/>
      <c r="L2" s="17" t="s">
        <v>30</v>
      </c>
    </row>
    <row r="3" spans="3:12" ht="12.75">
      <c r="C3"/>
      <c r="D3"/>
      <c r="L3" s="18" t="str">
        <f>Indice!E3</f>
        <v>Agosto 2026</v>
      </c>
    </row>
    <row r="4" spans="3:12" ht="12.75">
      <c r="C4" s="19" t="s">
        <v>29</v>
      </c>
    </row>
    <row r="5" spans="3:12" ht="11.25">
      <c r="C5" s="3"/>
    </row>
    <row r="6" spans="3:12" ht="11.25">
      <c r="C6" s="4"/>
    </row>
    <row r="7" spans="3:12" ht="10.5" customHeight="1">
      <c r="C7" s="254" t="s">
        <v>36</v>
      </c>
    </row>
    <row r="8" spans="3:12" ht="10.5" customHeight="1">
      <c r="C8" s="254"/>
    </row>
    <row r="9" spans="3:12" ht="10.5" customHeight="1">
      <c r="C9" s="48" t="s">
        <v>14</v>
      </c>
    </row>
    <row r="10" spans="3:12" ht="10.5" customHeight="1"/>
    <row r="11" spans="3:12" ht="10.5" customHeight="1">
      <c r="C11" s="48"/>
    </row>
    <row r="12" spans="3:12" ht="10.5" customHeight="1">
      <c r="C12" s="48"/>
    </row>
    <row r="30" spans="9:13">
      <c r="I30" s="40"/>
    </row>
    <row r="32" spans="9:13">
      <c r="I32" s="43"/>
      <c r="M32" s="43"/>
    </row>
    <row r="33" spans="9:16">
      <c r="I33" s="43"/>
      <c r="M33" s="43"/>
    </row>
    <row r="34" spans="9:16">
      <c r="I34" s="43"/>
      <c r="M34" s="44"/>
    </row>
    <row r="35" spans="9:16">
      <c r="I35" s="43"/>
      <c r="M35" s="44"/>
    </row>
    <row r="36" spans="9:16">
      <c r="I36" s="43"/>
      <c r="M36" s="44"/>
    </row>
    <row r="37" spans="9:16">
      <c r="I37" s="43"/>
    </row>
    <row r="38" spans="9:16">
      <c r="I38" s="43"/>
    </row>
    <row r="39" spans="9:16">
      <c r="I39" s="43"/>
    </row>
    <row r="40" spans="9:16">
      <c r="I40" s="43"/>
      <c r="M40" s="45"/>
    </row>
    <row r="41" spans="9:16">
      <c r="I41" s="43"/>
      <c r="M41" s="45"/>
    </row>
    <row r="42" spans="9:16">
      <c r="I42" s="43"/>
    </row>
    <row r="43" spans="9:16">
      <c r="I43" s="43"/>
    </row>
    <row r="44" spans="9:16">
      <c r="I44" s="43"/>
      <c r="M44" s="45"/>
    </row>
    <row r="45" spans="9:16">
      <c r="I45" s="43"/>
      <c r="O45" s="43"/>
    </row>
    <row r="46" spans="9:16">
      <c r="I46" s="43"/>
      <c r="P46" s="43"/>
    </row>
    <row r="47" spans="9:16">
      <c r="I47" s="43"/>
      <c r="P47" s="43"/>
    </row>
    <row r="48" spans="9:16">
      <c r="I48" s="43"/>
      <c r="P48" s="43"/>
    </row>
    <row r="49" spans="8:16">
      <c r="I49" s="43"/>
      <c r="P49" s="43"/>
    </row>
    <row r="50" spans="8:16">
      <c r="I50" s="43"/>
      <c r="P50" s="43"/>
    </row>
    <row r="51" spans="8:16">
      <c r="I51" s="43"/>
      <c r="P51" s="43"/>
    </row>
    <row r="52" spans="8:16">
      <c r="I52" s="43"/>
      <c r="P52" s="43"/>
    </row>
    <row r="53" spans="8:16">
      <c r="I53" s="43"/>
      <c r="M53" s="43"/>
      <c r="N53" s="43"/>
      <c r="P53" s="43"/>
    </row>
    <row r="54" spans="8:16">
      <c r="I54" s="43"/>
      <c r="M54" s="43"/>
      <c r="N54" s="43"/>
      <c r="P54" s="43"/>
    </row>
    <row r="55" spans="8:16">
      <c r="I55" s="43"/>
      <c r="M55" s="43"/>
      <c r="N55" s="43"/>
      <c r="P55" s="43"/>
    </row>
    <row r="56" spans="8:16">
      <c r="I56" s="43"/>
      <c r="M56" s="43"/>
      <c r="N56" s="43"/>
      <c r="P56" s="43"/>
    </row>
    <row r="57" spans="8:16">
      <c r="I57" s="43"/>
      <c r="P57" s="43"/>
    </row>
    <row r="58" spans="8:16" ht="10.5" customHeight="1">
      <c r="I58" s="43"/>
      <c r="M58" s="43"/>
      <c r="N58" s="43"/>
      <c r="P58" s="43"/>
    </row>
    <row r="59" spans="8:16">
      <c r="I59" s="43"/>
      <c r="P59" s="43"/>
    </row>
    <row r="60" spans="8:16">
      <c r="I60" s="43"/>
    </row>
    <row r="61" spans="8:16">
      <c r="I61" s="43"/>
    </row>
    <row r="62" spans="8:16" s="46" customFormat="1" ht="12.75">
      <c r="I62" s="43"/>
    </row>
    <row r="63" spans="8:16">
      <c r="H63" s="45"/>
    </row>
    <row r="64" spans="8:16">
      <c r="H64" s="45"/>
    </row>
    <row r="71" spans="10:10">
      <c r="J71" s="42"/>
    </row>
  </sheetData>
  <mergeCells count="1">
    <mergeCell ref="C7:C8"/>
  </mergeCells>
  <printOptions horizontalCentered="1" verticalCentered="1"/>
  <pageMargins left="0" right="0" top="0.6692913385826772" bottom="0.31496062992125984" header="0" footer="0"/>
  <pageSetup paperSize="9" orientation="landscape" horizontalDpi="355" verticalDpi="355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B1:M28"/>
  <sheetViews>
    <sheetView showGridLines="0" showRowColHeaders="0" topLeftCell="A2" zoomScaleNormal="100" workbookViewId="0">
      <selection activeCell="K10" sqref="K10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6" max="6" width="11.42578125" style="7" customWidth="1"/>
    <col min="8" max="11" width="11.42578125" customWidth="1"/>
  </cols>
  <sheetData>
    <row r="1" spans="2:11" ht="0.6" customHeight="1">
      <c r="F1"/>
    </row>
    <row r="2" spans="2:11" ht="21" customHeight="1">
      <c r="E2" s="17" t="s">
        <v>30</v>
      </c>
      <c r="F2"/>
    </row>
    <row r="3" spans="2:11" ht="15" customHeight="1">
      <c r="E3" s="18" t="str">
        <f>Indice!E3</f>
        <v>Agosto 2026</v>
      </c>
      <c r="F3"/>
    </row>
    <row r="4" spans="2:11" s="1" customFormat="1" ht="20.100000000000001" customHeight="1">
      <c r="B4" s="2"/>
      <c r="C4" s="115" t="s">
        <v>29</v>
      </c>
      <c r="H4"/>
      <c r="I4"/>
      <c r="J4"/>
      <c r="K4"/>
    </row>
    <row r="5" spans="2:11" s="1" customFormat="1" ht="12.6" customHeight="1">
      <c r="B5" s="2"/>
      <c r="C5" s="3"/>
      <c r="H5"/>
      <c r="I5"/>
      <c r="J5"/>
      <c r="K5"/>
    </row>
    <row r="6" spans="2:11" s="1" customFormat="1" ht="13.35" customHeight="1">
      <c r="B6" s="2"/>
      <c r="C6" s="4"/>
      <c r="D6" s="5"/>
      <c r="E6" s="5"/>
    </row>
    <row r="7" spans="2:11" s="1" customFormat="1" ht="12.75" customHeight="1">
      <c r="B7" s="2"/>
      <c r="C7" s="254" t="s">
        <v>207</v>
      </c>
      <c r="D7" s="5"/>
      <c r="E7" s="6"/>
      <c r="H7" s="145"/>
    </row>
    <row r="8" spans="2:11" s="1" customFormat="1" ht="12.75" customHeight="1">
      <c r="B8" s="2"/>
      <c r="C8" s="254"/>
      <c r="D8" s="5"/>
      <c r="E8" s="6"/>
    </row>
    <row r="9" spans="2:11" s="1" customFormat="1">
      <c r="B9" s="2"/>
      <c r="C9" s="254"/>
      <c r="D9" s="5"/>
      <c r="E9" s="6"/>
    </row>
    <row r="10" spans="2:11" s="1" customFormat="1" ht="12.75" customHeight="1">
      <c r="B10" s="2"/>
      <c r="C10" s="254"/>
      <c r="D10" s="5"/>
      <c r="E10" s="6"/>
    </row>
    <row r="11" spans="2:11" s="1" customFormat="1" ht="12.75" customHeight="1">
      <c r="B11" s="2"/>
      <c r="C11" s="8"/>
      <c r="D11" s="5"/>
      <c r="E11" s="6"/>
      <c r="F11" s="50"/>
    </row>
    <row r="12" spans="2:11" s="1" customFormat="1" ht="12.75" customHeight="1">
      <c r="B12" s="2"/>
      <c r="C12" s="38"/>
      <c r="D12" s="5"/>
      <c r="E12" s="6"/>
      <c r="F12" s="50"/>
    </row>
    <row r="13" spans="2:11" s="1" customFormat="1" ht="12.75" customHeight="1">
      <c r="B13" s="2"/>
      <c r="C13" s="4"/>
      <c r="D13" s="5"/>
      <c r="E13" s="6"/>
      <c r="F13" s="50"/>
    </row>
    <row r="14" spans="2:11" s="1" customFormat="1" ht="12.75" customHeight="1">
      <c r="B14" s="2"/>
      <c r="C14" s="4"/>
      <c r="D14" s="5"/>
      <c r="E14" s="6"/>
      <c r="F14" s="50"/>
    </row>
    <row r="15" spans="2:11" s="1" customFormat="1" ht="12.75" customHeight="1">
      <c r="B15" s="2"/>
      <c r="C15" s="4"/>
      <c r="D15" s="5"/>
      <c r="E15" s="6"/>
      <c r="F15" s="50"/>
    </row>
    <row r="16" spans="2:11" s="1" customFormat="1" ht="12.75" customHeight="1">
      <c r="B16" s="2"/>
      <c r="C16" s="4"/>
      <c r="D16" s="5"/>
      <c r="E16" s="6"/>
      <c r="F16" s="50"/>
    </row>
    <row r="17" spans="2:13" s="1" customFormat="1" ht="12.75" customHeight="1">
      <c r="B17" s="2"/>
      <c r="C17" s="4"/>
      <c r="D17" s="5"/>
      <c r="E17" s="6"/>
      <c r="F17" s="50"/>
    </row>
    <row r="18" spans="2:13" s="1" customFormat="1" ht="12.75" customHeight="1">
      <c r="B18" s="2"/>
      <c r="C18" s="4"/>
      <c r="D18" s="5"/>
      <c r="E18" s="6"/>
      <c r="F18" s="50"/>
    </row>
    <row r="19" spans="2:13" s="1" customFormat="1" ht="12.75" customHeight="1">
      <c r="B19" s="2"/>
      <c r="C19" s="4"/>
      <c r="D19" s="5"/>
      <c r="E19" s="6"/>
      <c r="F19" s="50"/>
    </row>
    <row r="20" spans="2:13" s="1" customFormat="1" ht="12.75" customHeight="1">
      <c r="B20" s="2"/>
      <c r="C20" s="4"/>
      <c r="D20" s="5"/>
      <c r="E20" s="6"/>
      <c r="F20" s="50"/>
    </row>
    <row r="21" spans="2:13" s="1" customFormat="1" ht="12.75" customHeight="1">
      <c r="B21" s="2"/>
      <c r="C21" s="4"/>
      <c r="D21" s="5"/>
      <c r="E21" s="6"/>
      <c r="F21" s="50"/>
    </row>
    <row r="22" spans="2:13">
      <c r="E22" s="6"/>
      <c r="F22" s="50"/>
    </row>
    <row r="23" spans="2:13">
      <c r="E23" s="6"/>
      <c r="F23" s="50"/>
    </row>
    <row r="24" spans="2:13">
      <c r="E24" s="6"/>
      <c r="F24" s="1"/>
      <c r="G24" s="1"/>
      <c r="H24" s="1"/>
    </row>
    <row r="25" spans="2:13">
      <c r="E25" s="6"/>
      <c r="F25" s="1"/>
      <c r="G25" s="1"/>
      <c r="H25" s="1"/>
    </row>
    <row r="26" spans="2:13">
      <c r="E26" s="6"/>
    </row>
    <row r="27" spans="2:13">
      <c r="E27" s="6"/>
      <c r="H27" s="49"/>
      <c r="L27" s="49"/>
      <c r="M27" s="49"/>
    </row>
    <row r="28" spans="2:13">
      <c r="E28" s="6"/>
    </row>
  </sheetData>
  <mergeCells count="1">
    <mergeCell ref="C7:C10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300" r:id="rId1"/>
  <headerFooter alignWithMargins="0">
    <oddFooter>&amp;R&amp;A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>
    <pageSetUpPr autoPageBreaks="0"/>
  </sheetPr>
  <dimension ref="B1:S28"/>
  <sheetViews>
    <sheetView showGridLines="0" showRowColHeaders="0" topLeftCell="A2" zoomScaleNormal="100" workbookViewId="0">
      <selection activeCell="E35" sqref="E35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6" max="6" width="11.42578125" style="7" customWidth="1"/>
  </cols>
  <sheetData>
    <row r="1" spans="2:19" ht="0.6" customHeight="1">
      <c r="F1"/>
    </row>
    <row r="2" spans="2:19" ht="21" customHeight="1">
      <c r="E2" s="17" t="s">
        <v>30</v>
      </c>
      <c r="F2"/>
    </row>
    <row r="3" spans="2:19" ht="15" customHeight="1">
      <c r="E3" s="76" t="str">
        <f>Indice!E3</f>
        <v>Agosto 2026</v>
      </c>
      <c r="F3"/>
    </row>
    <row r="4" spans="2:19" s="1" customFormat="1" ht="20.100000000000001" customHeight="1">
      <c r="B4" s="2"/>
      <c r="C4" s="19" t="s">
        <v>29</v>
      </c>
    </row>
    <row r="5" spans="2:19" s="1" customFormat="1" ht="12.6" customHeight="1">
      <c r="B5" s="2"/>
      <c r="C5" s="3"/>
    </row>
    <row r="6" spans="2:19" s="1" customFormat="1" ht="13.35" customHeight="1">
      <c r="B6" s="2"/>
      <c r="C6" s="4"/>
      <c r="D6" s="5"/>
      <c r="E6" s="5"/>
    </row>
    <row r="7" spans="2:19" s="1" customFormat="1" ht="12.75" customHeight="1">
      <c r="B7" s="2"/>
      <c r="C7" s="254" t="s">
        <v>43</v>
      </c>
      <c r="D7" s="5"/>
      <c r="E7" s="12"/>
    </row>
    <row r="8" spans="2:19" s="1" customFormat="1" ht="12.75" customHeight="1">
      <c r="B8" s="2"/>
      <c r="C8" s="254"/>
      <c r="D8" s="5"/>
      <c r="E8" s="12"/>
    </row>
    <row r="9" spans="2:19" s="1" customFormat="1" ht="18" customHeight="1">
      <c r="B9" s="2"/>
      <c r="C9" s="254"/>
      <c r="D9" s="5"/>
      <c r="E9" s="12"/>
      <c r="F9" s="50"/>
      <c r="R9" s="77"/>
      <c r="S9" s="80"/>
    </row>
    <row r="10" spans="2:19" s="1" customFormat="1" ht="12.75" customHeight="1">
      <c r="B10" s="2"/>
      <c r="D10" s="5"/>
      <c r="E10" s="12"/>
      <c r="F10" s="50"/>
      <c r="R10" s="77"/>
      <c r="S10" s="80"/>
    </row>
    <row r="11" spans="2:19" s="1" customFormat="1" ht="12.75" customHeight="1">
      <c r="B11" s="2"/>
      <c r="C11" s="8"/>
      <c r="D11" s="5"/>
      <c r="E11" s="12"/>
      <c r="F11" s="50"/>
      <c r="R11" s="77"/>
      <c r="S11" s="80"/>
    </row>
    <row r="12" spans="2:19" s="1" customFormat="1" ht="12.75" customHeight="1">
      <c r="B12" s="2"/>
      <c r="C12" s="38"/>
      <c r="D12" s="5"/>
      <c r="E12" s="12"/>
      <c r="F12" s="50"/>
      <c r="R12" s="77"/>
      <c r="S12" s="80"/>
    </row>
    <row r="13" spans="2:19" s="1" customFormat="1" ht="12.75" customHeight="1">
      <c r="B13" s="2"/>
      <c r="C13" s="4"/>
      <c r="D13" s="5"/>
      <c r="E13" s="12"/>
      <c r="F13" s="50"/>
      <c r="R13" s="77"/>
      <c r="S13" s="80"/>
    </row>
    <row r="14" spans="2:19" s="1" customFormat="1" ht="12.75" customHeight="1">
      <c r="B14" s="2"/>
      <c r="C14" s="4"/>
      <c r="D14" s="5"/>
      <c r="E14" s="12"/>
      <c r="F14" s="50"/>
      <c r="R14" s="77"/>
      <c r="S14" s="80"/>
    </row>
    <row r="15" spans="2:19" s="1" customFormat="1" ht="12.75" customHeight="1">
      <c r="B15" s="2"/>
      <c r="C15" s="4"/>
      <c r="D15" s="5"/>
      <c r="E15" s="12"/>
      <c r="F15" s="50"/>
      <c r="R15" s="77"/>
      <c r="S15" s="80"/>
    </row>
    <row r="16" spans="2:19" s="1" customFormat="1" ht="12.75" customHeight="1">
      <c r="B16" s="2"/>
      <c r="C16" s="4"/>
      <c r="D16" s="5"/>
      <c r="E16" s="12"/>
      <c r="F16" s="50"/>
      <c r="R16" s="77"/>
      <c r="S16" s="80"/>
    </row>
    <row r="17" spans="2:19" s="1" customFormat="1" ht="12.75" customHeight="1">
      <c r="B17" s="2"/>
      <c r="C17" s="4"/>
      <c r="D17" s="5"/>
      <c r="E17" s="12"/>
      <c r="F17" s="50"/>
      <c r="R17" s="77"/>
      <c r="S17" s="80"/>
    </row>
    <row r="18" spans="2:19" s="1" customFormat="1" ht="12.75" customHeight="1">
      <c r="B18" s="2"/>
      <c r="C18" s="4"/>
      <c r="D18" s="5"/>
      <c r="E18" s="12"/>
      <c r="F18" s="50"/>
      <c r="R18" s="77"/>
      <c r="S18" s="80"/>
    </row>
    <row r="19" spans="2:19" s="1" customFormat="1" ht="12.75" customHeight="1">
      <c r="B19" s="2"/>
      <c r="C19" s="4"/>
      <c r="D19" s="5"/>
      <c r="E19" s="12"/>
      <c r="F19" s="50"/>
      <c r="R19" s="77"/>
      <c r="S19" s="80"/>
    </row>
    <row r="20" spans="2:19" s="1" customFormat="1" ht="12.75" customHeight="1">
      <c r="B20" s="2"/>
      <c r="C20" s="4"/>
      <c r="D20" s="5"/>
      <c r="E20" s="12"/>
      <c r="F20" s="50"/>
      <c r="R20" s="77"/>
      <c r="S20" s="80"/>
    </row>
    <row r="21" spans="2:19" s="1" customFormat="1" ht="12.75" customHeight="1">
      <c r="B21" s="2"/>
      <c r="C21" s="4"/>
      <c r="D21" s="5"/>
      <c r="E21" s="12"/>
      <c r="F21" s="50"/>
      <c r="R21" s="77"/>
      <c r="S21" s="80"/>
    </row>
    <row r="22" spans="2:19">
      <c r="E22" s="12"/>
      <c r="F22" s="1"/>
      <c r="R22" s="78"/>
    </row>
    <row r="23" spans="2:19">
      <c r="E23" s="12"/>
      <c r="F23" s="1"/>
      <c r="R23" s="79"/>
    </row>
    <row r="24" spans="2:19">
      <c r="E24" s="12"/>
      <c r="F24" s="1"/>
    </row>
    <row r="25" spans="2:19">
      <c r="E25" s="6"/>
      <c r="F25" s="1"/>
      <c r="G25" s="1"/>
      <c r="H25" s="1"/>
      <c r="Q25" s="1"/>
    </row>
    <row r="26" spans="2:19">
      <c r="E26" s="6"/>
    </row>
    <row r="27" spans="2:19">
      <c r="E27" s="6"/>
    </row>
    <row r="28" spans="2:19">
      <c r="E28" s="6"/>
    </row>
  </sheetData>
  <customSheetViews>
    <customSheetView guid="{900DFCB2-DCF9-11D6-8470-0008C7298EBA}" showGridLines="0" showRowCol="0" outlineSymbols="0" showRuler="0"/>
    <customSheetView guid="{900DFCB4-DCF9-11D6-8470-0008C7298EBA}" showGridLines="0" showRowCol="0" outlineSymbols="0" showRuler="0"/>
    <customSheetView guid="{900DFCB5-DCF9-11D6-8470-0008C7298EBA}" showGridLines="0" showRowCol="0" outlineSymbols="0" showRuler="0"/>
    <customSheetView guid="{900DFCB6-DCF9-11D6-8470-0008C7298EBA}" showGridLines="0" showRowCol="0" outlineSymbols="0" showRuler="0"/>
    <customSheetView guid="{900DFCB7-DCF9-11D6-8470-0008C7298EBA}" showGridLines="0" showRowCol="0" outlineSymbols="0" showRuler="0"/>
    <customSheetView guid="{900DFCB8-DCF9-11D6-8470-0008C7298EBA}" showGridLines="0" showRowCol="0" outlineSymbols="0" showRuler="0"/>
    <customSheetView guid="{900DFCB9-DCF9-11D6-8470-0008C7298EBA}" showGridLines="0" showRowCol="0" outlineSymbols="0" showRuler="0"/>
    <customSheetView guid="{900DFCBA-DCF9-11D6-8470-0008C7298EBA}" showGridLines="0" showRowCol="0" outlineSymbols="0" showRuler="0"/>
    <customSheetView guid="{900DFCBB-DCF9-11D6-8470-0008C7298EBA}" showGridLines="0" showRowCol="0" outlineSymbols="0" showRuler="0"/>
    <customSheetView guid="{900DFCBC-DCF9-11D6-8470-0008C7298EBA}" showGridLines="0" showRowCol="0" outlineSymbols="0" showRuler="0"/>
    <customSheetView guid="{900DFCBD-DCF9-11D6-8470-0008C7298EBA}" showGridLines="0" showRowCol="0" outlineSymbols="0" showRuler="0"/>
    <customSheetView guid="{900DFCBE-DCF9-11D6-8470-0008C7298EBA}" showGridLines="0" showRowCol="0" outlineSymbols="0" showRuler="0"/>
    <customSheetView guid="{900DFCBF-DCF9-11D6-8470-0008C7298EBA}" showGridLines="0" showRowCol="0" outlineSymbols="0" showRuler="0"/>
    <customSheetView guid="{900DFCC0-DCF9-11D6-8470-0008C7298EBA}" showGridLines="0" showRowCol="0" outlineSymbols="0" showRuler="0"/>
    <customSheetView guid="{900DFCC1-DCF9-11D6-8470-0008C7298EBA}" showGridLines="0" showRowCol="0" outlineSymbols="0" showRuler="0"/>
    <customSheetView guid="{900DFCC2-DCF9-11D6-8470-0008C7298EBA}" showGridLines="0" showRowCol="0" outlineSymbols="0" showRuler="0"/>
    <customSheetView guid="{900DFCC3-DCF9-11D6-8470-0008C7298EBA}" showGridLines="0" showRowCol="0" outlineSymbols="0" showRuler="0"/>
    <customSheetView guid="{900DFCC4-DCF9-11D6-8470-0008C7298EBA}" showGridLines="0" showRowCol="0" outlineSymbols="0" showRuler="0"/>
    <customSheetView guid="{900DFCC5-DCF9-11D6-8470-0008C7298EBA}" showGridLines="0" showRowCol="0" outlineSymbols="0" showRuler="0"/>
    <customSheetView guid="{900DFCC6-DCF9-11D6-8470-0008C7298EBA}" showGridLines="0" showRowCol="0" outlineSymbols="0" showRuler="0"/>
    <customSheetView guid="{900DFCC7-DCF9-11D6-8470-0008C7298EBA}" showGridLines="0" showRowCol="0" outlineSymbols="0" showRuler="0"/>
  </customSheetViews>
  <mergeCells count="1">
    <mergeCell ref="C7:C9"/>
  </mergeCells>
  <phoneticPr fontId="0" type="noConversion"/>
  <printOptions horizontalCentered="1" verticalCentered="1"/>
  <pageMargins left="0.78740157480314965" right="0.78740157480314965" top="0.78740157480314965" bottom="0.98425196850393704" header="0" footer="0"/>
  <pageSetup paperSize="9" orientation="landscape" verticalDpi="300" r:id="rId1"/>
  <headerFooter alignWithMargins="0">
    <oddFooter>&amp;R&amp;A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3"/>
  <dimension ref="A1:S36"/>
  <sheetViews>
    <sheetView showGridLines="0" showRowColHeaders="0" workbookViewId="0">
      <selection activeCell="G35" sqref="G35"/>
    </sheetView>
  </sheetViews>
  <sheetFormatPr baseColWidth="10" defaultColWidth="11.42578125" defaultRowHeight="12.75"/>
  <cols>
    <col min="1" max="1" width="3.5703125" style="20" customWidth="1"/>
    <col min="2" max="2" width="23.5703125" style="20" customWidth="1"/>
    <col min="3" max="3" width="11.42578125" style="20"/>
    <col min="4" max="4" width="12.42578125" style="20" customWidth="1"/>
    <col min="5" max="5" width="11.42578125" style="20" customWidth="1"/>
    <col min="6" max="6" width="11.42578125" style="20"/>
    <col min="7" max="7" width="12.42578125" style="20" customWidth="1"/>
    <col min="8" max="10" width="11.42578125" style="20"/>
    <col min="11" max="11" width="13" style="20" customWidth="1"/>
    <col min="12" max="16384" width="11.42578125" style="20"/>
  </cols>
  <sheetData>
    <row r="1" spans="1:8">
      <c r="A1" s="20" t="s">
        <v>4</v>
      </c>
    </row>
    <row r="2" spans="1:8">
      <c r="H2" s="17" t="s">
        <v>30</v>
      </c>
    </row>
    <row r="3" spans="1:8">
      <c r="H3" s="76" t="str">
        <f>Indice!E3</f>
        <v>Agosto 2026</v>
      </c>
    </row>
    <row r="4" spans="1:8">
      <c r="B4" s="19" t="s">
        <v>29</v>
      </c>
    </row>
    <row r="7" spans="1:8" ht="12.75" customHeight="1">
      <c r="B7" s="255" t="s">
        <v>37</v>
      </c>
    </row>
    <row r="8" spans="1:8">
      <c r="B8" s="255"/>
    </row>
    <row r="9" spans="1:8">
      <c r="B9" s="47" t="s">
        <v>14</v>
      </c>
    </row>
    <row r="27" spans="5:19">
      <c r="P27" s="21"/>
      <c r="Q27" s="22"/>
      <c r="R27" s="21"/>
      <c r="S27" s="22"/>
    </row>
    <row r="28" spans="5:19">
      <c r="P28" s="23"/>
      <c r="Q28" s="24"/>
      <c r="R28" s="23"/>
      <c r="S28" s="24"/>
    </row>
    <row r="30" spans="5:19">
      <c r="E30" s="65"/>
      <c r="F30" s="65"/>
      <c r="G30" s="65"/>
      <c r="H30" s="65"/>
    </row>
    <row r="32" spans="5:19">
      <c r="J32" s="25"/>
      <c r="K32" s="26"/>
      <c r="L32" s="26"/>
      <c r="M32" s="26"/>
      <c r="N32" s="26"/>
    </row>
    <row r="33" spans="10:15">
      <c r="J33" s="25"/>
      <c r="K33" s="26"/>
      <c r="L33" s="26"/>
      <c r="M33" s="26"/>
      <c r="N33" s="26"/>
      <c r="O33" s="26"/>
    </row>
    <row r="34" spans="10:15">
      <c r="J34" s="26"/>
      <c r="K34" s="26"/>
      <c r="L34" s="26"/>
      <c r="M34" s="26"/>
      <c r="N34" s="26"/>
    </row>
    <row r="35" spans="10:15">
      <c r="J35" s="26"/>
      <c r="K35" s="26"/>
      <c r="L35" s="26"/>
      <c r="M35" s="26"/>
      <c r="N35" s="26"/>
    </row>
    <row r="36" spans="10:15">
      <c r="K36" s="27"/>
    </row>
  </sheetData>
  <mergeCells count="1">
    <mergeCell ref="B7:B8"/>
  </mergeCells>
  <printOptions horizontalCentered="1" verticalCentered="1"/>
  <pageMargins left="0.78740157480314965" right="0.78740157480314965" top="0.98425196850393704" bottom="0.98425196850393704" header="0" footer="0"/>
  <pageSetup paperSize="9" scale="8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/>
  </sheetPr>
  <dimension ref="B1:AM34"/>
  <sheetViews>
    <sheetView showGridLines="0" showRowColHeaders="0" topLeftCell="A2" zoomScale="106" zoomScaleNormal="106" workbookViewId="0">
      <selection activeCell="E33" sqref="E33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6" max="6" width="11.42578125" style="7" customWidth="1"/>
    <col min="7" max="7" width="28.42578125" customWidth="1"/>
    <col min="8" max="20" width="9.42578125" customWidth="1"/>
    <col min="24" max="36" width="13.42578125" bestFit="1" customWidth="1"/>
  </cols>
  <sheetData>
    <row r="1" spans="2:39" ht="0.6" customHeight="1">
      <c r="F1"/>
    </row>
    <row r="2" spans="2:39" ht="21" customHeight="1">
      <c r="E2" s="17" t="s">
        <v>30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2:39" ht="15" customHeight="1">
      <c r="E3" s="76" t="str">
        <f>Indice!E3</f>
        <v>Agosto 2026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2:39" s="1" customFormat="1" ht="20.100000000000001" customHeight="1">
      <c r="C4" s="19" t="s">
        <v>29</v>
      </c>
    </row>
    <row r="5" spans="2:39" s="1" customFormat="1" ht="12.6" customHeight="1">
      <c r="B5" s="2"/>
      <c r="C5" s="3"/>
    </row>
    <row r="6" spans="2:39" s="1" customFormat="1" ht="13.35" customHeight="1">
      <c r="B6" s="2"/>
      <c r="C6" s="4"/>
      <c r="D6" s="5"/>
      <c r="E6" s="5"/>
    </row>
    <row r="7" spans="2:39" s="1" customFormat="1" ht="12.75" customHeight="1">
      <c r="B7" s="2"/>
      <c r="C7" s="255" t="s">
        <v>27</v>
      </c>
      <c r="D7" s="5"/>
      <c r="E7" s="12"/>
    </row>
    <row r="8" spans="2:39" s="1" customFormat="1" ht="12.75" customHeight="1">
      <c r="B8" s="2"/>
      <c r="C8" s="255"/>
      <c r="D8" s="5"/>
      <c r="E8" s="12"/>
    </row>
    <row r="9" spans="2:39" s="1" customFormat="1" ht="12.75" customHeight="1">
      <c r="B9" s="2"/>
      <c r="C9" s="255"/>
      <c r="D9" s="5"/>
      <c r="E9" s="12"/>
    </row>
    <row r="10" spans="2:39" s="1" customFormat="1" ht="12.75" customHeight="1">
      <c r="B10" s="2"/>
      <c r="C10" s="255"/>
      <c r="D10" s="5"/>
      <c r="E10" s="12"/>
    </row>
    <row r="11" spans="2:39" s="1" customFormat="1" ht="12.75" customHeight="1">
      <c r="B11" s="2"/>
      <c r="C11" s="47"/>
      <c r="D11" s="5"/>
      <c r="E11" s="9"/>
    </row>
    <row r="12" spans="2:39" s="1" customFormat="1" ht="12.75" customHeight="1">
      <c r="B12" s="2"/>
      <c r="C12" s="47"/>
      <c r="D12" s="5"/>
      <c r="E12" s="9"/>
    </row>
    <row r="13" spans="2:39" s="1" customFormat="1" ht="12.75" customHeight="1">
      <c r="B13" s="2"/>
      <c r="C13" s="4"/>
      <c r="D13" s="5"/>
      <c r="E13" s="9"/>
    </row>
    <row r="14" spans="2:39" s="1" customFormat="1" ht="12.75" customHeight="1">
      <c r="B14" s="2"/>
      <c r="C14" s="4"/>
      <c r="D14" s="5"/>
      <c r="E14" s="9"/>
    </row>
    <row r="15" spans="2:39" s="1" customFormat="1" ht="12.75" customHeight="1">
      <c r="B15" s="2"/>
      <c r="C15" s="4"/>
      <c r="D15" s="5"/>
      <c r="E15" s="9"/>
    </row>
    <row r="16" spans="2:39" s="72" customFormat="1" ht="12.75" customHeight="1">
      <c r="C16" s="73"/>
      <c r="D16" s="74"/>
      <c r="E16" s="75"/>
      <c r="AL16" s="1"/>
      <c r="AM16" s="1"/>
    </row>
    <row r="17" spans="2:39" s="1" customFormat="1" ht="12.75" customHeight="1">
      <c r="B17" s="2"/>
      <c r="C17" s="4"/>
      <c r="D17" s="5"/>
      <c r="E17" s="9"/>
    </row>
    <row r="18" spans="2:39" s="1" customFormat="1" ht="12.75" customHeight="1">
      <c r="B18" s="2"/>
      <c r="C18" s="4"/>
      <c r="D18" s="5"/>
      <c r="E18" s="9"/>
    </row>
    <row r="19" spans="2:39" s="1" customFormat="1" ht="12.75" customHeight="1">
      <c r="B19" s="2"/>
      <c r="C19" s="4"/>
      <c r="D19" s="5"/>
      <c r="E19" s="9"/>
      <c r="AL19" s="72"/>
      <c r="AM19" s="72"/>
    </row>
    <row r="20" spans="2:39" s="1" customFormat="1" ht="12.75" customHeight="1">
      <c r="B20" s="2"/>
      <c r="C20" s="4"/>
      <c r="D20" s="5"/>
      <c r="E20" s="9"/>
    </row>
    <row r="21" spans="2:39" s="1" customFormat="1" ht="12.75" customHeight="1">
      <c r="B21" s="2"/>
      <c r="C21" s="4"/>
      <c r="D21" s="5"/>
      <c r="E21" s="9"/>
    </row>
    <row r="22" spans="2:39">
      <c r="E22" s="13"/>
      <c r="AL22" s="1"/>
      <c r="AM22" s="1"/>
    </row>
    <row r="23" spans="2:39">
      <c r="E23" s="13"/>
      <c r="AL23" s="1"/>
      <c r="AM23" s="1"/>
    </row>
    <row r="24" spans="2:39">
      <c r="E24" s="13"/>
      <c r="AL24" s="1"/>
      <c r="AM24" s="1"/>
    </row>
    <row r="25" spans="2:39" ht="16.350000000000001" customHeight="1">
      <c r="E25" s="39"/>
    </row>
    <row r="27" spans="2:39">
      <c r="E27" s="149" t="s">
        <v>181</v>
      </c>
    </row>
    <row r="34" spans="6:6">
      <c r="F34" s="69"/>
    </row>
  </sheetData>
  <customSheetViews>
    <customSheetView guid="{900DFCB2-DCF9-11D6-8470-0008C7298EBA}" showGridLines="0" showRowCol="0" outlineSymbols="0" showRuler="0"/>
    <customSheetView guid="{900DFCB4-DCF9-11D6-8470-0008C7298EBA}" showGridLines="0" showRowCol="0" outlineSymbols="0" showRuler="0"/>
    <customSheetView guid="{900DFCB5-DCF9-11D6-8470-0008C7298EBA}" showGridLines="0" showRowCol="0" outlineSymbols="0" showRuler="0"/>
    <customSheetView guid="{900DFCB6-DCF9-11D6-8470-0008C7298EBA}" showGridLines="0" showRowCol="0" outlineSymbols="0" showRuler="0"/>
    <customSheetView guid="{900DFCB7-DCF9-11D6-8470-0008C7298EBA}" showGridLines="0" showRowCol="0" outlineSymbols="0" showRuler="0"/>
    <customSheetView guid="{900DFCB8-DCF9-11D6-8470-0008C7298EBA}" showGridLines="0" showRowCol="0" outlineSymbols="0" showRuler="0"/>
    <customSheetView guid="{900DFCB9-DCF9-11D6-8470-0008C7298EBA}" showGridLines="0" showRowCol="0" outlineSymbols="0" showRuler="0"/>
    <customSheetView guid="{900DFCBA-DCF9-11D6-8470-0008C7298EBA}" showGridLines="0" showRowCol="0" outlineSymbols="0" showRuler="0"/>
    <customSheetView guid="{900DFCBB-DCF9-11D6-8470-0008C7298EBA}" showGridLines="0" showRowCol="0" outlineSymbols="0" showRuler="0"/>
    <customSheetView guid="{900DFCBC-DCF9-11D6-8470-0008C7298EBA}" showGridLines="0" showRowCol="0" outlineSymbols="0" showRuler="0"/>
    <customSheetView guid="{900DFCBD-DCF9-11D6-8470-0008C7298EBA}" showGridLines="0" showRowCol="0" outlineSymbols="0" showRuler="0"/>
    <customSheetView guid="{900DFCBE-DCF9-11D6-8470-0008C7298EBA}" showGridLines="0" showRowCol="0" outlineSymbols="0" showRuler="0"/>
    <customSheetView guid="{900DFCBF-DCF9-11D6-8470-0008C7298EBA}" showGridLines="0" showRowCol="0" outlineSymbols="0" showRuler="0"/>
    <customSheetView guid="{900DFCC0-DCF9-11D6-8470-0008C7298EBA}" showGridLines="0" showRowCol="0" outlineSymbols="0" showRuler="0"/>
    <customSheetView guid="{900DFCC1-DCF9-11D6-8470-0008C7298EBA}" showGridLines="0" showRowCol="0" outlineSymbols="0" showRuler="0"/>
    <customSheetView guid="{900DFCC2-DCF9-11D6-8470-0008C7298EBA}" showGridLines="0" showRowCol="0" outlineSymbols="0" showRuler="0"/>
    <customSheetView guid="{900DFCC3-DCF9-11D6-8470-0008C7298EBA}" showGridLines="0" showRowCol="0" outlineSymbols="0" showRuler="0"/>
    <customSheetView guid="{900DFCC4-DCF9-11D6-8470-0008C7298EBA}" showGridLines="0" showRowCol="0" outlineSymbols="0" showRuler="0"/>
    <customSheetView guid="{900DFCC5-DCF9-11D6-8470-0008C7298EBA}" showGridLines="0" showRowCol="0" outlineSymbols="0" showRuler="0"/>
    <customSheetView guid="{900DFCC6-DCF9-11D6-8470-0008C7298EBA}" showGridLines="0" showRowCol="0" outlineSymbols="0" showRuler="0"/>
    <customSheetView guid="{900DFCC7-DCF9-11D6-8470-0008C7298EBA}" showGridLines="0" showRowCol="0" outlineSymbols="0" showRuler="0"/>
  </customSheetViews>
  <mergeCells count="1">
    <mergeCell ref="C7:C10"/>
  </mergeCells>
  <phoneticPr fontId="0" type="noConversion"/>
  <printOptions horizontalCentered="1" verticalCentered="1"/>
  <pageMargins left="0.78740157480314965" right="0.78740157480314965" top="0.78740157480314965" bottom="0.98425196850393704" header="0" footer="0"/>
  <pageSetup paperSize="9" orientation="landscape" verticalDpi="300" r:id="rId1"/>
  <headerFooter alignWithMargins="0">
    <oddFooter>&amp;R&amp;A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5">
    <pageSetUpPr autoPageBreaks="0"/>
  </sheetPr>
  <dimension ref="B1:K39"/>
  <sheetViews>
    <sheetView showGridLines="0" showRowColHeaders="0" topLeftCell="A2" workbookViewId="0">
      <selection activeCell="F24" sqref="F24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50.5703125" customWidth="1"/>
    <col min="6" max="6" width="18.5703125" style="7" customWidth="1"/>
    <col min="7" max="7" width="18.5703125" customWidth="1"/>
    <col min="8" max="9" width="9.42578125" customWidth="1"/>
    <col min="11" max="11" width="26.5703125" bestFit="1" customWidth="1"/>
    <col min="12" max="12" width="12.42578125" bestFit="1" customWidth="1"/>
    <col min="13" max="13" width="35.42578125" bestFit="1" customWidth="1"/>
    <col min="14" max="14" width="20.42578125" bestFit="1" customWidth="1"/>
    <col min="15" max="15" width="28.42578125" bestFit="1" customWidth="1"/>
    <col min="16" max="16" width="12.42578125" bestFit="1" customWidth="1"/>
    <col min="17" max="17" width="35.42578125" bestFit="1" customWidth="1"/>
    <col min="18" max="18" width="20.42578125" bestFit="1" customWidth="1"/>
  </cols>
  <sheetData>
    <row r="1" spans="2:11" ht="0.6" customHeight="1">
      <c r="F1"/>
    </row>
    <row r="2" spans="2:11" ht="21" customHeight="1">
      <c r="E2" s="256" t="s">
        <v>30</v>
      </c>
      <c r="F2" s="256"/>
      <c r="G2" s="256"/>
      <c r="H2" s="10"/>
      <c r="I2" s="10"/>
    </row>
    <row r="3" spans="2:11" ht="15" customHeight="1">
      <c r="E3" s="257" t="str">
        <f>Indice!E3</f>
        <v>Agosto 2026</v>
      </c>
      <c r="F3" s="257"/>
      <c r="G3" s="257"/>
      <c r="H3" s="11"/>
      <c r="I3" s="11"/>
    </row>
    <row r="4" spans="2:11" s="1" customFormat="1" ht="20.100000000000001" customHeight="1">
      <c r="C4" s="19" t="s">
        <v>29</v>
      </c>
    </row>
    <row r="5" spans="2:11" s="1" customFormat="1" ht="12.6" customHeight="1">
      <c r="B5" s="2"/>
      <c r="C5" s="3"/>
    </row>
    <row r="6" spans="2:11" s="1" customFormat="1" ht="13.35" customHeight="1">
      <c r="B6" s="2"/>
      <c r="C6" s="4"/>
      <c r="D6" s="5"/>
      <c r="E6" s="5"/>
      <c r="F6" s="71"/>
    </row>
    <row r="7" spans="2:11" s="57" customFormat="1" ht="15" customHeight="1">
      <c r="B7" s="54"/>
      <c r="C7" s="255" t="s">
        <v>51</v>
      </c>
      <c r="D7" s="55"/>
      <c r="E7" s="56"/>
      <c r="F7" s="70"/>
      <c r="G7" s="70"/>
      <c r="I7" s="147"/>
    </row>
    <row r="8" spans="2:11" s="57" customFormat="1" ht="15" customHeight="1">
      <c r="B8" s="54"/>
      <c r="C8" s="255"/>
      <c r="D8" s="55"/>
      <c r="E8" s="58"/>
      <c r="F8" s="59" t="str">
        <f>Dat_01!G97</f>
        <v>2025 Agosto</v>
      </c>
      <c r="G8" s="59" t="str">
        <f>Dat_01!C97</f>
        <v>2026 Agosto</v>
      </c>
      <c r="I8" s="147"/>
    </row>
    <row r="9" spans="2:11" s="1" customFormat="1" ht="15" customHeight="1">
      <c r="B9" s="2"/>
      <c r="C9" s="47"/>
      <c r="D9" s="5"/>
      <c r="E9" s="150" t="s">
        <v>151</v>
      </c>
      <c r="F9" s="151">
        <f>Dat_01!G98/1000000</f>
        <v>174.52491992075431</v>
      </c>
      <c r="G9" s="151">
        <f>Dat_01!C98/1000000</f>
        <v>283.15317047497439</v>
      </c>
      <c r="H9" s="57"/>
      <c r="I9" s="147"/>
      <c r="J9" s="57"/>
      <c r="K9" s="57"/>
    </row>
    <row r="10" spans="2:11" s="1" customFormat="1" ht="15" customHeight="1">
      <c r="B10" s="2"/>
      <c r="C10" s="255"/>
      <c r="D10" s="5"/>
      <c r="E10" s="150" t="s">
        <v>152</v>
      </c>
      <c r="F10" s="151">
        <f>Dat_01!G99/1000000</f>
        <v>63.572711109778673</v>
      </c>
      <c r="G10" s="151">
        <f>Dat_01!C99/1000000</f>
        <v>57.342392971269824</v>
      </c>
      <c r="H10" s="57"/>
      <c r="I10" s="147"/>
      <c r="J10" s="57"/>
      <c r="K10" s="57"/>
    </row>
    <row r="11" spans="2:11" s="1" customFormat="1" ht="15" customHeight="1">
      <c r="B11" s="2"/>
      <c r="C11" s="255"/>
      <c r="D11" s="5"/>
      <c r="E11" s="52" t="s">
        <v>39</v>
      </c>
      <c r="F11" s="152">
        <f>SUM(F9:F10)</f>
        <v>238.09763103053299</v>
      </c>
      <c r="G11" s="152">
        <f>SUM(G9:G10)</f>
        <v>340.4955634462442</v>
      </c>
      <c r="H11" s="57"/>
      <c r="I11" s="147"/>
      <c r="J11" s="57"/>
      <c r="K11" s="57"/>
    </row>
    <row r="12" spans="2:11" s="1" customFormat="1" ht="15" customHeight="1">
      <c r="B12" s="2"/>
      <c r="C12" s="255"/>
      <c r="D12" s="5"/>
      <c r="E12" s="52" t="s">
        <v>262</v>
      </c>
      <c r="F12" s="152">
        <f>Dat_01!G100/1000000</f>
        <v>64.300801850786456</v>
      </c>
      <c r="G12" s="152">
        <f>Dat_01!C100/1000000</f>
        <v>72.79244784126405</v>
      </c>
      <c r="H12" s="57"/>
      <c r="I12" s="147"/>
      <c r="J12" s="57"/>
      <c r="K12" s="57"/>
    </row>
    <row r="13" spans="2:11" s="1" customFormat="1" ht="15" customHeight="1">
      <c r="B13" s="2"/>
      <c r="C13" s="4"/>
      <c r="D13" s="5"/>
      <c r="E13" s="52" t="s">
        <v>15</v>
      </c>
      <c r="F13" s="152">
        <f>IF(Dat_01!G103="-",0,Dat_01!G103/1000000)</f>
        <v>9.4546194493120783</v>
      </c>
      <c r="G13" s="152">
        <f>Dat_01!C103/1000000</f>
        <v>15.304612071292608</v>
      </c>
      <c r="H13" s="57"/>
      <c r="I13" s="147"/>
      <c r="J13" s="57"/>
      <c r="K13" s="57"/>
    </row>
    <row r="14" spans="2:11" s="1" customFormat="1" ht="15" customHeight="1">
      <c r="B14" s="2"/>
      <c r="C14" s="4"/>
      <c r="D14" s="5"/>
      <c r="E14" s="52" t="s">
        <v>146</v>
      </c>
      <c r="F14" s="152">
        <f>(SUM(Dat_01!G101:G102)+SUM(Dat_01!G104:G105)+IF(Dat_01!G107="-",0,Dat_01!G107))/1000000</f>
        <v>-35.653040149657329</v>
      </c>
      <c r="G14" s="152">
        <f>(SUM(Dat_01!C101:C102)+SUM(Dat_01!C104:C105)+IF(Dat_01!C107="-",0,Dat_01!C107))/1000000</f>
        <v>-50.496510285649883</v>
      </c>
      <c r="H14" s="57"/>
      <c r="I14" s="147"/>
      <c r="J14" s="57"/>
      <c r="K14" s="57"/>
    </row>
    <row r="15" spans="2:11" s="1" customFormat="1" ht="15" customHeight="1">
      <c r="B15" s="2"/>
      <c r="C15" s="4"/>
      <c r="D15" s="5"/>
      <c r="E15" s="52" t="s">
        <v>40</v>
      </c>
      <c r="F15" s="153">
        <f>IF(Dat_01!G106="-","-",Dat_01!G106/1000000)</f>
        <v>-1.9350371804115645</v>
      </c>
      <c r="G15" s="153">
        <f>IF(Dat_01!C106="-","-",Dat_01!C106/1000000)</f>
        <v>-0.2671718928696678</v>
      </c>
      <c r="H15" s="57"/>
      <c r="I15" s="147"/>
      <c r="J15" s="57"/>
      <c r="K15" s="57"/>
    </row>
    <row r="16" spans="2:11" s="1" customFormat="1" ht="15" customHeight="1">
      <c r="B16" s="2"/>
      <c r="C16" s="4"/>
      <c r="D16" s="5"/>
      <c r="E16" s="53" t="s">
        <v>147</v>
      </c>
      <c r="F16" s="154">
        <f>SUM(F11:F15)</f>
        <v>274.26497500056263</v>
      </c>
      <c r="G16" s="154">
        <f>SUM(G11:G15)</f>
        <v>377.82894118028128</v>
      </c>
      <c r="I16" s="92"/>
    </row>
    <row r="17" spans="2:10" s="1" customFormat="1" ht="15" customHeight="1">
      <c r="B17" s="2"/>
      <c r="C17" s="4"/>
      <c r="D17" s="4"/>
      <c r="E17" s="60" t="str">
        <f>"∆"&amp;MID(G8,1,4)&amp;"/"&amp;MID(F8,1,4)</f>
        <v>∆2026/2025</v>
      </c>
      <c r="F17" s="146"/>
      <c r="G17" s="61">
        <f>(G16-F16)/F16</f>
        <v>0.37760551152952065</v>
      </c>
      <c r="I17" s="4"/>
      <c r="J17" s="4"/>
    </row>
    <row r="18" spans="2:10" s="1" customFormat="1" ht="12.75" customHeight="1">
      <c r="B18" s="2"/>
      <c r="C18" s="4"/>
      <c r="D18" s="5"/>
      <c r="H18" s="51"/>
      <c r="I18" s="51"/>
    </row>
    <row r="19" spans="2:10" s="1" customFormat="1" ht="12.75" customHeight="1">
      <c r="B19" s="2"/>
      <c r="C19" s="4"/>
      <c r="D19" s="4"/>
      <c r="E19" s="258" t="s">
        <v>194</v>
      </c>
      <c r="F19" s="258"/>
      <c r="G19" s="258"/>
    </row>
    <row r="20" spans="2:10" s="1" customFormat="1" ht="12.75" customHeight="1">
      <c r="B20" s="2"/>
      <c r="C20" s="4"/>
      <c r="D20" s="4"/>
      <c r="E20" s="258"/>
      <c r="F20" s="258"/>
      <c r="G20" s="258"/>
    </row>
    <row r="24" spans="2:10" ht="16.350000000000001" customHeight="1"/>
    <row r="37" ht="9.75" customHeight="1"/>
    <row r="38" ht="12.75" hidden="1" customHeight="1"/>
    <row r="39" ht="12.75" hidden="1" customHeight="1"/>
  </sheetData>
  <mergeCells count="5">
    <mergeCell ref="E2:G2"/>
    <mergeCell ref="E3:G3"/>
    <mergeCell ref="C7:C8"/>
    <mergeCell ref="C10:C12"/>
    <mergeCell ref="E19:G20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300" r:id="rId1"/>
  <headerFooter alignWithMargins="0">
    <oddFooter>&amp;R&amp;A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>
    <pageSetUpPr autoPageBreaks="0"/>
  </sheetPr>
  <dimension ref="B1:I27"/>
  <sheetViews>
    <sheetView showGridLines="0" showRowColHeaders="0" topLeftCell="A2" zoomScaleNormal="100" workbookViewId="0">
      <selection activeCell="E39" sqref="E39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6" max="6" width="11.42578125" style="7" customWidth="1"/>
    <col min="7" max="7" width="28.42578125" customWidth="1"/>
    <col min="8" max="9" width="9.42578125" customWidth="1"/>
  </cols>
  <sheetData>
    <row r="1" spans="2:9" ht="0.6" customHeight="1">
      <c r="F1"/>
    </row>
    <row r="2" spans="2:9" ht="21" customHeight="1">
      <c r="E2" s="17" t="s">
        <v>30</v>
      </c>
      <c r="F2" s="10"/>
      <c r="G2" s="10"/>
      <c r="H2" s="10"/>
      <c r="I2" s="10"/>
    </row>
    <row r="3" spans="2:9" ht="15" customHeight="1">
      <c r="E3" s="18" t="str">
        <f>Indice!E3</f>
        <v>Agosto 2026</v>
      </c>
      <c r="F3" s="11"/>
      <c r="G3" s="11"/>
      <c r="H3" s="11"/>
      <c r="I3" s="11"/>
    </row>
    <row r="4" spans="2:9" s="1" customFormat="1" ht="20.100000000000001" customHeight="1">
      <c r="C4" s="19" t="s">
        <v>29</v>
      </c>
    </row>
    <row r="5" spans="2:9" s="1" customFormat="1" ht="12.6" customHeight="1">
      <c r="B5" s="2"/>
      <c r="C5" s="3"/>
    </row>
    <row r="6" spans="2:9" s="1" customFormat="1" ht="13.35" customHeight="1">
      <c r="B6" s="2"/>
      <c r="C6" s="4"/>
      <c r="D6" s="5"/>
      <c r="E6" s="5"/>
    </row>
    <row r="7" spans="2:9" s="1" customFormat="1" ht="12.75" customHeight="1">
      <c r="B7" s="2"/>
      <c r="C7" s="255" t="s">
        <v>169</v>
      </c>
      <c r="D7" s="5"/>
      <c r="E7" s="12"/>
    </row>
    <row r="8" spans="2:9" s="1" customFormat="1" ht="12.75" customHeight="1">
      <c r="B8" s="2"/>
      <c r="C8" s="255"/>
      <c r="D8" s="5"/>
      <c r="E8" s="12"/>
    </row>
    <row r="9" spans="2:9" s="1" customFormat="1" ht="12.75" customHeight="1">
      <c r="B9" s="2"/>
      <c r="C9" s="255"/>
      <c r="D9" s="5"/>
      <c r="E9" s="12"/>
    </row>
    <row r="10" spans="2:9" s="1" customFormat="1" ht="12.75" customHeight="1">
      <c r="B10" s="2"/>
      <c r="C10" s="47" t="s">
        <v>41</v>
      </c>
      <c r="D10" s="5"/>
      <c r="E10" s="12"/>
    </row>
    <row r="11" spans="2:9" s="1" customFormat="1" ht="12.75" customHeight="1">
      <c r="B11" s="2"/>
      <c r="C11" s="47"/>
      <c r="D11" s="5"/>
      <c r="E11" s="9"/>
    </row>
    <row r="12" spans="2:9" s="1" customFormat="1" ht="12.75" customHeight="1">
      <c r="B12" s="2"/>
      <c r="C12" s="47"/>
      <c r="D12" s="5"/>
      <c r="E12" s="9"/>
    </row>
    <row r="13" spans="2:9" s="1" customFormat="1" ht="12.75" customHeight="1">
      <c r="B13" s="2"/>
      <c r="C13" s="4"/>
      <c r="D13" s="5"/>
      <c r="E13" s="9"/>
    </row>
    <row r="14" spans="2:9" s="1" customFormat="1" ht="12.75" customHeight="1">
      <c r="B14" s="2"/>
      <c r="C14" s="4"/>
      <c r="D14" s="5"/>
      <c r="E14" s="9"/>
    </row>
    <row r="15" spans="2:9" s="1" customFormat="1" ht="12.75" customHeight="1">
      <c r="B15" s="2"/>
      <c r="C15" s="4"/>
      <c r="D15" s="5"/>
      <c r="E15" s="9"/>
    </row>
    <row r="16" spans="2:9" s="1" customFormat="1" ht="12.75" customHeight="1">
      <c r="B16" s="2"/>
      <c r="C16" s="4"/>
      <c r="D16" s="5"/>
      <c r="E16" s="9"/>
    </row>
    <row r="17" spans="2:9" s="1" customFormat="1" ht="12.75" customHeight="1">
      <c r="B17" s="2"/>
      <c r="C17" s="4"/>
      <c r="D17" s="5"/>
      <c r="E17" s="9"/>
    </row>
    <row r="18" spans="2:9" s="1" customFormat="1" ht="12.75" customHeight="1">
      <c r="B18" s="2"/>
      <c r="C18" s="4"/>
      <c r="D18" s="5"/>
      <c r="E18" s="9"/>
      <c r="H18" s="51"/>
      <c r="I18" s="51"/>
    </row>
    <row r="19" spans="2:9" s="1" customFormat="1" ht="12.75" customHeight="1">
      <c r="B19" s="2"/>
      <c r="C19" s="4"/>
      <c r="D19" s="5"/>
      <c r="E19" s="9"/>
      <c r="H19" s="51"/>
      <c r="I19" s="51"/>
    </row>
    <row r="20" spans="2:9" s="1" customFormat="1" ht="12.75" customHeight="1">
      <c r="B20" s="2"/>
      <c r="C20" s="4"/>
      <c r="D20" s="5"/>
      <c r="E20" s="9"/>
    </row>
    <row r="21" spans="2:9" s="1" customFormat="1" ht="12.75" customHeight="1">
      <c r="B21" s="2"/>
      <c r="C21" s="4"/>
      <c r="D21" s="5"/>
      <c r="E21" s="9"/>
    </row>
    <row r="22" spans="2:9">
      <c r="E22" s="13"/>
    </row>
    <row r="23" spans="2:9">
      <c r="E23" s="13"/>
    </row>
    <row r="24" spans="2:9">
      <c r="E24" s="13"/>
    </row>
    <row r="25" spans="2:9" ht="16.350000000000001" customHeight="1">
      <c r="E25" s="39"/>
    </row>
    <row r="27" spans="2:9">
      <c r="E27" s="149" t="s">
        <v>161</v>
      </c>
    </row>
  </sheetData>
  <mergeCells count="1">
    <mergeCell ref="C7:C9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300" r:id="rId1"/>
  <headerFooter alignWithMargins="0">
    <oddFooter>&amp;R&amp;A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Indice</vt:lpstr>
      <vt:lpstr>M1</vt:lpstr>
      <vt:lpstr>M2</vt:lpstr>
      <vt:lpstr>M3</vt:lpstr>
      <vt:lpstr>M4</vt:lpstr>
      <vt:lpstr>M5</vt:lpstr>
      <vt:lpstr>M6</vt:lpstr>
      <vt:lpstr>M7</vt:lpstr>
      <vt:lpstr>M8</vt:lpstr>
      <vt:lpstr>M9</vt:lpstr>
      <vt:lpstr>M10</vt:lpstr>
      <vt:lpstr>M11</vt:lpstr>
      <vt:lpstr>M12</vt:lpstr>
      <vt:lpstr>M13</vt:lpstr>
      <vt:lpstr>M14</vt:lpstr>
      <vt:lpstr>Dat_01</vt:lpstr>
      <vt:lpstr>Dat_02</vt:lpstr>
    </vt:vector>
  </TitlesOfParts>
  <Company>Red Eléctrica de España,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Operación del Sistema Eléctrico. Informe 1998 (4)</dc:title>
  <dc:creator>FUEPERRO</dc:creator>
  <cp:lastModifiedBy>De La Fuente Perez, Roberto</cp:lastModifiedBy>
  <cp:lastPrinted>2024-05-20T10:15:27Z</cp:lastPrinted>
  <dcterms:created xsi:type="dcterms:W3CDTF">1999-07-09T11:45:32Z</dcterms:created>
  <dcterms:modified xsi:type="dcterms:W3CDTF">2026-09-14T17:58:20Z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06 Mercados.xlsm</vt:lpwstr>
  </property>
</Properties>
</file>