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codeName="ThisWorkbook"/>
  <mc:AlternateContent xmlns:mc="http://schemas.openxmlformats.org/markup-compatibility/2006">
    <mc:Choice Requires="x15">
      <x15ac:absPath xmlns:x15ac="http://schemas.microsoft.com/office/spreadsheetml/2010/11/ac" url="Z:\Departamento\Gestión de la Información\Publicaciones e Informes\Mensual\Boletín&amp;Consejo\BOLETIN ELECTRONICO\2026\ABR\INF_ELABORADA\"/>
    </mc:Choice>
  </mc:AlternateContent>
  <xr:revisionPtr revIDLastSave="0" documentId="13_ncr:1_{CEAC527C-38D1-4875-BACE-A00A3E152DFC}" xr6:coauthVersionLast="47" xr6:coauthVersionMax="47" xr10:uidLastSave="{00000000-0000-0000-0000-000000000000}"/>
  <bookViews>
    <workbookView xWindow="-120" yWindow="-120" windowWidth="29040" windowHeight="15720" tabRatio="847" firstSheet="1" activeTab="16"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s>
  <definedNames>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s>
  <calcPr calcId="191029"/>
  <customWorkbookViews>
    <customWorkbookView name="C33_V" guid="{900DFCC7-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8_V" guid="{900DFCB9-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5_V" guid="{900DFCB7-DCF9-11D6-8470-0008C7298EBA}" includePrintSettings="0" includeHiddenRowCol="0" maximized="1" showSheetTabs="0" windowWidth="794" windowHeight="457" tabRatio="905" activeSheetId="62755" showStatusbar="0"/>
    <customWorkbookView name="C4_V" guid="{900DFCB6-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3_V" guid="{900DFCB4-DCF9-11D6-8470-0008C7298EBA}" includePrintSettings="0" includeHiddenRowCol="0" maximized="1" showSheetTabs="0" windowWidth="794" windowHeight="457" tabRatio="905" activeSheetId="62755" showStatusbar="0"/>
    <customWorkbookView name="C1_V" guid="{900DFCB2-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4" i="96" l="1"/>
  <c r="L71" i="96" l="1"/>
  <c r="N394" i="96" l="1"/>
  <c r="M394" i="96"/>
  <c r="L394" i="96"/>
  <c r="K394" i="96"/>
  <c r="J394" i="96"/>
  <c r="I394" i="96"/>
  <c r="H394" i="96"/>
  <c r="G394" i="96"/>
  <c r="F394" i="96"/>
  <c r="E394" i="96"/>
  <c r="D394" i="96"/>
  <c r="C394" i="96"/>
  <c r="B394" i="96"/>
  <c r="N317" i="96"/>
  <c r="M317" i="96"/>
  <c r="L317" i="96"/>
  <c r="K317" i="96"/>
  <c r="J317" i="96"/>
  <c r="I317" i="96"/>
  <c r="H317" i="96"/>
  <c r="G317" i="96"/>
  <c r="F317" i="96"/>
  <c r="E317" i="96"/>
  <c r="D317" i="96"/>
  <c r="C317" i="96"/>
  <c r="B317" i="96"/>
  <c r="O130" i="96"/>
  <c r="P64" i="96" l="1"/>
  <c r="G100" i="96" l="1"/>
  <c r="C100" i="96"/>
  <c r="C185" i="96"/>
  <c r="D185" i="96"/>
  <c r="E185" i="96"/>
  <c r="F185" i="96"/>
  <c r="G185" i="96"/>
  <c r="H185" i="96"/>
  <c r="I185" i="96"/>
  <c r="J185" i="96"/>
  <c r="K185" i="96"/>
  <c r="L185" i="96"/>
  <c r="M185" i="96"/>
  <c r="N185" i="96"/>
  <c r="B185" i="96"/>
  <c r="C101" i="96" l="1"/>
  <c r="A114" i="96"/>
  <c r="G101" i="96"/>
  <c r="C84" i="96"/>
  <c r="D84" i="96"/>
  <c r="E84" i="96"/>
  <c r="F84" i="96"/>
  <c r="G84" i="96"/>
  <c r="H84" i="96"/>
  <c r="I84" i="96"/>
  <c r="J84" i="96"/>
  <c r="K84" i="96"/>
  <c r="L84" i="96"/>
  <c r="M84" i="96"/>
  <c r="N84" i="96"/>
  <c r="N89" i="96"/>
  <c r="M89" i="96"/>
  <c r="L89" i="96"/>
  <c r="K89" i="96"/>
  <c r="J89" i="96"/>
  <c r="I89" i="96"/>
  <c r="H89" i="96"/>
  <c r="G89" i="96"/>
  <c r="F89" i="96"/>
  <c r="E89" i="96"/>
  <c r="D89" i="96"/>
  <c r="C89" i="96"/>
  <c r="B89" i="96"/>
  <c r="B84" i="96"/>
  <c r="P354" i="96" l="1"/>
  <c r="P371" i="96"/>
  <c r="J81" i="96" l="1"/>
  <c r="K130" i="96"/>
  <c r="P216" i="96"/>
  <c r="AN8" i="96" l="1"/>
  <c r="M87" i="96" l="1"/>
  <c r="M86" i="96"/>
  <c r="M82" i="96"/>
  <c r="N74" i="96" l="1"/>
  <c r="AN38" i="96" l="1"/>
  <c r="AN9" i="96"/>
  <c r="AN10" i="96"/>
  <c r="AN11" i="96"/>
  <c r="AN12" i="96"/>
  <c r="AN13" i="96"/>
  <c r="AN14" i="96"/>
  <c r="AN15" i="96"/>
  <c r="AN16" i="96"/>
  <c r="AN17" i="96"/>
  <c r="AN18" i="96"/>
  <c r="AN19" i="96"/>
  <c r="AN20" i="96"/>
  <c r="AN21" i="96"/>
  <c r="AN22" i="96"/>
  <c r="AN23" i="96"/>
  <c r="AN24" i="96"/>
  <c r="AN25" i="96"/>
  <c r="AN26" i="96"/>
  <c r="AN27" i="96"/>
  <c r="AN28" i="96"/>
  <c r="AN29" i="96"/>
  <c r="AN30" i="96"/>
  <c r="AN31" i="96"/>
  <c r="AN32" i="96"/>
  <c r="AN33" i="96"/>
  <c r="AN34" i="96"/>
  <c r="AN35" i="96"/>
  <c r="AN36" i="96"/>
  <c r="AN37" i="96"/>
  <c r="Q371" i="96" l="1"/>
  <c r="P169" i="96" l="1"/>
  <c r="P151" i="96"/>
  <c r="C107" i="96" l="1"/>
  <c r="I465" i="96"/>
  <c r="F465" i="96"/>
  <c r="C465" i="96"/>
  <c r="B465" i="96"/>
  <c r="C105" i="96"/>
  <c r="C104" i="96"/>
  <c r="C103" i="96"/>
  <c r="C102" i="96"/>
  <c r="C99" i="96"/>
  <c r="C98" i="96"/>
  <c r="H94" i="96"/>
  <c r="H95" i="96" s="1"/>
  <c r="F94" i="96"/>
  <c r="E94" i="96"/>
  <c r="C94" i="96"/>
  <c r="B94" i="96"/>
  <c r="N90" i="96"/>
  <c r="N88" i="96"/>
  <c r="N87" i="96"/>
  <c r="N86" i="96"/>
  <c r="N85" i="96"/>
  <c r="N83" i="96"/>
  <c r="N82" i="96"/>
  <c r="A115" i="96"/>
  <c r="C106" i="96" l="1"/>
  <c r="G106" i="96"/>
  <c r="I464" i="96"/>
  <c r="F464" i="96"/>
  <c r="C464" i="96"/>
  <c r="B464" i="96"/>
  <c r="B463" i="96"/>
  <c r="B453" i="96"/>
  <c r="M90" i="96" l="1"/>
  <c r="M88" i="96"/>
  <c r="M85" i="96"/>
  <c r="M83" i="96"/>
  <c r="N91" i="96" l="1"/>
  <c r="P419" i="96" l="1"/>
  <c r="P418" i="96"/>
  <c r="P417" i="96"/>
  <c r="P415" i="96"/>
  <c r="P414" i="96"/>
  <c r="P413" i="96"/>
  <c r="P412" i="96"/>
  <c r="P405" i="96" l="1"/>
  <c r="P404" i="96"/>
  <c r="P403" i="96"/>
  <c r="P402" i="96"/>
  <c r="N389" i="96"/>
  <c r="M389" i="96"/>
  <c r="L389" i="96"/>
  <c r="K389" i="96"/>
  <c r="J389" i="96"/>
  <c r="I389" i="96"/>
  <c r="H389" i="96"/>
  <c r="G389" i="96"/>
  <c r="F389" i="96"/>
  <c r="E389" i="96"/>
  <c r="D389" i="96"/>
  <c r="C389" i="96"/>
  <c r="B389" i="96"/>
  <c r="C126" i="96"/>
  <c r="B126" i="96"/>
  <c r="K94" i="96" l="1"/>
  <c r="G107" i="96" l="1"/>
  <c r="G105" i="96"/>
  <c r="G104" i="96"/>
  <c r="G103" i="96"/>
  <c r="G102"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E453" i="96" l="1"/>
  <c r="O90" i="96"/>
  <c r="P90" i="96" s="1"/>
  <c r="J94" i="96"/>
  <c r="J95" i="96" s="1"/>
  <c r="I94" i="96"/>
  <c r="I95" i="96" s="1"/>
  <c r="H121" i="96" l="1"/>
  <c r="C81" i="96"/>
  <c r="D81" i="96"/>
  <c r="E81" i="96"/>
  <c r="F81" i="96"/>
  <c r="G81" i="96"/>
  <c r="H81" i="96"/>
  <c r="I81" i="96"/>
  <c r="K81" i="96"/>
  <c r="L81" i="96"/>
  <c r="B81" i="96"/>
  <c r="A2" i="96" l="1"/>
  <c r="F95" i="96" l="1"/>
  <c r="G458" i="96"/>
  <c r="G457" i="96"/>
  <c r="G456" i="96"/>
  <c r="G459" i="96"/>
  <c r="G460" i="96"/>
  <c r="G461" i="96"/>
  <c r="G462" i="96"/>
  <c r="G463" i="96"/>
  <c r="G455" i="96"/>
  <c r="G454" i="96"/>
  <c r="I453" i="96"/>
  <c r="G453" i="96"/>
  <c r="F453" i="96"/>
  <c r="C453" i="96"/>
  <c r="F463" i="96"/>
  <c r="C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F454" i="96"/>
  <c r="C454" i="96"/>
  <c r="B454" i="96"/>
  <c r="E464" i="96"/>
  <c r="E463" i="96"/>
  <c r="E462" i="96"/>
  <c r="E461" i="96"/>
  <c r="E460" i="96"/>
  <c r="E459" i="96"/>
  <c r="E458" i="96"/>
  <c r="E457" i="96"/>
  <c r="E456" i="96"/>
  <c r="E455" i="96"/>
  <c r="E454" i="96"/>
  <c r="E465" i="96" l="1"/>
  <c r="G94" i="96" s="1"/>
  <c r="G95" i="96" s="1"/>
  <c r="G14" i="76"/>
  <c r="F14" i="76"/>
  <c r="AM8" i="96" l="1"/>
  <c r="Q297" i="96"/>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5" i="96"/>
  <c r="N335" i="96"/>
  <c r="M335" i="96"/>
  <c r="L335" i="96"/>
  <c r="K335" i="96"/>
  <c r="J335" i="96"/>
  <c r="I335" i="96"/>
  <c r="H335" i="96"/>
  <c r="G335" i="96"/>
  <c r="F335" i="96"/>
  <c r="E335" i="96"/>
  <c r="D335" i="96"/>
  <c r="C335" i="96"/>
  <c r="C125" i="96"/>
  <c r="B125" i="96"/>
  <c r="N312" i="96"/>
  <c r="M312" i="96"/>
  <c r="L312" i="96"/>
  <c r="K312" i="96"/>
  <c r="J312" i="96"/>
  <c r="I312" i="96"/>
  <c r="H312" i="96"/>
  <c r="G312" i="96"/>
  <c r="F312" i="96"/>
  <c r="E312" i="96"/>
  <c r="D312" i="96"/>
  <c r="C312" i="96"/>
  <c r="B312" i="96"/>
  <c r="O256" i="96"/>
  <c r="N256" i="96"/>
  <c r="M256" i="96"/>
  <c r="L256" i="96"/>
  <c r="K256" i="96"/>
  <c r="J256" i="96"/>
  <c r="I256" i="96"/>
  <c r="H256" i="96"/>
  <c r="G256" i="96"/>
  <c r="F256" i="96"/>
  <c r="E256" i="96"/>
  <c r="D256" i="96"/>
  <c r="C256" i="96"/>
  <c r="O194" i="96"/>
  <c r="N194" i="96"/>
  <c r="M194" i="96"/>
  <c r="L194" i="96"/>
  <c r="K194" i="96"/>
  <c r="J194" i="96"/>
  <c r="I194" i="96"/>
  <c r="H194" i="96"/>
  <c r="G194" i="96"/>
  <c r="F194" i="96"/>
  <c r="E194" i="96"/>
  <c r="D194" i="96"/>
  <c r="C194" i="96"/>
  <c r="P297" i="96" l="1"/>
  <c r="P278" i="96"/>
  <c r="Q235" i="96"/>
  <c r="P235" i="96"/>
  <c r="AI8" i="96" l="1"/>
  <c r="I121" i="96"/>
  <c r="F8" i="76" l="1"/>
  <c r="C97" i="96"/>
  <c r="G8" i="76" s="1"/>
  <c r="H122" i="96" l="1"/>
  <c r="I122" i="96" l="1"/>
  <c r="D130" i="96"/>
  <c r="E130" i="96"/>
  <c r="F130" i="96"/>
  <c r="G130" i="96"/>
  <c r="H130" i="96"/>
  <c r="I130" i="96"/>
  <c r="J130" i="96"/>
  <c r="L130" i="96"/>
  <c r="M130" i="96"/>
  <c r="N130" i="96"/>
  <c r="C130" i="96"/>
  <c r="G9" i="76"/>
  <c r="F15" i="76"/>
  <c r="G15" i="76"/>
  <c r="G13" i="76"/>
  <c r="F12" i="76"/>
  <c r="G12" i="76"/>
  <c r="F10" i="76"/>
  <c r="G10" i="76"/>
  <c r="F9" i="76"/>
  <c r="A453" i="96" l="1"/>
  <c r="J453" i="96" s="1"/>
  <c r="A454" i="96"/>
  <c r="J454" i="96" s="1"/>
  <c r="I454" i="96"/>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D456" i="96" l="1"/>
  <c r="D457" i="96"/>
  <c r="D453" i="96"/>
  <c r="D455" i="96"/>
  <c r="D459" i="96"/>
  <c r="D462" i="96"/>
  <c r="D454" i="96"/>
  <c r="D464" i="96"/>
  <c r="D461" i="96"/>
  <c r="D460" i="96"/>
  <c r="D463" i="96"/>
  <c r="D458" i="96"/>
  <c r="F11" i="76" l="1"/>
  <c r="F16" i="76" s="1"/>
  <c r="G11" i="76" l="1"/>
  <c r="G16" i="76" s="1"/>
  <c r="G17" i="76" s="1"/>
  <c r="D124" i="96" l="1"/>
  <c r="D123" i="96"/>
  <c r="D121" i="96"/>
  <c r="E17" i="76" l="1"/>
  <c r="E95" i="96" l="1"/>
  <c r="A465" i="96"/>
  <c r="J465" i="96" s="1"/>
  <c r="D94" i="96" l="1"/>
  <c r="H453" i="96"/>
  <c r="H463" i="96"/>
  <c r="H455" i="96"/>
  <c r="H456" i="96"/>
  <c r="H464" i="96"/>
  <c r="H457" i="96"/>
  <c r="H458" i="96"/>
  <c r="H459" i="96"/>
  <c r="H460" i="96"/>
  <c r="H461" i="96"/>
  <c r="H454" i="96"/>
  <c r="H462" i="96"/>
  <c r="D465" i="96"/>
  <c r="L94" i="96" l="1"/>
  <c r="D95" i="96"/>
  <c r="H465" i="96"/>
  <c r="K465" i="96" s="1"/>
  <c r="L465" i="96" l="1"/>
  <c r="M465" i="96"/>
  <c r="N465" i="96"/>
  <c r="E3" i="92"/>
  <c r="L2" i="85" l="1"/>
  <c r="H3" i="53"/>
  <c r="L2" i="86"/>
  <c r="L3" i="70"/>
  <c r="E3" i="10"/>
  <c r="L2" i="77"/>
  <c r="L2" i="87"/>
  <c r="L2" i="58"/>
  <c r="E3" i="71"/>
  <c r="E3" i="76"/>
  <c r="L2" i="83"/>
  <c r="L2" i="84"/>
  <c r="E3" i="3"/>
  <c r="E3"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tc={515A7600-B470-428E-AF68-440336CB3E64}</author>
  </authors>
  <commentList>
    <comment ref="J43" authorId="0" shapeId="0" xr:uid="{515A7600-B470-428E-AF68-440336CB3E64}">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Actualizar diciembre</t>
      </text>
    </comment>
  </commentList>
</comments>
</file>

<file path=xl/sharedStrings.xml><?xml version="1.0" encoding="utf-8"?>
<sst xmlns="http://schemas.openxmlformats.org/spreadsheetml/2006/main" count="810" uniqueCount="292">
  <si>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</si>
  <si>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</si>
  <si>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</si>
  <si>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</si>
  <si>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</si>
  <si>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</si>
  <si>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</si>
  <si>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</si>
  <si>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</si>
  <si>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</si>
  <si>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</si>
  <si>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</si>
  <si>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</si>
  <si>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</si>
  <si>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</si>
  <si>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</si>
  <si>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</si>
  <si>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</si>
  <si>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</si>
  <si>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</si>
  <si>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</si>
  <si>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</si>
  <si>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</si>
  <si>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</si>
  <si>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</si>
  <si>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</si>
  <si>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</si>
  <si>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</si>
  <si>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</si>
  <si>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</si>
  <si>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</si>
  <si>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</si>
  <si>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</si>
  <si>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</si>
  <si>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</si>
  <si>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</si>
  <si>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</si>
  <si>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</si>
  <si>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</si>
  <si>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</si>
  <si>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</si>
  <si>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</si>
  <si>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</si>
  <si>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</si>
  <si>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</si>
  <si>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</si>
  <si>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</si>
  <si>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</si>
  <si>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</si>
  <si>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</si>
  <si>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</si>
  <si>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</si>
  <si>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</si>
  <si>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</si>
  <si>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</si>
  <si>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</si>
  <si>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</si>
  <si>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</si>
  <si>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</si>
  <si>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</si>
  <si>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</si>
  <si>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</si>
  <si>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</si>
  <si>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</si>
  <si>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</si>
  <si>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</si>
  <si>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</si>
  <si>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</si>
  <si>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</si>
  <si>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</si>
  <si>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</si>
  <si>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</si>
  <si>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</si>
  <si>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</si>
  <si>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</si>
  <si>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</si>
  <si>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</si>
  <si>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</si>
  <si>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</si>
  <si>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</si>
  <si>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</si>
  <si>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</si>
  <si>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</si>
  <si>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</si>
  <si>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</si>
  <si>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</si>
  <si>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</si>
  <si>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</si>
  <si>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</si>
  <si>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</si>
  <si>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</si>
  <si>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</si>
  <si>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</si>
  <si>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</si>
  <si>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</si>
  <si>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</si>
  <si>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</si>
  <si>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</si>
  <si>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</si>
  <si>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</si>
  <si>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</si>
  <si>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</si>
  <si>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</si>
  <si>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</si>
  <si>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</si>
  <si>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</si>
  <si>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</si>
  <si>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</si>
  <si>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</si>
  <si>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</si>
  <si>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</si>
  <si>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</si>
  <si>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</si>
  <si>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</si>
  <si>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</si>
  <si>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</si>
  <si>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</si>
  <si>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</si>
  <si>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</si>
  <si>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</si>
  <si>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</si>
  <si>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</si>
  <si>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</si>
  <si>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Fecha</t>
  </si>
  <si>
    <t>Coste de los servicios de ajuste (€)</t>
  </si>
  <si>
    <t>SegDiario</t>
  </si>
  <si>
    <t>Banda 2ª</t>
  </si>
  <si>
    <t>Asign 2ª</t>
  </si>
  <si>
    <t>Terciaria</t>
  </si>
  <si>
    <t>T Real</t>
  </si>
  <si>
    <t>(MW y €/MW)</t>
  </si>
  <si>
    <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</si>
  <si>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</si>
  <si>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</si>
  <si>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</si>
  <si>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</si>
  <si>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</si>
  <si>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</si>
  <si>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</si>
  <si>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</si>
  <si>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</si>
  <si>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</si>
  <si>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</si>
  <si>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</si>
  <si>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</si>
  <si>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</si>
  <si>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</si>
  <si>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</si>
  <si>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</si>
  <si>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</si>
  <si>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</si>
  <si>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</si>
  <si>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</si>
  <si>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</si>
  <si>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</si>
  <si>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</si>
  <si>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</si>
  <si>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</si>
  <si>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</si>
  <si>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</si>
  <si>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</si>
  <si>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</si>
  <si>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</si>
  <si>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</si>
  <si>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</si>
  <si>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</si>
  <si>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</si>
  <si>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</si>
  <si>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</si>
  <si>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</si>
  <si>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</si>
  <si>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</si>
  <si>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</si>
  <si>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</si>
  <si>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</si>
  <si>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</si>
  <si>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</si>
  <si>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</si>
  <si>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</si>
  <si>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</si>
  <si>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</si>
  <si>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</si>
  <si>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</si>
  <si>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</si>
  <si>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</si>
  <si>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</si>
  <si>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</si>
  <si>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</si>
  <si>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</si>
  <si>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</si>
  <si>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</si>
  <si>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</si>
  <si>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</si>
  <si>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</si>
  <si>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</si>
  <si>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</si>
  <si>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</si>
  <si>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Coste a BRP servicio de respuesta activa</t>
  </si>
  <si>
    <t>Servicio de respuesta activa desvíos</t>
  </si>
  <si>
    <t>Fuentes: OMIE y RE.</t>
  </si>
  <si>
    <t>Energía de regulación secundaria evitada mediante la plataforma de neteo IGCC</t>
  </si>
  <si>
    <t>Servicio RAD e ingreso control de tensión</t>
  </si>
  <si>
    <t>(*) Incluye incumplimento de energía de balance, saldo de desvíos, desvíos entre sistemas, Servicio RAD (Respuesta Activa de la Demanda) e ingreso control de tensión</t>
  </si>
  <si>
    <t>Almacenamiento</t>
  </si>
  <si>
    <t>Hibridación</t>
  </si>
  <si>
    <t>Reserva de regulación secundaria</t>
  </si>
  <si>
    <t>Reserva de regulación</t>
  </si>
  <si>
    <t>Precio Medio Ponderado (€/MWh) según Medidas toda la energía</t>
  </si>
  <si>
    <t>%h con p=&lt;0</t>
  </si>
  <si>
    <t>%h con 0&lt;p=&lt;50</t>
  </si>
  <si>
    <t>%h con 50&lt;p=&lt;100</t>
  </si>
  <si>
    <t>%h con 100&lt;p=&lt;150</t>
  </si>
  <si>
    <t>%h con p&gt;150</t>
  </si>
  <si>
    <t>Mercado diario. Porcentaje de horas en que los precios han estado dentro de unos márgenes</t>
  </si>
  <si>
    <t>Mercado diario: rango de precios en el mercado diario</t>
  </si>
  <si>
    <t>Mercado diario: Número de horas con diferentes rango del precios  (%)</t>
  </si>
  <si>
    <t>2025 Abril</t>
  </si>
  <si>
    <t>ABR-25</t>
  </si>
  <si>
    <t>BANDA</t>
  </si>
  <si>
    <t>2025 Mayo</t>
  </si>
  <si>
    <t>MAY-25</t>
  </si>
  <si>
    <t>2025 Junio</t>
  </si>
  <si>
    <t>JUN-25</t>
  </si>
  <si>
    <t>2025 Julio</t>
  </si>
  <si>
    <t>JUL-25</t>
  </si>
  <si>
    <t>Turbina Vapor, Gas y Fuel</t>
  </si>
  <si>
    <t>2025 Agosto</t>
  </si>
  <si>
    <t>AGO-25</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</si>
  <si>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dvis=""&gt;&lt;ci ps="BI" srv="APBI5A"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nrr="3552" nrc="1326"&gt;&lt;pg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</si>
  <si>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2025 Septiembre</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</si>
  <si>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srv="apbi5a" prj="SIOSbi" prjid="80652F57504C7F8E3D7CF2B0B09EA47F" li="MADCONMA" am="s" /&gt;&lt;lu ut="10/10/2025 10:54:20" si="2.000000019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p-3082.0.1_-3082.0.1_0.1.Europe/Madrid.upriv*_1*_pidn2*_21*_session*-lat*_1.00000001cf2a8dee49e654449a5fc13f1a24ba9aea1bd88bcb17cd1c0b1819501ea30e521c88b91eb19c36164de7e014bf393a60041d2aea.000000014770afebff06a3a1d272be82373d07a031cdd82ebf437baeabd8f8ca78807ea77889d1f5ba199d62ca4d275bca60751cf173aaa3.0.1.1.SIOSbi.80652F57504C7F8E3D7CF2B0B09EA47F.0-3082.1.1_-0.1.0_-3082.1.1_5.5.0.*0.000000017a90d81e59a0f056e565259c450a6d10c911585a6598d5765a759508154cd479e8a5afdd.0.23.11*.4*.1200*.00787J.e.00000001d1921db0753f7ae1237c7d37637a0823c911585a1e14c5672079c38ade73a84fcb606443.0.10*.131*.138*.18.*0.0.0.0" msgID="F56AE3917A41AB7B12E11CB44E02FEEF"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nrr="2557" nrc="1391"&gt;&lt;pg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</si>
  <si>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SEP-25</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</si>
  <si>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dvis=""&gt;&lt;ci ps="BI" srv="APBI5A"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ece="$A$336" enr="MSTR.Asignaciones_Tiempo_Real" ptn="" qtn="" rows="39" cols="15" /&gt;&lt;esdo ews="" ece="" ptn="" /&gt;&lt;/excel&gt;&lt;pgs&gt;&lt;pg rows="36" cols="13" nrr="2893" nrc="1378"&gt;&lt;pg /&gt;&lt;bls&gt;&lt;bl sr="1" sc="1" rfetch="36" cfetch="13" posid="1" darows="0" dacols="1"&gt;&lt;excel&gt;&lt;epo ews="Dat_01" ece="$A$336"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</si>
  <si>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2025 Octubre</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</si>
  <si>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srv="APBI5A" prj="SIOSbi" prjid="80652F57504C7F8E3D7CF2B0B09EA47F" li="MADCONMA" am="s" /&gt;&lt;lu ut="11/07/2025 18:18:38"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msgID="29834379054B9759676543BC40BFBF62"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ece="A257" enr="MSTR.Asignaciones_SEPE_Periodo_simple_" ptn="" qtn="" rows="45" cols="15" /&gt;&lt;esdo ews="" ece="" ptn="" /&gt;&lt;/excel&gt;&lt;pgs&gt;&lt;pg rows="42" cols="13" nrr="1581" nrc="598"&gt;&lt;pg /&gt;&lt;bls&gt;&lt;bl sr="1" sc="1" rfetch="42" cfetch="13" posid="1" darows="0" dacols="1"&gt;&lt;excel&gt;&lt;epo ews="Dat_01" ece="A257" enr="MSTR.Asignaciones_SEPE_Periodo_simple_"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</si>
  <si>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VOLUMEN MWh</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</si>
  <si>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srv="APBI5A" prj="SIOSbi" prjid="80652F57504C7F8E3D7CF2B0B09EA47F" li="MADCONMA" am="s" /&gt;&lt;lu ut="11/12/2025 08:15:43" si="2.00000001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p-3082.0.1_-3082.0.1_0.1.Europe/Madrid.upriv*_1*_pidn2*_1*_session*-lat*_1.00000001ba92407b8dc6fb9a459600324fc0aadfea1bd88b75219c29b08dae59024b49f90594e68e14e272bba36068cc157fecdced4a3baf.00000001802aa9511b897bdd3dfc893b4969be0231cdd82eee29f4eb3764c717bef4723eaee316a3527fde7ccb349d5dcdc56077f70ccd11.0.1.1.SIOSbi.80652F57504C7F8E3D7CF2B0B09EA47F.0-3082.1.1_-0.1.0_-3082.1.1_5.5.0.*0.00000001dda583db709dc0b09403a876190053cec911585abfb20a4593f6d7b63e23722e391b47cf.0.23.11*.4*.1200*.00787J.e.000000011beae2d50b522276237f4e74cb5e9083c911585a3ed6a8e7630208e20305ca36d336a20a.0.10*.131*.138*.18.*0.0.0.0" msgID="97A93F505F4066FF08A32991909CD94C"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nrr="2706" nrc="1729"&gt;&lt;pg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</si>
  <si>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Ingreso control de tensión</t>
  </si>
  <si>
    <t>2025 Noviembre</t>
  </si>
  <si>
    <t>OCT-25</t>
  </si>
  <si>
    <t>NOV-25</t>
  </si>
  <si>
    <t>2025 Diciembre</t>
  </si>
  <si>
    <t>DIC-25</t>
  </si>
  <si>
    <t>2026 Enero</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</si>
  <si>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srv="apbi5a" prj="SIOSbi" prjid="80652F57504C7F8E3D7CF2B0B09EA47F" li="MADCONMA" am="s" /&gt;&lt;lu ut="02/11/2026 12:44:39"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msgID="2F8FF6963B40DCFF849DD686A510AF91"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ece="A313" enr="MSTR.Asignaciones__Periodo_simple_" ptn="" qtn="" rows="4" cols="14" /&gt;&lt;esdo ews="" ece="" ptn="" /&gt;&lt;/excel&gt;&lt;pgs&gt;&lt;pg rows="2" cols="13" nrr="118" nrc="754"&gt;&lt;pg /&gt;&lt;bls&gt;&lt;bl sr="1" sc="1" rfetch="2" cfetch="13" posid="1" darows="0" dacols="1"&gt;&lt;excel&gt;&lt;epo ews="Dat_01" ece="A313"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</si>
  <si>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srv="apbi5a" prj="SIOSbi" prjid="80652F57504C7F8E3D7CF2B0B09EA47F" li="MADCONMA" am="s" /&gt;&lt;lu ut="02/11/2026 12:45:51"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msgID="C9C72103E84C2B0627716296F50F78EF"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ece="$A$319" enr="MSTR.Asignaciones_en_las_fronteras__Periodo_simple_" ptn="" qtn="" rows="11" cols="16" /&gt;&lt;esdo ews="" ece="" ptn="" /&gt;&lt;/excel&gt;&lt;pgs&gt;&lt;pg rows="8" cols="13" nrr="584" nrc="933"&gt;&lt;pg /&gt;&lt;bls&gt;&lt;bl sr="1" sc="1" rfetch="8" cfetch="13" posid="1" darows="0" dacols="1"&gt;&lt;excel&gt;&lt;epo ews="Dat_01" ece="$A$319"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</si>
  <si>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ENE-26</t>
  </si>
  <si>
    <t>2026 Febrero</t>
  </si>
  <si>
    <t>FEB-26</t>
  </si>
  <si>
    <t>Reserva de regulación secundaria y SRAD</t>
  </si>
  <si>
    <t>2026 Marzo</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</si>
  <si>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srv="apbi5a" prj="SIOSbi" prjid="80652F57504C7F8E3D7CF2B0B09EA47F" li="MADCONMA" am="s" /&gt;&lt;lu ut="04/14/2026 12:48:26" si="2.00000001cfad4c80d46772c56636405b7e4eb479ba9ab6a90ef605e2793a1db89ff456968dfe02177b9579576f1a135c23d2ac92faafe23adada5244f8506db414609233a0e4c8319cc2c5b8f3f9a24891eab34a74b2bc09bb46425e44fc721d0831a32be6e246ab4d43fab8591a95d08b06b99f07e010641eca15d6aac9acd58523bae8e852272e8cce8aaa10bfdbca2aae173560e8b567a28b63595601298ae7d45c081740e32c4ee0c625c8f3d41a235e4888f83a55d4d71921c5be7c30e5dc3593c8fed69bca14a78ec6844b3a94ea79b82f275c6f8c80c8e3c2cbea710e20dc460f297bb2744e372af33983211d6e15908ed729828545266b73d31b102f8e6570e6f26fef17406980d566186f9e2555a4dddca1978ac84840a7d246b2bf2a23.p-3082.0.1_-3082.0.1_0.1.Europe/Madrid.upriv*_1*_pidn2*_28*_session*-lat*_1.0000000191c4d7cb639c52490dfe9b9dfec70031ea1bd88b21dd42594dc8caf567a250b5585777c2b30b163ed089f5efb0b490f49de161b0.00000001d145c306160144403f25d325d82cc55031cdd82e2581b0763963da6a4ab584a617466f611895cecef251b2fec0c441686d9af0a0.0.1.1.SIOSbi.80652F57504C7F8E3D7CF2B0B09EA47F.0-3082.1.1_-0.1.0_-3082.1.1_5.5.0.*0.000000012be5959bc6660ec9e75505bce8e4c536c911585ac117148130c0199feb4f2c219e2bd45c.0.23.11*.4*.1200*.00787J.e.000000017c527e22add162b853ade5716be79a92c911585a53864fece377b79f2dbebdc862fd7777.0.10*.131*.138*.18.*0.0.0.0" msgID="CD711C2F284B2D7FF83EB8A3EB2C5FA6"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nrr="126" nrc="806"&gt;&lt;pg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</si>
  <si>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srv="apbi5a" prj="SIOSbi" prjid="80652F57504C7F8E3D7CF2B0B09EA47F" li="MADCONMA" am="s" /&gt;&lt;lu ut="04/14/2026 12:56:06" si="2.00000001cfad4c80d46772c56636405b7e4eb479ba9ab6a90ef605e2793a1db89ff456968dfe02177b9579576f1a135c23d2ac92faafe23adada5244f8506db414609233a0e4c8319cc2c5b8f3f9a24891eab34a74b2bc09bb46425e44fc721d0831a32be6e246ab4d43fab8591a95d08b06b99f07e010641eca15d6aac9acd58523bae8e852272e8cce8aaa10bfdbca2aae173560e8b567a28b63595601298ae7d45c081740e32c4ee0c625c8f3d41a235e4888f83a55d4d71921c5be7c30e5dc3593c8fed69bca14a78ec6844b3a94ea79b82f275c6f8c80c8e3c2cbea710e20dc460f297bb2744e372af33983211d6e15908ed729828545266b73d31b102f8e6570e6f26fef17406980d566186f9e2555a4dddca1978ac84840a7d246b2bf2a23.p-3082.0.1_-3082.0.1_0.1.Europe/Madrid.upriv*_1*_pidn2*_28*_session*-lat*_1.0000000191c4d7cb639c52490dfe9b9dfec70031ea1bd88b21dd42594dc8caf567a250b5585777c2b30b163ed089f5efb0b490f49de161b0.00000001d145c306160144403f25d325d82cc55031cdd82e2581b0763963da6a4ab584a617466f611895cecef251b2fec0c441686d9af0a0.0.1.1.SIOSbi.80652F57504C7F8E3D7CF2B0B09EA47F.0-3082.1.1_-0.1.0_-3082.1.1_5.5.0.*0.000000012be5959bc6660ec9e75505bce8e4c536c911585ac117148130c0199feb4f2c219e2bd45c.0.23.11*.4*.1200*.00787J.e.000000017c527e22add162b853ade5716be79a92c911585a53864fece377b79f2dbebdc862fd7777.0.10*.131*.138*.18.*0.0.0.0" msgID="89C8F0A4774D71BD6CC4A68A968A7B65"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nrr="112" nrc="728"&gt;&lt;pg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</si>
  <si>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srv="apbi5a" prj="SIOSbi" prjid="80652F57504C7F8E3D7CF2B0B09EA47F" li="MADCONMA" am="s" /&gt;&lt;lu ut="04/14/2026 13:06:26" si="2.00000001cfad4c80d46772c56636405b7e4eb479ba9ab6a90ef605e2793a1db89ff456968dfe02177b9579576f1a135c23d2ac92faafe23adada5244f8506db414609233a0e4c8319cc2c5b8f3f9a24891eab34a74b2bc09bb46425e44fc721d0831a32be6e246ab4d43fab8591a95d08b06b99f07e010641eca15d6aac9acd58523bae8e852272e8cce8aaa10bfdbca2aae173560e8b567a28b63595601298ae7d45c081740e32c4ee0c625c8f3d41a235e4888f83a55d4d71921c5be7c30e5dc3593c8fed69bca14a78ec6844b3a94ea79b82f275c6f8c80c8e3c2cbea710e20dc460f297bb2744e372af33983211d6e15908ed729828545266b73d31b102f8e6570e6f26fef17406980d566186f9e2555a4dddca1978ac84840a7d246b2bf2a23.p-3082.0.1_-3082.0.1_0.1.Europe/Madrid.upriv*_1*_pidn2*_28*_session*-lat*_1.0000000191c4d7cb639c52490dfe9b9dfec70031ea1bd88b21dd42594dc8caf567a250b5585777c2b30b163ed089f5efb0b490f49de161b0.00000001d145c306160144403f25d325d82cc55031cdd82e2581b0763963da6a4ab584a617466f611895cecef251b2fec0c441686d9af0a0.0.1.1.SIOSbi.80652F57504C7F8E3D7CF2B0B09EA47F.0-3082.1.1_-0.1.0_-3082.1.1_5.5.0.*0.000000012be5959bc6660ec9e75505bce8e4c536c911585ac117148130c0199feb4f2c219e2bd45c.0.23.11*.4*.1200*.00787J.e.000000017c527e22add162b853ade5716be79a92c911585a53864fece377b79f2dbebdc862fd7777.0.10*.131*.138*.18.*0.0.0.0" msgID="78C78E3DF24433275023EBB34B4B5176"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ece="A390" enr="MSTR.Energia_IGCC" ptn="" qtn="" rows="4" cols="14" /&gt;&lt;esdo ews="" ece="" ptn="" /&gt;&lt;/excel&gt;&lt;pgs&gt;&lt;pg rows="2" cols="13" nrr="120" nrc="780"&gt;&lt;pg /&gt;&lt;bls&gt;&lt;bl sr="1" sc="1" rfetch="2" cfetch="13" posid="1" darows="0" dacols="1"&gt;&lt;excel&gt;&lt;epo ews="Dat_01" ece="A390"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</si>
  <si>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MAR-26</t>
  </si>
  <si>
    <t>01/04/2026</t>
  </si>
  <si>
    <t>02/04/2026</t>
  </si>
  <si>
    <t>03/04/2026</t>
  </si>
  <si>
    <t>04/04/2026</t>
  </si>
  <si>
    <t>05/04/2026</t>
  </si>
  <si>
    <t>06/04/2026</t>
  </si>
  <si>
    <t>07/04/2026</t>
  </si>
  <si>
    <t>08/04/2026</t>
  </si>
  <si>
    <t>09/04/2026</t>
  </si>
  <si>
    <t>10/04/2026</t>
  </si>
  <si>
    <t>11/04/2026</t>
  </si>
  <si>
    <t>12/04/2026</t>
  </si>
  <si>
    <t>13/04/2026</t>
  </si>
  <si>
    <t>14/04/2026</t>
  </si>
  <si>
    <t>15/04/2026</t>
  </si>
  <si>
    <t>16/04/2026</t>
  </si>
  <si>
    <t>17/04/2026</t>
  </si>
  <si>
    <t>18/04/2026</t>
  </si>
  <si>
    <t>19/04/2026</t>
  </si>
  <si>
    <t>20/04/2026</t>
  </si>
  <si>
    <t>21/04/2026</t>
  </si>
  <si>
    <t>22/04/2026</t>
  </si>
  <si>
    <t>23/04/2026</t>
  </si>
  <si>
    <t>24/04/2026</t>
  </si>
  <si>
    <t>25/04/2026</t>
  </si>
  <si>
    <t>26/04/2026</t>
  </si>
  <si>
    <t>27/04/2026</t>
  </si>
  <si>
    <t>28/04/2026</t>
  </si>
  <si>
    <t>29/04/2026</t>
  </si>
  <si>
    <t>30/04/2026</t>
  </si>
  <si>
    <t>2026 Abril</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</si>
  <si>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srv="apbi5a" prj="SIOSbi" prjid="80652F57504C7F8E3D7CF2B0B09EA47F" li="MADCONMA" am="s" /&gt;&lt;lu ut="05/13/2026 12:02:43" si="2.00000001fa4b653602a86d5d8150d75d51b026e2a0262ff7efc53c589ee027205b4a8aa80de66e7ec534319a84cf559ffb07c1d979b320e3d2e01b170a80dec4ec59d77e178e18d4a79420af11fbab5e826734ca4defd1d9fdebbbb09e89de981b15bb6ed4e729b43f755e1a5677b5c374a13b63aaae69ba485ac92db0bedbab5858f5b206874e421f6db5594f4f118246b1c16fa8ef6d0633d410f8dc66887db998133e9b92e6e8ac886b89003deb70d6aebb8238159e3e81dd4d118a62228dd7b36443d95e11d7f879dcb77c716aa560c4a925d878c0c27d8f7201d1b636a7606de5e891efde2c50efee00d3bc963650b8492827cd6ec78ede67e6e447b200602c5a4b8d57cffa3e85856156fa8d46d64fa7ff9c0c5e4afa65208d87ef49bf7d31.p-3082.0.1_-3082.0.1_0.1.Europe/Madrid.upriv*_1*_pidn2*_6*_session*-lat*_1.00000001330c00463706a25b84c5cd3a09ce10b5ea1bd88bd1680c1a9b8cefe495bc807f1fae367d6655ecbffddce0e77fbc56e7c02e85f2.0000000170d4e119ff7aa850648976bbacdc4b7e31cdd82edd7f0829658980cdd3be78a67bbb54453881b7167a27ee8f19beea96339fd3b2.0.1.1.SIOSbi.80652F57504C7F8E3D7CF2B0B09EA47F.0-3082.1.1_-0.1.0_-3082.1.1_5.5.0.*0.00000001941f44adc3f3fa015605622a4f98d0d3c911585a274b4d38bcc07ee89dacfe2dae307c7e.0.23.11*.4*.1200*.00787J.e.000000018e3375a84d4df560d9eb7916b5156f13c911585a8e85a1f77327a3fcae336533f6e2bd10.0.10*.131*.138*.19.*0.0.0.0" msgID="637490E6614D402FD38724838B7D261A"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rows="34" cols="28" /&gt;&lt;esdo ews="" ece="" ptn="" /&gt;&lt;/excel&gt;&lt;pgs&gt;&lt;pg rows="30" cols="27" nrr="3624" nrc="3573"&gt;&lt;pg /&gt;&lt;bls&gt;&lt;bl sr="1" sc="1" rfetch="30" cfetch="27" posid="1" darows="0" dacols="1"&gt;&lt;excel&gt;&lt;epo ews="Dat_01" ece="$A$4" enr="MSTR.Precio_Mercado_Diario" ptn="" qtn="" rows="34" cols="28" /&gt;&lt;esdo ews="" ece="" ptn="" /&gt;&lt;/excel&gt;&lt;gridRng&gt;&lt;sect id="TITLE_AREA" rngprop="1:1:4:1" /&gt;&lt;sect id="ROWHEADERS_AREA" rngprop="5:1:30:1" /&gt;&lt;sect id="COLUMNHEADERS_AREA" rngprop="1:2:4:27" /&gt;&lt;sect id="DATA_AREA" rngprop="5:2:30:27" /&gt;&lt;/gridRng&gt;&lt;shapes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</si>
  <si>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srv="apbi5a" prj="SIOSbi" prjid="80652F57504C7F8E3D7CF2B0B09EA47F" li="MADCONMA" am="s" /&gt;&lt;lu ut="05/13/2026 12:09:38" si="2.00000001fa4b653602a86d5d8150d75d51b026e2a0262ff7efc53c589ee027205b4a8aa80de66e7ec534319a84cf559ffb07c1d979b320e3d2e01b170a80dec4ec59d77e178e18d4a79420af11fbab5e826734ca4defd1d9fdebbbb09e89de981b15bb6ed4e729b43f755e1a5677b5c374a13b63aaae69ba485ac92db0bedbab5858f5b206874e421f6db5594f4f118246b1c16fa8ef6d0633d410f8dc66887db998133e9b92e6e8ac886b89003deb70d6aebb8238159e3e81dd4d118a62228dd7b36443d95e11d7f879dcb77c716aa560c4a925d878c0c27d8f7201d1b636a7606de5e891efde2c50efee00d3bc963650b8492827cd6ec78ede67e6e447b200602c5a4b8d57cffa3e85856156fa8d46d64fa7ff9c0c5e4afa65208d87ef49bf7d31.p-3082.0.1_-3082.0.1_0.1.Europe/Madrid.upriv*_1*_pidn2*_6*_session*-lat*_1.00000001330c00463706a25b84c5cd3a09ce10b5ea1bd88bd1680c1a9b8cefe495bc807f1fae367d6655ecbffddce0e77fbc56e7c02e85f2.0000000170d4e119ff7aa850648976bbacdc4b7e31cdd82edd7f0829658980cdd3be78a67bbb54453881b7167a27ee8f19beea96339fd3b2.0.1.1.SIOSbi.80652F57504C7F8E3D7CF2B0B09EA47F.0-3082.1.1_-0.1.0_-3082.1.1_5.5.0.*0.00000001941f44adc3f3fa015605622a4f98d0d3c911585a274b4d38bcc07ee89dacfe2dae307c7e.0.23.11*.4*.1200*.00787J.e.000000018e3375a84d4df560d9eb7916b5156f13c911585a8e85a1f77327a3fcae336533f6e2bd10.0.10*.131*.138*.19.*0.0.0.0" msgID="36BC12F60E41EF1880E1599539BAECC3"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nrr="551" nrc="242"&gt;&lt;pg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</si>
  <si>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ABR-26</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</si>
  <si>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srv="apbi5a" prj="SIOSbi" prjid="80652F57504C7F8E3D7CF2B0B09EA47F" li="MADCONMA" am="s" /&gt;&lt;lu ut="05/13/2026 17:46:22" si="2.000000016597492824cc9dd88236a163b84752579b8bbed9840c19cb59a0113795055d41d532c85385cd0a40d2604770c42fca32f50014de3b0266998725e0071bf6e2f461e4b244870ad17bd84512bbc2ce0388061ff175e9506e61e3d06520de5a5dde598a0d4b59f5561a8777c4d1e9ceb2bdc66e5cd908de35e7d3780fddf37cc4ab0c7ad91b454ba54a8e2bb7bfc0a40a65b6d7320400ed30801ac9b00856658ebcedd3f67a2557cc117bf0364559d587f5f9c51b9c25860b189ccb2aa00da43332a1e22796aa4dce12123559fbac4c646ad87f8b5f12fb8137e5a5024aee83f4b307fdb759ba0ed4f95db682e6a432564bb954b33269d01423b01f472e694e82d75699bb51492cabbb8080995e4db272b4e9a30779e0ecb00dad7b376f513d.p-3082.0.1_-3082.0.1_0.1.Europe/Madrid.upriv*_1*_pidn2*_6*_session*-lat*_1.0000000128e0d7552ac017f60fe17e540b5eddbaea1bd88bea25f5081cec75d022551d16714ee1ec943dc2601b23ee6e7d6fc9aed5571b4c.000000013990186478366c8f80a622f6690b4d1031cdd82e7d7ab322d65d199708111bd46a0dc0346370edd5d37edd7047579cda9d1f3a87.0.1.1.SIOSbi.80652F57504C7F8E3D7CF2B0B09EA47F.0-3082.1.1_-0.1.0_-3082.1.1_5.5.0.*0.00000001b8a4261ab848254be1ae6dd29464320fc911585a8b167b349f408d0a495034c225ea417d.0.23.11*.4*.1200*.00787J.e.0000000164b5acf304a275a89f1976bf6ec5615cc911585ad74f775852e1256a18f064ff0c6376b9.0.10*.131*.138*.19.*0.0.0.0" msgID="DC1FA372084598A78F37859598FD8900"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ece="A399" enr="MSTR.Precios_Medios_Ponderados_Mensuales" ptn="" qtn="" rows="7" cols="15" /&gt;&lt;esdo ews="" ece="" ptn="" /&gt;&lt;/excel&gt;&lt;pgs&gt;&lt;pg rows="4" cols="13" nrr="224" nrc="728"&gt;&lt;pg /&gt;&lt;bls&gt;&lt;bl sr="1" sc="1" rfetch="4" cfetch="13" posid="1" darows="0" dacols="1"&gt;&lt;excel&gt;&lt;epo ews="Dat_01" ece="A399"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</si>
  <si>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5a3b839896794f89b84407c8a98fcdf8</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</si>
  <si>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srv="apbi5a" prj="SIOSbi" prjid="80652F57504C7F8E3D7CF2B0B09EA47F" li="MADCONMA" am="s" /&gt;&lt;lu ut="05/13/2026 17:49:31" si="2.000000016597492824cc9dd88236a163b84752579b8bbed9840c19cb59a0113795055d41d532c85385cd0a40d2604770c42fca32f50014de3b0266998725e0071bf6e2f461e4b244870ad17bd84512bbc2ce0388061ff175e9506e61e3d06520de5a5dde598a0d4b59f5561a8777c4d1e9ceb2bdc66e5cd908de35e7d3780fddf37cc4ab0c7ad91b454ba54a8e2bb7bfc0a40a65b6d7320400ed30801ac9b00856658ebcedd3f67a2557cc117bf0364559d587f5f9c51b9c25860b189ccb2aa00da43332a1e22796aa4dce12123559fbac4c646ad87f8b5f12fb8137e5a5024aee83f4b307fdb759ba0ed4f95db682e6a432564bb954b33269d01423b01f472e694e82d75699bb51492cabbb8080995e4db272b4e9a30779e0ecb00dad7b376f513d.p-3082.0.1_-3082.0.1_0.1.Europe/Madrid.upriv*_1*_pidn2*_6*_session*-lat*_1.0000000128e0d7552ac017f60fe17e540b5eddbaea1bd88bea25f5081cec75d022551d16714ee1ec943dc2601b23ee6e7d6fc9aed5571b4c.000000013990186478366c8f80a622f6690b4d1031cdd82e7d7ab322d65d199708111bd46a0dc0346370edd5d37edd7047579cda9d1f3a87.0.1.1.SIOSbi.80652F57504C7F8E3D7CF2B0B09EA47F.0-3082.1.1_-0.1.0_-3082.1.1_5.5.0.*0.00000001b8a4261ab848254be1ae6dd29464320fc911585a8b167b349f408d0a495034c225ea417d.0.23.11*.4*.1200*.00787J.e.0000000164b5acf304a275a89f1976bf6ec5615cc911585ad74f775852e1256a18f064ff0c6376b9.0.10*.131*.138*.19.*0.0.0.0" msgID="C009D95493449C1C44A122BB1E616386"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ece="A409" enr="MSTR.Precios_Medios_Ponderados_Mensuales" ptn="" qtn="" rows="11" cols="15" /&gt;&lt;esdo ews="" ece="" ptn="" /&gt;&lt;/excel&gt;&lt;pgs&gt;&lt;pg rows="8" cols="13" nrr="472" nrc="767"&gt;&lt;pg /&gt;&lt;bls&gt;&lt;bl sr="1" sc="1" rfetch="8" cfetch="13" posid="1" darows="0" dacols="1"&gt;&lt;excel&gt;&lt;epo ews="Dat_01" ece="A409"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</si>
</sst>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2" formatCode="_-* #,##0.0_-;\-* #,##0.0_-;_-* &quot;-&quot;??_-;_-@_-"/>
    <numFmt numFmtId="173" formatCode="0.0000%"/>
    <numFmt numFmtId="174" formatCode="0.0000"/>
  </numFmts>
  <fonts count="83">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b/>
      <sz val="8"/>
      <color theme="1"/>
      <name val="Arial"/>
      <family val="2"/>
    </font>
    <font>
      <b/>
      <sz val="10"/>
      <color theme="0"/>
      <name val="Geneva"/>
    </font>
    <font>
      <sz val="10"/>
      <color rgb="FF000000"/>
      <name val="Arial"/>
      <family val="2"/>
    </font>
    <font>
      <sz val="8"/>
      <color rgb="FF000000"/>
      <name val="Arial"/>
      <family val="2"/>
    </font>
    <font>
      <b/>
      <sz val="10"/>
      <color rgb="FFFF0000"/>
      <name val="Geneva"/>
    </font>
    <font>
      <sz val="8"/>
      <color theme="0"/>
      <name val="Arial"/>
      <family val="2"/>
    </font>
  </fonts>
  <fills count="20">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00"/>
        <bgColor indexed="64"/>
      </patternFill>
    </fill>
    <fill>
      <patternFill patternType="solid">
        <fgColor rgb="FF002060"/>
        <bgColor indexed="64"/>
      </patternFill>
    </fill>
    <fill>
      <patternFill patternType="solid">
        <fgColor rgb="FFFFFFFF"/>
      </patternFill>
    </fill>
    <fill>
      <patternFill patternType="solid">
        <fgColor rgb="FFFFFF00"/>
        <bgColor rgb="FFFFFFFF"/>
      </patternFill>
    </fill>
    <fill>
      <patternFill patternType="solid">
        <fgColor rgb="FFFFC000"/>
        <bgColor rgb="FFFFFFFF"/>
      </patternFill>
    </fill>
  </fills>
  <borders count="29">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diagonal/>
    </border>
    <border>
      <left/>
      <right/>
      <top style="thin">
        <color indexed="63"/>
      </top>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1">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170"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0" fontId="29" fillId="3" borderId="12">
      <alignment vertical="center" wrapText="1"/>
    </xf>
    <xf numFmtId="164" fontId="50" fillId="7" borderId="2">
      <alignment horizontal="right" vertical="center"/>
    </xf>
    <xf numFmtId="0" fontId="70" fillId="0" borderId="0" applyNumberFormat="0" applyFill="0" applyBorder="0" applyAlignment="0" applyProtection="0"/>
    <xf numFmtId="0" fontId="71" fillId="0" borderId="0"/>
    <xf numFmtId="0" fontId="73" fillId="0" borderId="0"/>
    <xf numFmtId="0" fontId="8" fillId="0" borderId="0"/>
    <xf numFmtId="0" fontId="7" fillId="0" borderId="0"/>
    <xf numFmtId="43" fontId="26" fillId="0" borderId="0" applyFont="0" applyFill="0" applyBorder="0" applyAlignment="0" applyProtection="0"/>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xf numFmtId="164" fontId="28" fillId="7" borderId="2">
      <alignment horizontal="right" vertical="center"/>
    </xf>
    <xf numFmtId="169" fontId="28" fillId="2" borderId="2">
      <alignment horizontal="left" vertical="center" wrapText="1"/>
    </xf>
    <xf numFmtId="0" fontId="38" fillId="0" borderId="0"/>
    <xf numFmtId="0" fontId="79" fillId="0" borderId="0"/>
  </cellStyleXfs>
  <cellXfs count="251">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171" fontId="28" fillId="2" borderId="2" xfId="44">
      <alignment horizontal="right" vertical="center"/>
    </xf>
    <xf numFmtId="11" fontId="0" fillId="0" borderId="0" xfId="0" applyNumberFormat="1"/>
    <xf numFmtId="0" fontId="64" fillId="3" borderId="2" xfId="35" applyFont="1" applyAlignment="1">
      <alignment vertical="center"/>
    </xf>
    <xf numFmtId="0" fontId="65" fillId="0" borderId="0" xfId="0" applyFont="1"/>
    <xf numFmtId="0" fontId="48" fillId="4" borderId="0" xfId="31" applyFont="1" applyFill="1"/>
    <xf numFmtId="0" fontId="66" fillId="0" borderId="0" xfId="0" applyFont="1"/>
    <xf numFmtId="0" fontId="67" fillId="16" borderId="0" xfId="0" applyFont="1" applyFill="1"/>
    <xf numFmtId="0" fontId="20" fillId="0" borderId="0" xfId="32" applyFont="1" applyAlignment="1">
      <alignment horizontal="left"/>
    </xf>
    <xf numFmtId="0" fontId="68"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48" applyAlignment="1">
      <alignment vertical="center"/>
    </xf>
    <xf numFmtId="0" fontId="29" fillId="3" borderId="12" xfId="64" applyAlignment="1">
      <alignment vertical="center"/>
    </xf>
    <xf numFmtId="0" fontId="28" fillId="2" borderId="2" xfId="61" quotePrefix="1" applyAlignment="1">
      <alignment horizontal="left" vertical="center"/>
    </xf>
    <xf numFmtId="164" fontId="28" fillId="2" borderId="2" xfId="62">
      <alignment horizontal="right" vertical="center"/>
    </xf>
    <xf numFmtId="3" fontId="28" fillId="2" borderId="2" xfId="54">
      <alignment horizontal="right" vertical="center"/>
    </xf>
    <xf numFmtId="0" fontId="69" fillId="0" borderId="0" xfId="0" applyFont="1"/>
    <xf numFmtId="0" fontId="70" fillId="0" borderId="0" xfId="66" applyFill="1" applyBorder="1" applyProtection="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0" fontId="17" fillId="0" borderId="0" xfId="11" applyAlignment="1">
      <alignment vertical="top" wrapText="1"/>
    </xf>
    <xf numFmtId="0" fontId="74" fillId="5" borderId="0" xfId="20" applyFont="1" applyFill="1"/>
    <xf numFmtId="164" fontId="74"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17"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58" applyAlignment="1">
      <alignment horizontal="center"/>
    </xf>
    <xf numFmtId="0" fontId="0" fillId="0" borderId="7" xfId="0" applyBorder="1"/>
    <xf numFmtId="0" fontId="29" fillId="3" borderId="2" xfId="58" quotePrefix="1" applyAlignment="1">
      <alignment horizontal="center"/>
    </xf>
    <xf numFmtId="3" fontId="0" fillId="0" borderId="0" xfId="0" applyNumberFormat="1"/>
    <xf numFmtId="0" fontId="29" fillId="3" borderId="2" xfId="58" quotePrefix="1">
      <alignment horizontal="center" wrapText="1"/>
    </xf>
    <xf numFmtId="0" fontId="32" fillId="5" borderId="0" xfId="0" applyFont="1" applyFill="1" applyAlignment="1">
      <alignment horizontal="center" vertical="center"/>
    </xf>
    <xf numFmtId="172" fontId="0" fillId="0" borderId="0" xfId="71" applyNumberFormat="1" applyFont="1"/>
    <xf numFmtId="0" fontId="29" fillId="3" borderId="7" xfId="58" quotePrefix="1" applyBorder="1" applyAlignment="1">
      <alignment horizontal="right"/>
    </xf>
    <xf numFmtId="0" fontId="33" fillId="5" borderId="18" xfId="0" applyFont="1" applyFill="1" applyBorder="1"/>
    <xf numFmtId="0" fontId="75" fillId="0" borderId="0" xfId="0" applyFont="1"/>
    <xf numFmtId="168" fontId="75" fillId="0" borderId="0" xfId="9" applyNumberFormat="1" applyFont="1"/>
    <xf numFmtId="10" fontId="75" fillId="0" borderId="0" xfId="9" applyNumberFormat="1" applyFont="1"/>
    <xf numFmtId="166" fontId="75" fillId="0" borderId="0" xfId="0" applyNumberFormat="1" applyFont="1"/>
    <xf numFmtId="0" fontId="29" fillId="3" borderId="2" xfId="58" quotePrefix="1" applyAlignment="1"/>
    <xf numFmtId="0" fontId="29" fillId="3" borderId="7" xfId="58" quotePrefix="1" applyBorder="1" applyAlignment="1"/>
    <xf numFmtId="4" fontId="76"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77" fillId="5" borderId="4" xfId="0" applyFont="1" applyFill="1" applyBorder="1" applyAlignment="1">
      <alignment horizontal="center" vertical="center"/>
    </xf>
    <xf numFmtId="0" fontId="31" fillId="5" borderId="4" xfId="0" applyFont="1" applyFill="1" applyBorder="1" applyAlignment="1">
      <alignment horizontal="center"/>
    </xf>
    <xf numFmtId="2" fontId="76"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1" applyNumberFormat="1" applyFont="1"/>
    <xf numFmtId="2" fontId="0" fillId="0" borderId="0" xfId="0" applyNumberFormat="1"/>
    <xf numFmtId="168" fontId="0" fillId="0" borderId="0" xfId="0" applyNumberFormat="1"/>
    <xf numFmtId="4" fontId="28" fillId="17" borderId="2" xfId="78" applyNumberFormat="1" applyFont="1" applyFill="1" applyBorder="1" applyAlignment="1">
      <alignment horizontal="right" vertical="center" wrapText="1"/>
    </xf>
    <xf numFmtId="4" fontId="28" fillId="17" borderId="15" xfId="78" applyNumberFormat="1" applyFont="1" applyFill="1" applyBorder="1" applyAlignment="1">
      <alignment horizontal="right" vertical="center" wrapText="1"/>
    </xf>
    <xf numFmtId="173" fontId="0" fillId="0" borderId="0" xfId="9" applyNumberFormat="1" applyFont="1"/>
    <xf numFmtId="0" fontId="29" fillId="3" borderId="2" xfId="58" quotePrefix="1" applyAlignment="1">
      <alignment horizontal="right"/>
    </xf>
    <xf numFmtId="0" fontId="20" fillId="0" borderId="0" xfId="32" applyFont="1" applyAlignment="1">
      <alignment horizontal="right"/>
    </xf>
    <xf numFmtId="164" fontId="31" fillId="0" borderId="0" xfId="0" applyNumberFormat="1" applyFont="1"/>
    <xf numFmtId="4" fontId="28" fillId="17" borderId="15" xfId="80" applyNumberFormat="1" applyFont="1" applyFill="1" applyBorder="1" applyAlignment="1">
      <alignment horizontal="right" vertical="center" wrapText="1"/>
    </xf>
    <xf numFmtId="171" fontId="69" fillId="0" borderId="0" xfId="0" applyNumberFormat="1" applyFont="1"/>
    <xf numFmtId="168" fontId="69" fillId="0" borderId="0" xfId="9" applyNumberFormat="1" applyFont="1"/>
    <xf numFmtId="0" fontId="0" fillId="0" borderId="15" xfId="0" applyBorder="1" applyAlignment="1">
      <alignment horizontal="left" vertical="center"/>
    </xf>
    <xf numFmtId="0" fontId="50" fillId="7" borderId="2" xfId="63" quotePrefix="1">
      <alignment horizontal="left" vertical="center"/>
    </xf>
    <xf numFmtId="4" fontId="28" fillId="2" borderId="2" xfId="82">
      <alignment horizontal="right" vertical="center"/>
    </xf>
    <xf numFmtId="0" fontId="0" fillId="0" borderId="14" xfId="0" applyBorder="1" applyAlignment="1">
      <alignment vertical="center"/>
    </xf>
    <xf numFmtId="0" fontId="0" fillId="0" borderId="15" xfId="0" applyBorder="1" applyAlignment="1">
      <alignment vertical="center"/>
    </xf>
    <xf numFmtId="0" fontId="78" fillId="0" borderId="0" xfId="0" applyFont="1"/>
    <xf numFmtId="170" fontId="0" fillId="0" borderId="0" xfId="0" applyNumberFormat="1"/>
    <xf numFmtId="168" fontId="31" fillId="0" borderId="0" xfId="9" applyNumberFormat="1" applyFont="1" applyFill="1" applyBorder="1" applyAlignment="1" applyProtection="1">
      <alignment horizontal="left"/>
    </xf>
    <xf numFmtId="171" fontId="50" fillId="7" borderId="2" xfId="45">
      <alignment horizontal="right" vertical="center"/>
    </xf>
    <xf numFmtId="164" fontId="50" fillId="7" borderId="2" xfId="65">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170" fontId="28" fillId="7" borderId="2" xfId="42">
      <alignment horizontal="right" vertical="center"/>
    </xf>
    <xf numFmtId="0" fontId="0" fillId="15" borderId="0" xfId="0" applyFill="1"/>
    <xf numFmtId="164" fontId="28" fillId="18" borderId="2" xfId="62" applyFill="1">
      <alignment horizontal="right" vertical="center"/>
    </xf>
    <xf numFmtId="164" fontId="75" fillId="0" borderId="0" xfId="0" applyNumberFormat="1" applyFont="1"/>
    <xf numFmtId="0" fontId="28" fillId="7" borderId="2" xfId="61" quotePrefix="1" applyFill="1" applyAlignment="1">
      <alignment horizontal="left" vertical="center"/>
    </xf>
    <xf numFmtId="164" fontId="28" fillId="7" borderId="2" xfId="76">
      <alignment horizontal="right" vertical="center"/>
    </xf>
    <xf numFmtId="4" fontId="28" fillId="2" borderId="2" xfId="77">
      <alignment horizontal="right" vertical="center"/>
    </xf>
    <xf numFmtId="4" fontId="28" fillId="17" borderId="2" xfId="0" applyNumberFormat="1" applyFont="1" applyFill="1" applyBorder="1" applyAlignment="1">
      <alignment horizontal="right" vertical="center" wrapText="1"/>
    </xf>
    <xf numFmtId="4" fontId="28" fillId="2" borderId="16" xfId="82" applyBorder="1">
      <alignment horizontal="right" vertical="center"/>
    </xf>
    <xf numFmtId="4" fontId="80" fillId="17" borderId="2" xfId="90" applyNumberFormat="1" applyFont="1" applyFill="1" applyBorder="1" applyAlignment="1">
      <alignment horizontal="right" vertical="center"/>
    </xf>
    <xf numFmtId="4" fontId="28" fillId="17" borderId="2" xfId="80" applyNumberFormat="1" applyFont="1" applyFill="1" applyBorder="1" applyAlignment="1">
      <alignment horizontal="right" vertical="center" wrapText="1"/>
    </xf>
    <xf numFmtId="0" fontId="81" fillId="0" borderId="0" xfId="0" applyFont="1"/>
    <xf numFmtId="4" fontId="28" fillId="19" borderId="2" xfId="82" applyFill="1">
      <alignment horizontal="right" vertical="center"/>
    </xf>
    <xf numFmtId="3" fontId="82" fillId="2" borderId="2" xfId="54" applyFont="1">
      <alignment horizontal="right" vertical="center"/>
    </xf>
    <xf numFmtId="4" fontId="28" fillId="2" borderId="2" xfId="77" quotePrefix="1">
      <alignment horizontal="right" vertical="center"/>
    </xf>
    <xf numFmtId="4" fontId="28" fillId="7" borderId="2" xfId="79">
      <alignment horizontal="right" vertical="center"/>
    </xf>
    <xf numFmtId="4" fontId="69" fillId="0" borderId="0" xfId="0" applyNumberFormat="1" applyFont="1"/>
    <xf numFmtId="0" fontId="29" fillId="3" borderId="2" xfId="36" quotePrefix="1">
      <alignment horizontal="center"/>
    </xf>
    <xf numFmtId="0" fontId="29" fillId="3" borderId="2" xfId="36">
      <alignment horizontal="center"/>
    </xf>
    <xf numFmtId="4" fontId="28" fillId="14" borderId="2" xfId="72">
      <alignment horizontal="right" vertical="center"/>
    </xf>
    <xf numFmtId="4" fontId="50" fillId="7" borderId="2" xfId="75">
      <alignment horizontal="right" vertical="center"/>
    </xf>
    <xf numFmtId="4" fontId="28" fillId="11" borderId="2" xfId="38">
      <alignment horizontal="right" vertical="center"/>
    </xf>
    <xf numFmtId="4" fontId="50" fillId="12" borderId="2" xfId="40">
      <alignment horizontal="right" vertical="center"/>
    </xf>
    <xf numFmtId="4" fontId="50" fillId="0" borderId="2" xfId="75" applyFill="1">
      <alignment horizontal="right" vertical="center"/>
    </xf>
    <xf numFmtId="174" fontId="63" fillId="13" borderId="5" xfId="0" applyNumberFormat="1" applyFont="1" applyFill="1" applyBorder="1" applyAlignment="1">
      <alignment horizontal="right" vertical="center"/>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0" fontId="29" fillId="3" borderId="2" xfId="58" quotePrefix="1" applyAlignment="1">
      <alignment horizontal="center"/>
    </xf>
    <xf numFmtId="0" fontId="0" fillId="0" borderId="7" xfId="0" applyBorder="1" applyAlignment="1">
      <alignment horizontal="center"/>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58" applyBorder="1" applyAlignment="1">
      <alignment horizontal="center"/>
    </xf>
    <xf numFmtId="0" fontId="0" fillId="0" borderId="10" xfId="0" applyBorder="1" applyAlignment="1">
      <alignment horizontal="center"/>
    </xf>
    <xf numFmtId="0" fontId="29" fillId="3" borderId="19" xfId="58" quotePrefix="1" applyBorder="1" applyAlignment="1">
      <alignment horizontal="center"/>
    </xf>
    <xf numFmtId="0" fontId="0" fillId="0" borderId="20" xfId="0" applyBorder="1" applyAlignment="1">
      <alignment horizontal="center"/>
    </xf>
    <xf numFmtId="0" fontId="29" fillId="3" borderId="21" xfId="58" quotePrefix="1" applyBorder="1" applyAlignment="1">
      <alignment horizontal="center"/>
    </xf>
    <xf numFmtId="0" fontId="0" fillId="0" borderId="22" xfId="0" applyBorder="1" applyAlignment="1">
      <alignment horizontal="center"/>
    </xf>
    <xf numFmtId="0" fontId="29" fillId="3" borderId="27" xfId="58" quotePrefix="1" applyBorder="1" applyAlignment="1">
      <alignment horizontal="center"/>
    </xf>
    <xf numFmtId="0" fontId="0" fillId="0" borderId="28" xfId="0" applyBorder="1" applyAlignment="1">
      <alignment horizontal="center"/>
    </xf>
    <xf numFmtId="0" fontId="29" fillId="3" borderId="23" xfId="58" quotePrefix="1" applyBorder="1" applyAlignment="1">
      <alignment horizontal="center"/>
    </xf>
    <xf numFmtId="0" fontId="0" fillId="0" borderId="24" xfId="0" applyBorder="1" applyAlignment="1">
      <alignment horizontal="center"/>
    </xf>
    <xf numFmtId="0" fontId="28" fillId="2" borderId="14" xfId="61" quotePrefix="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28" fillId="2" borderId="13" xfId="61" quotePrefix="1" applyBorder="1" applyAlignment="1">
      <alignment horizontal="center" vertical="center"/>
    </xf>
    <xf numFmtId="0" fontId="28" fillId="2" borderId="14" xfId="61" quotePrefix="1" applyBorder="1" applyAlignment="1">
      <alignment horizontal="center" vertical="center"/>
    </xf>
    <xf numFmtId="0" fontId="28" fillId="2" borderId="25" xfId="61" quotePrefix="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9" fillId="3" borderId="11" xfId="58" quotePrefix="1" applyBorder="1" applyAlignment="1">
      <alignment horizontal="center"/>
    </xf>
    <xf numFmtId="0" fontId="28" fillId="2" borderId="13" xfId="61" quotePrefix="1" applyBorder="1" applyAlignment="1">
      <alignment horizontal="left" vertical="center"/>
    </xf>
    <xf numFmtId="169" fontId="28" fillId="2" borderId="14" xfId="88" quotePrefix="1" applyBorder="1" applyAlignment="1">
      <alignment horizontal="left" vertical="center"/>
    </xf>
    <xf numFmtId="169" fontId="28" fillId="2" borderId="13" xfId="88" quotePrefix="1" applyBorder="1" applyAlignment="1">
      <alignment horizontal="left" vertical="center"/>
    </xf>
  </cellXfs>
  <cellStyles count="91">
    <cellStyle name="Euro" xfId="1" xr:uid="{00000000-0005-0000-0000-000000000000}"/>
    <cellStyle name="FUTURA9" xfId="2" xr:uid="{00000000-0005-0000-0000-000001000000}"/>
    <cellStyle name="Hipervínculo" xfId="66" builtinId="8"/>
    <cellStyle name="Hipervínculo 2" xfId="33" xr:uid="{00000000-0005-0000-0000-000002000000}"/>
    <cellStyle name="Millares" xfId="71"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59" xr:uid="{66164B93-65A2-4E6E-B59B-EC36A45BCEB7}"/>
    <cellStyle name="MSTRStyle.Todos.c10_9bc36f20-d62c-4100-864b-2ce3176c08a6" xfId="84" xr:uid="{261B1AE8-29B9-4A71-AA9D-0BA725F68BE1}"/>
    <cellStyle name="MSTRStyle.Todos.c10_de9580a1-3d58-45d3-983d-0121107db173" xfId="58" xr:uid="{61836922-CCE8-44D1-990A-53D4B3E60064}"/>
    <cellStyle name="MSTRStyle.Todos.c11_9aeed9a0-1dcd-4458-8a5a-e22ad423d2a7" xfId="60" xr:uid="{AD04831E-8F0D-44DA-A82B-4C5A049C56B7}"/>
    <cellStyle name="MSTRStyle.Todos.c12_04393f74-caef-4779-a1bc-97cad4e1637e" xfId="44" xr:uid="{00000000-0005-0000-0000-00000E000000}"/>
    <cellStyle name="MSTRStyle.Todos.c13_1f45c18f-f49f-4755-908b-10e38c2e3163" xfId="77" xr:uid="{FCA4B10E-EE33-4397-B99A-F7ACDA67DE9E}"/>
    <cellStyle name="MSTRStyle.Todos.c13_87d7be99-df52-4067-a8d4-177d9bcab94b" xfId="82" xr:uid="{64089B7B-23AC-438D-B3C4-ACDBAA48B765}"/>
    <cellStyle name="MSTRStyle.Todos.c13_d92a60c7-3384-450c-8b0a-9fbe5fb5c7c3" xfId="62" xr:uid="{B6CFFEE3-2AF7-4ACD-B09C-05F462785A20}"/>
    <cellStyle name="MSTRStyle.Todos.c14_8171157e-8634-46a0-a47a-5c0800996ebb" xfId="41" xr:uid="{00000000-0005-0000-0000-000012000000}"/>
    <cellStyle name="MSTRStyle.Todos.c14_b8d3d029-c173-4fcf-ae43-19c2dd645511" xfId="64" xr:uid="{ECA070B7-8A4D-48C9-9D41-34175596A91A}"/>
    <cellStyle name="MSTRStyle.Todos.c15_1869017a-483c-40ce-aa41-b6f875413ed5" xfId="43" xr:uid="{00000000-0005-0000-0000-000013000000}"/>
    <cellStyle name="MSTRStyle.Todos.c16_0aca6bba-6dd1-43cf-8f70-abc091d0aeea" xfId="45"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9190d45b-ffc1-4104-b4c7-224707feff3e" xfId="42" xr:uid="{00000000-0005-0000-0000-000018000000}"/>
    <cellStyle name="MSTRStyle.Todos.c18_f36069f7-de38-438b-b3cd-3bacd5cdcd0c" xfId="75" xr:uid="{A0A1DEDF-AF84-431B-A689-3E47D430E622}"/>
    <cellStyle name="MSTRStyle.Todos.c19_7343edcc-569a-472c-8862-ad65001299f7" xfId="38" xr:uid="{00000000-0005-0000-0000-000019000000}"/>
    <cellStyle name="MSTRStyle.Todos.c2_1770ca99-95a1-4c32-8caa-a84928ae86dc" xfId="52" xr:uid="{00000000-0005-0000-0000-00001B000000}"/>
    <cellStyle name="MSTRStyle.Todos.c20_de1d9886-14e4-479c-a87c-a544df53b72f" xfId="51" xr:uid="{00000000-0005-0000-0000-00001C000000}"/>
    <cellStyle name="MSTRStyle.Todos.c21_1034e7df-20b4-4851-ba48-f23813b54d16" xfId="37" xr:uid="{00000000-0005-0000-0000-00001D000000}"/>
    <cellStyle name="MSTRStyle.Todos.c22_05f04fa5-a069-4698-b526-84b47104714b" xfId="74" xr:uid="{D4EBFC2B-A3B7-4888-9720-A4E461323554}"/>
    <cellStyle name="MSTRStyle.Todos.c22FB013911EA85FFC2610080EFD5BAAC_76fdbead-a11a-4d6e-9ddf-e574d99c4833" xfId="76" xr:uid="{9B3BCEA8-B04B-4414-8BCF-053019CD5067}"/>
    <cellStyle name="MSTRStyle.Todos.c23_a434b425-8db0-4990-aa7f-b71a4e2617de" xfId="40" xr:uid="{00000000-0005-0000-0000-000020000000}"/>
    <cellStyle name="MSTRStyle.Todos.c3_13bf36c8-3f00-44cb-ac7e-4b2798c4bf7a" xfId="53" xr:uid="{13F26237-7327-473B-B5B1-43CFE7AC2674}"/>
    <cellStyle name="MSTRStyle.Todos.c3_c4cc2c21-0e5a-4f1d-aa03-c8d867460512" xfId="61" xr:uid="{2FBEEFC6-4927-43EF-86CC-C2CB4E31433E}"/>
    <cellStyle name="MSTRStyle.Todos.c5E29F72711ED505700000080EF951C6B_c5dce312-fb35-46dd-8e75-db24d903cb28" xfId="87" xr:uid="{DD563A80-118E-42EB-949E-7F1BA88756B3}"/>
    <cellStyle name="MSTRStyle.Todos.c6_14b916b9-3928-4a37-b959-a4d2cc0d87c1" xfId="55" xr:uid="{C37C8868-6122-4FE6-BFB2-63E41E908936}"/>
    <cellStyle name="MSTRStyle.Todos.c6_45a13731-13c9-423a-be63-7c30eaced678" xfId="35" xr:uid="{00000000-0005-0000-0000-000023000000}"/>
    <cellStyle name="MSTRStyle.Todos.c6_61777fd2-1b09-4007-a1d9-90a6e78a2a7c" xfId="48" xr:uid="{00000000-0005-0000-0000-000024000000}"/>
    <cellStyle name="MSTRStyle.Todos.c6_6cb39904-4c30-4369-859d-02cae5e13fb8" xfId="88" xr:uid="{4B017D88-6E71-4CA9-A2EA-F3F4BDA8335E}"/>
    <cellStyle name="MSTRStyle.Todos.c7_43304d09-5b65-4e0e-9784-63a6af05ce89" xfId="49" xr:uid="{00000000-0005-0000-0000-000026000000}"/>
    <cellStyle name="MSTRStyle.Todos.c70D14ACA11EA32D01CD20080EFB5EA00_5fdec2cd-2afd-4a29-b530-7e0802ec361d" xfId="56" xr:uid="{49A4A61C-671E-4773-8499-88853451D819}"/>
    <cellStyle name="MSTRStyle.Todos.c70D153EE11EA32D01CD20080EFB5EA00_5427d19a-25a0-4d8a-94d3-5347b42308a2" xfId="57" xr:uid="{81B106EB-010C-44EF-BA24-2F1B8F78B25C}"/>
    <cellStyle name="MSTRStyle.Todos.c8_84f9e710-4ce8-4dfa-9724-f39923ad69e4" xfId="34" xr:uid="{00000000-0005-0000-0000-000027000000}"/>
    <cellStyle name="MSTRStyle.Todos.c9_78ea82b2-b25c-4386-8e66-cdd346d1bef0" xfId="54" xr:uid="{459C0C5C-EF2A-44AD-B890-04F2D55B19FA}"/>
    <cellStyle name="MSTRStyle.Todos.c90E4BB7911EAA65AC2610080EFB57AAD_f07eea07-c3ff-41b1-82da-2674436a3628" xfId="73" xr:uid="{642D75E5-BE96-4125-9F15-C402442EDC81}"/>
    <cellStyle name="MSTRStyle.Todos.cB9741C8011EA32D01CD20080EF058B01_45c5b83e-0976-42ec-8a77-fbb7bf985530" xfId="63" xr:uid="{B0ADF679-E4F8-4F3F-80C4-4333BB87D06E}"/>
    <cellStyle name="MSTRStyle.Todos.cB974281A11EA32D01CD20080EF058B01_e3608e4f-70c6-4e85-9df7-bb8af8595dd6" xfId="65" xr:uid="{3C216A56-6C36-4E2A-B160-75D8CE296AE0}"/>
    <cellStyle name="MSTRStyle.Todos.cD8A0D4CD11EA13A48B1B0080EF5575DA_366e978f-114a-4b5d-be20-800c36eeb15d" xfId="79" xr:uid="{13DC4E38-B73E-428C-9BFC-DE142B488BC1}"/>
    <cellStyle name="MSTRStyle.Todos.cFA43056511E9FB678F890080EFF52244_4ec8f762-4808-46be-a038-987e3097519d" xfId="72" xr:uid="{3F137070-9967-44D6-A7BC-3F3EA8CA6293}"/>
    <cellStyle name="Normal" xfId="0" builtinId="0"/>
    <cellStyle name="Normal 10" xfId="46" xr:uid="{00000000-0005-0000-0000-00002A000000}"/>
    <cellStyle name="Normal 11" xfId="50" xr:uid="{00000000-0005-0000-0000-00002B000000}"/>
    <cellStyle name="Normal 12" xfId="67" xr:uid="{70481923-B561-45D9-B815-6F3E40E58E42}"/>
    <cellStyle name="Normal 13" xfId="68" xr:uid="{F4CEF317-9534-4714-A33C-73D10F68157D}"/>
    <cellStyle name="Normal 14" xfId="69" xr:uid="{0C912CB0-5F3F-41CB-933B-8BBF2BD1891F}"/>
    <cellStyle name="Normal 15" xfId="70" xr:uid="{9C14DE39-61F6-4803-9D4C-50C086BDA55C}"/>
    <cellStyle name="Normal 16" xfId="78" xr:uid="{9E8EAD6E-6DBA-41E4-993F-5E886774A5DE}"/>
    <cellStyle name="Normal 17" xfId="80" xr:uid="{6046D703-8906-4AD6-A383-7897179C4955}"/>
    <cellStyle name="Normal 18" xfId="81" xr:uid="{5DF66136-CDFE-4A04-8587-EA9FF02EF8A5}"/>
    <cellStyle name="Normal 19" xfId="83" xr:uid="{CDCAEA77-3CE1-4541-BBAA-62EF90AD1B7C}"/>
    <cellStyle name="Normal 2" xfId="13" xr:uid="{00000000-0005-0000-0000-00002C000000}"/>
    <cellStyle name="Normal 2 2" xfId="89" xr:uid="{43E3660D-E118-4D08-9C85-407EEDF14FE1}"/>
    <cellStyle name="Normal 2 2 2" xfId="4" xr:uid="{00000000-0005-0000-0000-00002D000000}"/>
    <cellStyle name="Normal 20" xfId="85" xr:uid="{A79DDE69-9CF1-4FD9-8E32-07187CCE5DC8}"/>
    <cellStyle name="Normal 21" xfId="86" xr:uid="{ACD0ED57-34DF-4740-9CF0-3282C113B335}"/>
    <cellStyle name="Normal 22" xfId="90" xr:uid="{355B5799-480D-4FC9-B278-543BB6129D1B}"/>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7"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004563"/>
      <color rgb="FF31859C"/>
      <color rgb="FFAF8E00"/>
      <color rgb="FFFFFFFF"/>
      <color rgb="FFFFC000"/>
      <color rgb="FFFFCC99"/>
      <color rgb="FFFF9900"/>
      <color rgb="FFF2F2F2"/>
      <color rgb="FF28A064"/>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cked"/>
        <c:varyColors val="0"/>
        <c:ser>
          <c:idx val="0"/>
          <c:order val="1"/>
          <c:tx>
            <c:v>Precio mínimo</c:v>
          </c:tx>
          <c:spPr>
            <a:solidFill>
              <a:srgbClr val="F2F2F2"/>
            </a:solidFill>
          </c:spPr>
          <c:cat>
            <c:strLit>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Dat_01!$AA$8:$AA$38</c15:sqref>
                  </c15:fullRef>
                </c:ext>
              </c:extLst>
              <c:f>Dat_01!$AA$8:$AA$35</c:f>
              <c:numCache>
                <c:formatCode>#,##0.00</c:formatCode>
                <c:ptCount val="28"/>
                <c:pt idx="0">
                  <c:v>-4</c:v>
                </c:pt>
                <c:pt idx="1">
                  <c:v>-5</c:v>
                </c:pt>
                <c:pt idx="2">
                  <c:v>-5</c:v>
                </c:pt>
                <c:pt idx="3">
                  <c:v>-2.5002260834999999</c:v>
                </c:pt>
                <c:pt idx="4">
                  <c:v>-7.51</c:v>
                </c:pt>
                <c:pt idx="5">
                  <c:v>-6</c:v>
                </c:pt>
                <c:pt idx="6">
                  <c:v>0</c:v>
                </c:pt>
                <c:pt idx="7">
                  <c:v>2.1176302719</c:v>
                </c:pt>
                <c:pt idx="8">
                  <c:v>-0.84793480269999999</c:v>
                </c:pt>
                <c:pt idx="9">
                  <c:v>2.5191142999999999E-3</c:v>
                </c:pt>
                <c:pt idx="10">
                  <c:v>-1.4331632084999999</c:v>
                </c:pt>
                <c:pt idx="11">
                  <c:v>-0.81</c:v>
                </c:pt>
                <c:pt idx="12">
                  <c:v>-4.00511848E-2</c:v>
                </c:pt>
                <c:pt idx="13">
                  <c:v>-0.6</c:v>
                </c:pt>
                <c:pt idx="14">
                  <c:v>-0.81</c:v>
                </c:pt>
                <c:pt idx="15">
                  <c:v>-4.9504136000000001E-3</c:v>
                </c:pt>
                <c:pt idx="16">
                  <c:v>0</c:v>
                </c:pt>
                <c:pt idx="17">
                  <c:v>-2.0780044915999998</c:v>
                </c:pt>
                <c:pt idx="18">
                  <c:v>-4.2598951208000004</c:v>
                </c:pt>
                <c:pt idx="19">
                  <c:v>0</c:v>
                </c:pt>
                <c:pt idx="20">
                  <c:v>-0.10751815570000001</c:v>
                </c:pt>
                <c:pt idx="21">
                  <c:v>-0.95291471800000005</c:v>
                </c:pt>
                <c:pt idx="22">
                  <c:v>-0.81</c:v>
                </c:pt>
                <c:pt idx="23">
                  <c:v>14.704546862300001</c:v>
                </c:pt>
                <c:pt idx="24">
                  <c:v>-0.01</c:v>
                </c:pt>
                <c:pt idx="25">
                  <c:v>-5.1146825743999997</c:v>
                </c:pt>
                <c:pt idx="26">
                  <c:v>-0.82904595240000001</c:v>
                </c:pt>
                <c:pt idx="27">
                  <c:v>7.4915038999999999E-3</c:v>
                </c:pt>
              </c:numCache>
            </c:numRef>
          </c:val>
          <c:extLst>
            <c:ext xmlns:c16="http://schemas.microsoft.com/office/drawing/2014/chart" uri="{C3380CC4-5D6E-409C-BE32-E72D297353CC}">
              <c16:uniqueId val="{00000001-9F97-4626-80A4-AD849F207667}"/>
            </c:ext>
          </c:extLst>
        </c:ser>
        <c:ser>
          <c:idx val="2"/>
          <c:order val="2"/>
          <c:tx>
            <c:v>Precio máximo</c:v>
          </c:tx>
          <c:spPr>
            <a:solidFill>
              <a:schemeClr val="tx2">
                <a:lumMod val="40000"/>
                <a:lumOff val="60000"/>
              </a:schemeClr>
            </a:solidFill>
          </c:spPr>
          <c:cat>
            <c:strLit>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Dat_01!$AN$8:$AN$38</c15:sqref>
                  </c15:fullRef>
                </c:ext>
              </c:extLst>
              <c:f>Dat_01!$AN$8:$AN$35</c:f>
              <c:numCache>
                <c:formatCode>#,##0.00</c:formatCode>
                <c:ptCount val="28"/>
                <c:pt idx="0">
                  <c:v>39.017484680800003</c:v>
                </c:pt>
                <c:pt idx="1">
                  <c:v>40.012524333499996</c:v>
                </c:pt>
                <c:pt idx="2">
                  <c:v>85.679461737400004</c:v>
                </c:pt>
                <c:pt idx="3">
                  <c:v>79.521735330399991</c:v>
                </c:pt>
                <c:pt idx="4">
                  <c:v>83.489473099200012</c:v>
                </c:pt>
                <c:pt idx="5">
                  <c:v>51.575733976899997</c:v>
                </c:pt>
                <c:pt idx="6">
                  <c:v>118.20572718610001</c:v>
                </c:pt>
                <c:pt idx="7">
                  <c:v>134.25141416229999</c:v>
                </c:pt>
                <c:pt idx="8">
                  <c:v>130.64091270169999</c:v>
                </c:pt>
                <c:pt idx="9">
                  <c:v>104.74496259129999</c:v>
                </c:pt>
                <c:pt idx="10">
                  <c:v>83.409886838800006</c:v>
                </c:pt>
                <c:pt idx="11">
                  <c:v>72.493662587100005</c:v>
                </c:pt>
                <c:pt idx="12">
                  <c:v>99.995847632800007</c:v>
                </c:pt>
                <c:pt idx="13">
                  <c:v>115.4657157242</c:v>
                </c:pt>
                <c:pt idx="14">
                  <c:v>135.5067383741</c:v>
                </c:pt>
                <c:pt idx="15">
                  <c:v>134.68156269459999</c:v>
                </c:pt>
                <c:pt idx="16">
                  <c:v>122.9884316144</c:v>
                </c:pt>
                <c:pt idx="17">
                  <c:v>98.802330834700001</c:v>
                </c:pt>
                <c:pt idx="18">
                  <c:v>91.892888023399991</c:v>
                </c:pt>
                <c:pt idx="19">
                  <c:v>109.54837175350001</c:v>
                </c:pt>
                <c:pt idx="20">
                  <c:v>88.003069922000009</c:v>
                </c:pt>
                <c:pt idx="21">
                  <c:v>109.2326625633</c:v>
                </c:pt>
                <c:pt idx="22">
                  <c:v>90.295836575899997</c:v>
                </c:pt>
                <c:pt idx="23">
                  <c:v>98.16713326339999</c:v>
                </c:pt>
                <c:pt idx="24">
                  <c:v>92.439767461200006</c:v>
                </c:pt>
                <c:pt idx="25">
                  <c:v>100.2230423826</c:v>
                </c:pt>
                <c:pt idx="26">
                  <c:v>100.79216301059999</c:v>
                </c:pt>
                <c:pt idx="27">
                  <c:v>109.467225853</c:v>
                </c:pt>
              </c:numCache>
            </c:numRef>
          </c:val>
          <c:extLst>
            <c:ext xmlns:c16="http://schemas.microsoft.com/office/drawing/2014/chart" uri="{C3380CC4-5D6E-409C-BE32-E72D297353CC}">
              <c16:uniqueId val="{00000000-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extLst>
                <c:ext xmlns:c15="http://schemas.microsoft.com/office/drawing/2012/chart" uri="{02D57815-91ED-43cb-92C2-25804820EDAC}">
                  <c15:fullRef>
                    <c15:sqref>Dat_01!$AQ$8:$AQ$38</c15:sqref>
                  </c15:fullRef>
                </c:ext>
              </c:extLst>
              <c:f>Dat_01!$AQ$8:$AQ$35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extLst>
                <c:ext xmlns:c15="http://schemas.microsoft.com/office/drawing/2012/chart" uri="{02D57815-91ED-43cb-92C2-25804820EDAC}">
                  <c15:fullRef>
                    <c15:sqref>Dat_01!$AC$8:$AC$38</c15:sqref>
                  </c15:fullRef>
                </c:ext>
              </c:extLst>
              <c:f>Dat_01!$AC$8:$AC$35</c:f>
              <c:numCache>
                <c:formatCode>#,##0.00</c:formatCode>
                <c:ptCount val="28"/>
                <c:pt idx="0">
                  <c:v>5.0207399844999996</c:v>
                </c:pt>
                <c:pt idx="1">
                  <c:v>4.8619201326999999</c:v>
                </c:pt>
                <c:pt idx="2">
                  <c:v>13.9716100624</c:v>
                </c:pt>
                <c:pt idx="3">
                  <c:v>18.912148481999999</c:v>
                </c:pt>
                <c:pt idx="4">
                  <c:v>20.797058466500001</c:v>
                </c:pt>
                <c:pt idx="5">
                  <c:v>17.756290558100002</c:v>
                </c:pt>
                <c:pt idx="6">
                  <c:v>30.4609241858</c:v>
                </c:pt>
                <c:pt idx="7">
                  <c:v>56.461479758199999</c:v>
                </c:pt>
                <c:pt idx="8">
                  <c:v>46.156333531500003</c:v>
                </c:pt>
                <c:pt idx="9">
                  <c:v>38.641392030200002</c:v>
                </c:pt>
                <c:pt idx="10">
                  <c:v>23.975591469099999</c:v>
                </c:pt>
                <c:pt idx="11">
                  <c:v>13.1443235111</c:v>
                </c:pt>
                <c:pt idx="12">
                  <c:v>20.670538945800001</c:v>
                </c:pt>
                <c:pt idx="13">
                  <c:v>37.765489372399998</c:v>
                </c:pt>
                <c:pt idx="14">
                  <c:v>49.651402209700002</c:v>
                </c:pt>
                <c:pt idx="15">
                  <c:v>58.585668806500003</c:v>
                </c:pt>
                <c:pt idx="16">
                  <c:v>58.783249548299999</c:v>
                </c:pt>
                <c:pt idx="17">
                  <c:v>37.9926280874</c:v>
                </c:pt>
                <c:pt idx="18">
                  <c:v>30.7603178512</c:v>
                </c:pt>
                <c:pt idx="19">
                  <c:v>41.402004620500001</c:v>
                </c:pt>
                <c:pt idx="20">
                  <c:v>36.633628119900003</c:v>
                </c:pt>
                <c:pt idx="21">
                  <c:v>40.3660955657</c:v>
                </c:pt>
                <c:pt idx="22">
                  <c:v>39.836886733</c:v>
                </c:pt>
                <c:pt idx="23">
                  <c:v>66.366312100599998</c:v>
                </c:pt>
                <c:pt idx="24">
                  <c:v>40.792687625399999</c:v>
                </c:pt>
                <c:pt idx="25">
                  <c:v>29.091922515899999</c:v>
                </c:pt>
                <c:pt idx="26">
                  <c:v>38.2807661903</c:v>
                </c:pt>
                <c:pt idx="27">
                  <c:v>47.031230454300001</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no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max val="250"/>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solidFill>
          <a:srgbClr val="F2F2F2"/>
        </a:solid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rgbClr val="F2F2F2"/>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Dat_01!#REF!</c:f>
              <c:numCache>
                <c:formatCode>General</c:formatCode>
                <c:ptCount val="1"/>
                <c:pt idx="0">
                  <c:v>1</c:v>
                </c:pt>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Dat_01!$B$184:$N$184</c:f>
              <c:numCache>
                <c:formatCode>#,##0</c:formatCode>
                <c:ptCount val="13"/>
                <c:pt idx="0">
                  <c:v>1185.1831761006249</c:v>
                </c:pt>
                <c:pt idx="1">
                  <c:v>1194.9334677419249</c:v>
                </c:pt>
                <c:pt idx="2">
                  <c:v>1196.13055555555</c:v>
                </c:pt>
                <c:pt idx="3">
                  <c:v>1196.6243279570001</c:v>
                </c:pt>
                <c:pt idx="4">
                  <c:v>1193.9107638889</c:v>
                </c:pt>
                <c:pt idx="5">
                  <c:v>1186.19756944445</c:v>
                </c:pt>
                <c:pt idx="6">
                  <c:v>1174.1842281879251</c:v>
                </c:pt>
                <c:pt idx="7">
                  <c:v>1169.1361111111</c:v>
                </c:pt>
                <c:pt idx="8">
                  <c:v>1170.0030241935499</c:v>
                </c:pt>
                <c:pt idx="9">
                  <c:v>1185.5510752688249</c:v>
                </c:pt>
                <c:pt idx="10">
                  <c:v>1168.0904017857249</c:v>
                </c:pt>
                <c:pt idx="11">
                  <c:v>1213.781628532975</c:v>
                </c:pt>
                <c:pt idx="12">
                  <c:v>1220.96875</c:v>
                </c:pt>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Dat_01!$C$416:$O$416</c:f>
              <c:numCache>
                <c:formatCode>#,##0.00</c:formatCode>
                <c:ptCount val="13"/>
                <c:pt idx="0">
                  <c:v>18.106053319000001</c:v>
                </c:pt>
                <c:pt idx="1">
                  <c:v>17.670425277900002</c:v>
                </c:pt>
                <c:pt idx="2">
                  <c:v>12.5788518301</c:v>
                </c:pt>
                <c:pt idx="3">
                  <c:v>13.7043949349</c:v>
                </c:pt>
                <c:pt idx="4">
                  <c:v>18.185907200199999</c:v>
                </c:pt>
                <c:pt idx="5">
                  <c:v>24.3133326757</c:v>
                </c:pt>
                <c:pt idx="6">
                  <c:v>16.621921591100001</c:v>
                </c:pt>
                <c:pt idx="7">
                  <c:v>18.8662189675</c:v>
                </c:pt>
                <c:pt idx="8">
                  <c:v>13.108400383799999</c:v>
                </c:pt>
                <c:pt idx="9">
                  <c:v>10.8123653194</c:v>
                </c:pt>
                <c:pt idx="10">
                  <c:v>15.1023403009</c:v>
                </c:pt>
                <c:pt idx="11">
                  <c:v>10.382563942199999</c:v>
                </c:pt>
                <c:pt idx="12">
                  <c:v>15.5035226809</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4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70"/>
        </c:scaling>
        <c:delete val="0"/>
        <c:axPos val="r"/>
        <c:numFmt formatCode="#,##0" sourceLinked="0"/>
        <c:majorTickMark val="out"/>
        <c:minorTickMark val="none"/>
        <c:tickLblPos val="nextTo"/>
        <c:spPr>
          <a:ln>
            <a:noFill/>
          </a:ln>
        </c:spPr>
        <c:crossAx val="1440999263"/>
        <c:crosses val="max"/>
        <c:crossBetween val="between"/>
        <c:majorUnit val="10"/>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Dat_01!$B$192:$N$192</c:f>
              <c:numCache>
                <c:formatCode>#,##0;\(#,##0\)</c:formatCode>
                <c:ptCount val="13"/>
                <c:pt idx="0">
                  <c:v>85.516738000000004</c:v>
                </c:pt>
                <c:pt idx="1">
                  <c:v>100.845438</c:v>
                </c:pt>
                <c:pt idx="2">
                  <c:v>88.146169</c:v>
                </c:pt>
                <c:pt idx="3">
                  <c:v>58.699295999999997</c:v>
                </c:pt>
                <c:pt idx="4">
                  <c:v>71.704355000000007</c:v>
                </c:pt>
                <c:pt idx="5">
                  <c:v>68.034813999999997</c:v>
                </c:pt>
                <c:pt idx="6">
                  <c:v>90.106879000000006</c:v>
                </c:pt>
                <c:pt idx="7">
                  <c:v>88.275216</c:v>
                </c:pt>
                <c:pt idx="8">
                  <c:v>92.510457000000002</c:v>
                </c:pt>
                <c:pt idx="9">
                  <c:v>92.520251000000002</c:v>
                </c:pt>
                <c:pt idx="10">
                  <c:v>69.668030000000002</c:v>
                </c:pt>
                <c:pt idx="11">
                  <c:v>69.640814000000006</c:v>
                </c:pt>
                <c:pt idx="12">
                  <c:v>74.917534000000003</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2025 Abril</c:v>
                </c:pt>
                <c:pt idx="1">
                  <c:v>2025 Mayo</c:v>
                </c:pt>
                <c:pt idx="2">
                  <c:v>2025 Junio</c:v>
                </c:pt>
                <c:pt idx="3">
                  <c:v>2025 Julio</c:v>
                </c:pt>
                <c:pt idx="4">
                  <c:v>2025 Agosto</c:v>
                </c:pt>
                <c:pt idx="5">
                  <c:v>2025 Septiembre</c:v>
                </c:pt>
                <c:pt idx="6">
                  <c:v>2025 Octubre</c:v>
                </c:pt>
                <c:pt idx="7">
                  <c:v>2025 Noviembre</c:v>
                </c:pt>
                <c:pt idx="8">
                  <c:v>2025 Diciembre</c:v>
                </c:pt>
                <c:pt idx="9">
                  <c:v>2026 Enero</c:v>
                </c:pt>
                <c:pt idx="10">
                  <c:v>2026 Febrero</c:v>
                </c:pt>
                <c:pt idx="11">
                  <c:v>2026 Marzo</c:v>
                </c:pt>
                <c:pt idx="12">
                  <c:v>2026 Abril</c:v>
                </c:pt>
              </c:strCache>
            </c:strRef>
          </c:cat>
          <c:val>
            <c:numRef>
              <c:f>Dat_01!$C$413:$O$413</c:f>
              <c:numCache>
                <c:formatCode>#,##0.00</c:formatCode>
                <c:ptCount val="13"/>
                <c:pt idx="0">
                  <c:v>77.523932633800001</c:v>
                </c:pt>
                <c:pt idx="1">
                  <c:v>63.343057325899998</c:v>
                </c:pt>
                <c:pt idx="2">
                  <c:v>112.625288936</c:v>
                </c:pt>
                <c:pt idx="3">
                  <c:v>110.444987815</c:v>
                </c:pt>
                <c:pt idx="4">
                  <c:v>98.521136264800006</c:v>
                </c:pt>
                <c:pt idx="5">
                  <c:v>101.9472367099</c:v>
                </c:pt>
                <c:pt idx="6">
                  <c:v>97.886706690099999</c:v>
                </c:pt>
                <c:pt idx="7">
                  <c:v>88.113274485000005</c:v>
                </c:pt>
                <c:pt idx="8">
                  <c:v>96.135054601199997</c:v>
                </c:pt>
                <c:pt idx="9">
                  <c:v>104.8609944799</c:v>
                </c:pt>
                <c:pt idx="10">
                  <c:v>56.752351668899998</c:v>
                </c:pt>
                <c:pt idx="11">
                  <c:v>85.8452393779</c:v>
                </c:pt>
                <c:pt idx="12">
                  <c:v>101.3559995067</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3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Dat_01!$B$191:$N$191</c:f>
              <c:numCache>
                <c:formatCode>#,##0;\(#,##0\)</c:formatCode>
                <c:ptCount val="13"/>
                <c:pt idx="0">
                  <c:v>92.657791000000003</c:v>
                </c:pt>
                <c:pt idx="1">
                  <c:v>95.844481999999999</c:v>
                </c:pt>
                <c:pt idx="2">
                  <c:v>72.700210999999996</c:v>
                </c:pt>
                <c:pt idx="3">
                  <c:v>80.985911000000002</c:v>
                </c:pt>
                <c:pt idx="4">
                  <c:v>71.164877000000004</c:v>
                </c:pt>
                <c:pt idx="5">
                  <c:v>86.558627999999999</c:v>
                </c:pt>
                <c:pt idx="6">
                  <c:v>64.755118999999993</c:v>
                </c:pt>
                <c:pt idx="7">
                  <c:v>78.213511999999994</c:v>
                </c:pt>
                <c:pt idx="8">
                  <c:v>49.694707000000001</c:v>
                </c:pt>
                <c:pt idx="9">
                  <c:v>88.198836999999997</c:v>
                </c:pt>
                <c:pt idx="10">
                  <c:v>96.958464000000006</c:v>
                </c:pt>
                <c:pt idx="11">
                  <c:v>102.83373899999999</c:v>
                </c:pt>
                <c:pt idx="12">
                  <c:v>79.366540000000001</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Dat_01!$C$417:$O$417</c:f>
              <c:numCache>
                <c:formatCode>#,##0.00</c:formatCode>
                <c:ptCount val="13"/>
                <c:pt idx="0">
                  <c:v>-25.501952932799998</c:v>
                </c:pt>
                <c:pt idx="1">
                  <c:v>-21.3875057447</c:v>
                </c:pt>
                <c:pt idx="2">
                  <c:v>12.0135543721</c:v>
                </c:pt>
                <c:pt idx="3">
                  <c:v>12.2452130523</c:v>
                </c:pt>
                <c:pt idx="4">
                  <c:v>15.0051950839</c:v>
                </c:pt>
                <c:pt idx="5">
                  <c:v>-5.3674323135000002</c:v>
                </c:pt>
                <c:pt idx="6">
                  <c:v>3.3776366820999999</c:v>
                </c:pt>
                <c:pt idx="7">
                  <c:v>-5.9475195433000003</c:v>
                </c:pt>
                <c:pt idx="8">
                  <c:v>20.511905126199999</c:v>
                </c:pt>
                <c:pt idx="9">
                  <c:v>-14.7022421982</c:v>
                </c:pt>
                <c:pt idx="10">
                  <c:v>-27.801700988499999</c:v>
                </c:pt>
                <c:pt idx="11">
                  <c:v>-25.084918421099999</c:v>
                </c:pt>
                <c:pt idx="12">
                  <c:v>-4.7030104130000003</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3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ax val="150"/>
          <c:min val="-6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67754158002566311"/>
        </c:manualLayout>
      </c:layout>
      <c:barChart>
        <c:barDir val="col"/>
        <c:grouping val="stacked"/>
        <c:varyColors val="0"/>
        <c:ser>
          <c:idx val="1"/>
          <c:order val="0"/>
          <c:tx>
            <c:strRef>
              <c:f>Dat_01!$B$217</c:f>
              <c:strCache>
                <c:ptCount val="1"/>
                <c:pt idx="0">
                  <c:v>Almacenamiento</c:v>
                </c:pt>
              </c:strCache>
              <c:extLst xmlns:c15="http://schemas.microsoft.com/office/drawing/2012/chart"/>
            </c:strRef>
          </c:tx>
          <c:spPr>
            <a:solidFill>
              <a:srgbClr val="31859C"/>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extLst xmlns:c15="http://schemas.microsoft.com/office/drawing/2012/chart"/>
            </c:strRef>
          </c:cat>
          <c:val>
            <c:numRef>
              <c:f>Dat_01!$C$217:$O$217</c:f>
              <c:numCache>
                <c:formatCode>#,##0.0</c:formatCode>
                <c:ptCount val="13"/>
                <c:pt idx="0">
                  <c:v>0</c:v>
                </c:pt>
                <c:pt idx="1">
                  <c:v>0</c:v>
                </c:pt>
                <c:pt idx="2">
                  <c:v>0</c:v>
                </c:pt>
                <c:pt idx="3">
                  <c:v>0</c:v>
                </c:pt>
                <c:pt idx="4">
                  <c:v>0</c:v>
                </c:pt>
                <c:pt idx="5">
                  <c:v>0</c:v>
                </c:pt>
                <c:pt idx="6">
                  <c:v>0</c:v>
                </c:pt>
                <c:pt idx="7">
                  <c:v>0</c:v>
                </c:pt>
                <c:pt idx="8">
                  <c:v>0</c:v>
                </c:pt>
                <c:pt idx="9">
                  <c:v>0</c:v>
                </c:pt>
                <c:pt idx="10">
                  <c:v>0</c:v>
                </c:pt>
                <c:pt idx="11">
                  <c:v>12.2</c:v>
                </c:pt>
                <c:pt idx="12">
                  <c:v>11.317</c:v>
                </c:pt>
              </c:numCache>
              <c:extLst xmlns:c15="http://schemas.microsoft.com/office/drawing/2012/chart"/>
            </c:numRef>
          </c:val>
          <c:extLst xmlns:c15="http://schemas.microsoft.com/office/drawing/2012/chart">
            <c:ext xmlns:c16="http://schemas.microsoft.com/office/drawing/2014/chart" uri="{C3380CC4-5D6E-409C-BE32-E72D297353CC}">
              <c16:uniqueId val="{0000000B-BED9-452D-8454-5CC367FCBEF2}"/>
            </c:ext>
          </c:extLst>
        </c:ser>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Dat_01!$C$218:$O$218</c:f>
              <c:numCache>
                <c:formatCode>#,##0.0</c:formatCode>
                <c:ptCount val="13"/>
                <c:pt idx="0">
                  <c:v>105</c:v>
                </c:pt>
                <c:pt idx="1">
                  <c:v>0</c:v>
                </c:pt>
                <c:pt idx="2">
                  <c:v>83.75</c:v>
                </c:pt>
                <c:pt idx="3">
                  <c:v>10</c:v>
                </c:pt>
                <c:pt idx="4">
                  <c:v>0</c:v>
                </c:pt>
                <c:pt idx="5">
                  <c:v>0</c:v>
                </c:pt>
                <c:pt idx="6">
                  <c:v>0</c:v>
                </c:pt>
                <c:pt idx="7">
                  <c:v>0</c:v>
                </c:pt>
                <c:pt idx="8">
                  <c:v>2.5</c:v>
                </c:pt>
                <c:pt idx="9">
                  <c:v>0</c:v>
                </c:pt>
                <c:pt idx="10">
                  <c:v>0</c:v>
                </c:pt>
                <c:pt idx="11">
                  <c:v>132</c:v>
                </c:pt>
                <c:pt idx="12">
                  <c:v>0</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Dat_01!$C$219:$O$219</c:f>
              <c:numCache>
                <c:formatCode>#,##0.0</c:formatCode>
                <c:ptCount val="13"/>
                <c:pt idx="0">
                  <c:v>16612.3</c:v>
                </c:pt>
                <c:pt idx="1">
                  <c:v>9449.5499999999993</c:v>
                </c:pt>
                <c:pt idx="2">
                  <c:v>34376.15</c:v>
                </c:pt>
                <c:pt idx="3">
                  <c:v>27134.55</c:v>
                </c:pt>
                <c:pt idx="4">
                  <c:v>23693.05</c:v>
                </c:pt>
                <c:pt idx="5">
                  <c:v>36576.124000000003</c:v>
                </c:pt>
                <c:pt idx="6">
                  <c:v>44677.858999999997</c:v>
                </c:pt>
                <c:pt idx="7">
                  <c:v>15669.689</c:v>
                </c:pt>
                <c:pt idx="8">
                  <c:v>18577.234</c:v>
                </c:pt>
                <c:pt idx="9">
                  <c:v>26667.285</c:v>
                </c:pt>
                <c:pt idx="10">
                  <c:v>6967.4669999999996</c:v>
                </c:pt>
                <c:pt idx="11">
                  <c:v>4851.6670000000004</c:v>
                </c:pt>
                <c:pt idx="12">
                  <c:v>4275.6840000000002</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Dat_01!$C$220:$O$220</c:f>
              <c:numCache>
                <c:formatCode>#,##0.0</c:formatCode>
                <c:ptCount val="13"/>
                <c:pt idx="0">
                  <c:v>1568.95</c:v>
                </c:pt>
                <c:pt idx="1">
                  <c:v>863.15</c:v>
                </c:pt>
                <c:pt idx="2">
                  <c:v>366.5</c:v>
                </c:pt>
                <c:pt idx="3">
                  <c:v>941.3</c:v>
                </c:pt>
                <c:pt idx="4">
                  <c:v>409.5</c:v>
                </c:pt>
                <c:pt idx="5">
                  <c:v>383.58300000000003</c:v>
                </c:pt>
                <c:pt idx="6">
                  <c:v>701.5</c:v>
                </c:pt>
                <c:pt idx="7">
                  <c:v>436.983</c:v>
                </c:pt>
                <c:pt idx="8">
                  <c:v>509.983</c:v>
                </c:pt>
                <c:pt idx="9">
                  <c:v>1312.75</c:v>
                </c:pt>
                <c:pt idx="10">
                  <c:v>1237.567</c:v>
                </c:pt>
                <c:pt idx="11">
                  <c:v>1030.75</c:v>
                </c:pt>
                <c:pt idx="12">
                  <c:v>1191.55</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Dat_01!$C$221:$O$221</c:f>
              <c:numCache>
                <c:formatCode>#,##0.0</c:formatCode>
                <c:ptCount val="13"/>
                <c:pt idx="0">
                  <c:v>44515.75</c:v>
                </c:pt>
                <c:pt idx="1">
                  <c:v>21756.775000000001</c:v>
                </c:pt>
                <c:pt idx="2">
                  <c:v>9671.85</c:v>
                </c:pt>
                <c:pt idx="3">
                  <c:v>22367.341</c:v>
                </c:pt>
                <c:pt idx="4">
                  <c:v>22439.35</c:v>
                </c:pt>
                <c:pt idx="5">
                  <c:v>24097.200000000001</c:v>
                </c:pt>
                <c:pt idx="6">
                  <c:v>24976.831999999999</c:v>
                </c:pt>
                <c:pt idx="7">
                  <c:v>15651.814</c:v>
                </c:pt>
                <c:pt idx="8">
                  <c:v>21209.651000000002</c:v>
                </c:pt>
                <c:pt idx="9">
                  <c:v>65291.366000000002</c:v>
                </c:pt>
                <c:pt idx="10">
                  <c:v>38186.917999999998</c:v>
                </c:pt>
                <c:pt idx="11">
                  <c:v>48358.516000000003</c:v>
                </c:pt>
                <c:pt idx="12">
                  <c:v>50625.148000000001</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Dat_01!$C$223:$O$223</c:f>
              <c:numCache>
                <c:formatCode>#,##0.0</c:formatCode>
                <c:ptCount val="13"/>
                <c:pt idx="0">
                  <c:v>130290.417</c:v>
                </c:pt>
                <c:pt idx="1">
                  <c:v>60074.966999999997</c:v>
                </c:pt>
                <c:pt idx="2">
                  <c:v>26082.375</c:v>
                </c:pt>
                <c:pt idx="3">
                  <c:v>69061.966</c:v>
                </c:pt>
                <c:pt idx="4">
                  <c:v>52735.925999999999</c:v>
                </c:pt>
                <c:pt idx="5">
                  <c:v>63325.637000000002</c:v>
                </c:pt>
                <c:pt idx="6">
                  <c:v>57328.411</c:v>
                </c:pt>
                <c:pt idx="7">
                  <c:v>74208.519</c:v>
                </c:pt>
                <c:pt idx="8">
                  <c:v>31529.169000000002</c:v>
                </c:pt>
                <c:pt idx="9">
                  <c:v>172075.13800000001</c:v>
                </c:pt>
                <c:pt idx="10">
                  <c:v>226398.48300000001</c:v>
                </c:pt>
                <c:pt idx="11">
                  <c:v>166041.867</c:v>
                </c:pt>
                <c:pt idx="12">
                  <c:v>94856.077999999994</c:v>
                </c:pt>
              </c:numCache>
            </c:numRef>
          </c:val>
          <c:extLst>
            <c:ext xmlns:c16="http://schemas.microsoft.com/office/drawing/2014/chart" uri="{C3380CC4-5D6E-409C-BE32-E72D297353CC}">
              <c16:uniqueId val="{00000004-BED9-452D-8454-5CC367FCBEF2}"/>
            </c:ext>
          </c:extLst>
        </c:ser>
        <c:ser>
          <c:idx val="8"/>
          <c:order val="6"/>
          <c:tx>
            <c:strRef>
              <c:f>Dat_01!$B$224</c:f>
              <c:strCache>
                <c:ptCount val="1"/>
                <c:pt idx="0">
                  <c:v>Turbina Vapor, Gas y Fuel</c:v>
                </c:pt>
              </c:strCache>
              <c:extLst xmlns:c15="http://schemas.microsoft.com/office/drawing/2012/chart"/>
            </c:strRef>
          </c:tx>
          <c:spPr>
            <a:solidFill>
              <a:srgbClr val="BA0F16"/>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extLst xmlns:c15="http://schemas.microsoft.com/office/drawing/2012/chart"/>
            </c:strRef>
          </c:cat>
          <c:val>
            <c:numRef>
              <c:f>Dat_01!$C$224:$O$224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C-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Dat_01!$C$226:$O$226</c:f>
              <c:numCache>
                <c:formatCode>#,##0.0</c:formatCode>
                <c:ptCount val="13"/>
                <c:pt idx="0">
                  <c:v>66805.399999999994</c:v>
                </c:pt>
                <c:pt idx="1">
                  <c:v>38696.474999999999</c:v>
                </c:pt>
                <c:pt idx="2">
                  <c:v>56107.25</c:v>
                </c:pt>
                <c:pt idx="3">
                  <c:v>28608.517</c:v>
                </c:pt>
                <c:pt idx="4">
                  <c:v>11833.25</c:v>
                </c:pt>
                <c:pt idx="5">
                  <c:v>35547.775999999998</c:v>
                </c:pt>
                <c:pt idx="6">
                  <c:v>21124.741000000002</c:v>
                </c:pt>
                <c:pt idx="7">
                  <c:v>14523.97</c:v>
                </c:pt>
                <c:pt idx="8">
                  <c:v>20973.499</c:v>
                </c:pt>
                <c:pt idx="9">
                  <c:v>50957.332999999999</c:v>
                </c:pt>
                <c:pt idx="10">
                  <c:v>33449.748</c:v>
                </c:pt>
                <c:pt idx="11">
                  <c:v>98937.600000000006</c:v>
                </c:pt>
                <c:pt idx="12">
                  <c:v>32663.774000000001</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extLst xmlns:c15="http://schemas.microsoft.com/office/drawing/2012/chart"/>
            </c:strRef>
          </c:cat>
          <c:val>
            <c:numRef>
              <c:f>Dat_01!$C$228:$O$228</c:f>
              <c:numCache>
                <c:formatCode>#,##0.0</c:formatCode>
                <c:ptCount val="13"/>
                <c:pt idx="0">
                  <c:v>42367.775000000001</c:v>
                </c:pt>
                <c:pt idx="1">
                  <c:v>23024.25</c:v>
                </c:pt>
                <c:pt idx="2">
                  <c:v>44160.5</c:v>
                </c:pt>
                <c:pt idx="3">
                  <c:v>32261.5</c:v>
                </c:pt>
                <c:pt idx="4">
                  <c:v>35004.25</c:v>
                </c:pt>
                <c:pt idx="5">
                  <c:v>45108.25</c:v>
                </c:pt>
                <c:pt idx="6">
                  <c:v>21705.724999999999</c:v>
                </c:pt>
                <c:pt idx="7">
                  <c:v>6274.25</c:v>
                </c:pt>
                <c:pt idx="8">
                  <c:v>33295.5</c:v>
                </c:pt>
                <c:pt idx="9">
                  <c:v>33967.75</c:v>
                </c:pt>
                <c:pt idx="10">
                  <c:v>12881.5</c:v>
                </c:pt>
                <c:pt idx="11">
                  <c:v>21034.724999999999</c:v>
                </c:pt>
                <c:pt idx="12">
                  <c:v>22465.174999999999</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Dat_01!$C$229:$O$229</c:f>
              <c:numCache>
                <c:formatCode>#,##0.0</c:formatCode>
                <c:ptCount val="13"/>
                <c:pt idx="0">
                  <c:v>203.75</c:v>
                </c:pt>
                <c:pt idx="1">
                  <c:v>2702</c:v>
                </c:pt>
                <c:pt idx="2">
                  <c:v>200.75</c:v>
                </c:pt>
                <c:pt idx="3">
                  <c:v>0.5</c:v>
                </c:pt>
                <c:pt idx="4">
                  <c:v>8</c:v>
                </c:pt>
                <c:pt idx="5">
                  <c:v>350.21699999999998</c:v>
                </c:pt>
                <c:pt idx="6">
                  <c:v>1195</c:v>
                </c:pt>
                <c:pt idx="7">
                  <c:v>416.85</c:v>
                </c:pt>
                <c:pt idx="8">
                  <c:v>643.25</c:v>
                </c:pt>
                <c:pt idx="9">
                  <c:v>60.75</c:v>
                </c:pt>
                <c:pt idx="10">
                  <c:v>441.5</c:v>
                </c:pt>
                <c:pt idx="11">
                  <c:v>444.93299999999999</c:v>
                </c:pt>
                <c:pt idx="12">
                  <c:v>401.25</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Dat_01!$C$230:$O$230</c:f>
              <c:numCache>
                <c:formatCode>#,##0.0</c:formatCode>
                <c:ptCount val="13"/>
                <c:pt idx="0">
                  <c:v>3896.5160000000001</c:v>
                </c:pt>
                <c:pt idx="1">
                  <c:v>4437.6490000000003</c:v>
                </c:pt>
                <c:pt idx="2">
                  <c:v>3327.3</c:v>
                </c:pt>
                <c:pt idx="3">
                  <c:v>2881.4830000000002</c:v>
                </c:pt>
                <c:pt idx="4">
                  <c:v>2162.366</c:v>
                </c:pt>
                <c:pt idx="5">
                  <c:v>1952.1</c:v>
                </c:pt>
                <c:pt idx="6">
                  <c:v>2307.5140000000001</c:v>
                </c:pt>
                <c:pt idx="7">
                  <c:v>1742.778</c:v>
                </c:pt>
                <c:pt idx="8">
                  <c:v>2462.2339999999999</c:v>
                </c:pt>
                <c:pt idx="9">
                  <c:v>4065.0329999999999</c:v>
                </c:pt>
                <c:pt idx="10">
                  <c:v>3720.0479999999998</c:v>
                </c:pt>
                <c:pt idx="11">
                  <c:v>4124.4660000000003</c:v>
                </c:pt>
                <c:pt idx="12">
                  <c:v>4307.8339999999998</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24</c:v>
                </c:pt>
                <c:pt idx="7">
                  <c:v>11.75</c:v>
                </c:pt>
                <c:pt idx="8">
                  <c:v>5</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Dat_01!$C$232:$O$232</c:f>
              <c:numCache>
                <c:formatCode>#,##0.0</c:formatCode>
                <c:ptCount val="13"/>
                <c:pt idx="0">
                  <c:v>104779.283</c:v>
                </c:pt>
                <c:pt idx="1">
                  <c:v>99194.45</c:v>
                </c:pt>
                <c:pt idx="2">
                  <c:v>21212.375</c:v>
                </c:pt>
                <c:pt idx="3">
                  <c:v>83232.362999999998</c:v>
                </c:pt>
                <c:pt idx="4">
                  <c:v>66270.042000000001</c:v>
                </c:pt>
                <c:pt idx="5">
                  <c:v>79062.11</c:v>
                </c:pt>
                <c:pt idx="6">
                  <c:v>49350.519</c:v>
                </c:pt>
                <c:pt idx="7">
                  <c:v>25768.780999999999</c:v>
                </c:pt>
                <c:pt idx="8">
                  <c:v>6381.4690000000001</c:v>
                </c:pt>
                <c:pt idx="9">
                  <c:v>37857.144999999997</c:v>
                </c:pt>
                <c:pt idx="10">
                  <c:v>244589.13800000001</c:v>
                </c:pt>
                <c:pt idx="11">
                  <c:v>297394.19300000003</c:v>
                </c:pt>
                <c:pt idx="12">
                  <c:v>192102.17</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Dat_01!$C$233:$O$233</c:f>
              <c:numCache>
                <c:formatCode>#,##0.0</c:formatCode>
                <c:ptCount val="13"/>
                <c:pt idx="0">
                  <c:v>679</c:v>
                </c:pt>
                <c:pt idx="1">
                  <c:v>1243.3</c:v>
                </c:pt>
                <c:pt idx="2">
                  <c:v>979.75</c:v>
                </c:pt>
                <c:pt idx="3">
                  <c:v>771.75</c:v>
                </c:pt>
                <c:pt idx="4">
                  <c:v>1365</c:v>
                </c:pt>
                <c:pt idx="5">
                  <c:v>807.75</c:v>
                </c:pt>
                <c:pt idx="6">
                  <c:v>909</c:v>
                </c:pt>
                <c:pt idx="7">
                  <c:v>86.75</c:v>
                </c:pt>
                <c:pt idx="8">
                  <c:v>606.25</c:v>
                </c:pt>
                <c:pt idx="9">
                  <c:v>1893.25</c:v>
                </c:pt>
                <c:pt idx="10">
                  <c:v>2902.5</c:v>
                </c:pt>
                <c:pt idx="11">
                  <c:v>2653.5</c:v>
                </c:pt>
                <c:pt idx="12">
                  <c:v>3265.75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Dat_01!$C$234:$O$234</c:f>
              <c:numCache>
                <c:formatCode>#,##0.0</c:formatCode>
                <c:ptCount val="13"/>
                <c:pt idx="0">
                  <c:v>24323</c:v>
                </c:pt>
                <c:pt idx="1">
                  <c:v>15956.517</c:v>
                </c:pt>
                <c:pt idx="2">
                  <c:v>10532.25</c:v>
                </c:pt>
                <c:pt idx="3">
                  <c:v>10383.450000000001</c:v>
                </c:pt>
                <c:pt idx="4">
                  <c:v>10664.65</c:v>
                </c:pt>
                <c:pt idx="5">
                  <c:v>13546.782999999999</c:v>
                </c:pt>
                <c:pt idx="6">
                  <c:v>17828.25</c:v>
                </c:pt>
                <c:pt idx="7">
                  <c:v>8942.5499999999993</c:v>
                </c:pt>
                <c:pt idx="8">
                  <c:v>10255.6</c:v>
                </c:pt>
                <c:pt idx="9">
                  <c:v>30050.967000000001</c:v>
                </c:pt>
                <c:pt idx="10">
                  <c:v>29190.814999999999</c:v>
                </c:pt>
                <c:pt idx="11">
                  <c:v>23030.532999999999</c:v>
                </c:pt>
                <c:pt idx="12">
                  <c:v>23938.75</c:v>
                </c:pt>
              </c:numCache>
            </c:numRef>
          </c:val>
          <c:extLst>
            <c:ext xmlns:c16="http://schemas.microsoft.com/office/drawing/2014/chart" uri="{C3380CC4-5D6E-409C-BE32-E72D297353CC}">
              <c16:uniqueId val="{00000008-BED9-452D-8454-5CC367FCBEF2}"/>
            </c:ext>
          </c:extLst>
        </c:ser>
        <c:ser>
          <c:idx val="18"/>
          <c:order val="16"/>
          <c:tx>
            <c:strRef>
              <c:f>Dat_01!$B$225</c:f>
              <c:strCache>
                <c:ptCount val="1"/>
                <c:pt idx="0">
                  <c:v>Hibridación</c:v>
                </c:pt>
              </c:strCache>
            </c:strRef>
          </c:tx>
          <c:spPr>
            <a:solidFill>
              <a:srgbClr val="28A064"/>
            </a:solidFill>
            <a:ln>
              <a:noFill/>
            </a:ln>
            <a:effectLst/>
          </c:spPr>
          <c:invertIfNegative val="0"/>
          <c:val>
            <c:numRef>
              <c:f>Dat_01!$C$225:$O$225</c:f>
              <c:numCache>
                <c:formatCode>#,##0.0</c:formatCode>
                <c:ptCount val="13"/>
                <c:pt idx="0">
                  <c:v>22.75</c:v>
                </c:pt>
                <c:pt idx="1">
                  <c:v>22</c:v>
                </c:pt>
                <c:pt idx="2">
                  <c:v>0</c:v>
                </c:pt>
                <c:pt idx="3">
                  <c:v>0</c:v>
                </c:pt>
                <c:pt idx="4">
                  <c:v>0</c:v>
                </c:pt>
                <c:pt idx="5">
                  <c:v>211.4</c:v>
                </c:pt>
                <c:pt idx="6">
                  <c:v>15.25</c:v>
                </c:pt>
                <c:pt idx="7">
                  <c:v>0</c:v>
                </c:pt>
                <c:pt idx="8">
                  <c:v>0.5</c:v>
                </c:pt>
                <c:pt idx="9">
                  <c:v>25.3</c:v>
                </c:pt>
                <c:pt idx="10">
                  <c:v>20.417000000000002</c:v>
                </c:pt>
                <c:pt idx="11">
                  <c:v>604.35</c:v>
                </c:pt>
                <c:pt idx="12">
                  <c:v>28.25</c:v>
                </c:pt>
              </c:numCache>
            </c:numRef>
          </c:val>
          <c:extLst>
            <c:ext xmlns:c16="http://schemas.microsoft.com/office/drawing/2014/chart" uri="{C3380CC4-5D6E-409C-BE32-E72D297353CC}">
              <c16:uniqueId val="{00000001-C300-474D-9580-6BA5FFE9A1A7}"/>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6"/>
                <c:order val="15"/>
                <c:tx>
                  <c:strRef>
                    <c:extLst>
                      <c:ex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c:ex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7"/>
          <c:tx>
            <c:v>Precio medio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8"/>
          <c:tx>
            <c:v>Precio medio bajar</c:v>
          </c:tx>
          <c:spPr>
            <a:ln w="28575" cap="rnd">
              <a:solidFill>
                <a:srgbClr val="404040"/>
              </a:solidFill>
              <a:round/>
            </a:ln>
            <a:effectLst/>
          </c:spPr>
          <c:marker>
            <c:symbol val="none"/>
          </c:marker>
          <c:val>
            <c:numRef>
              <c:f>Dat_01!$C$419:$O$419</c:f>
              <c:numCache>
                <c:formatCode>#,##0.00</c:formatCode>
                <c:ptCount val="13"/>
                <c:pt idx="0">
                  <c:v>-3.2239345521999998</c:v>
                </c:pt>
                <c:pt idx="1">
                  <c:v>-4.1235086641000001</c:v>
                </c:pt>
                <c:pt idx="2">
                  <c:v>59.358578694199998</c:v>
                </c:pt>
                <c:pt idx="3">
                  <c:v>18.384595549299998</c:v>
                </c:pt>
                <c:pt idx="4">
                  <c:v>15.012926886100001</c:v>
                </c:pt>
                <c:pt idx="5">
                  <c:v>0.25983211550000002</c:v>
                </c:pt>
                <c:pt idx="6">
                  <c:v>32.758575262699999</c:v>
                </c:pt>
                <c:pt idx="7">
                  <c:v>15.736337971199999</c:v>
                </c:pt>
                <c:pt idx="8">
                  <c:v>44.960934410900002</c:v>
                </c:pt>
                <c:pt idx="9">
                  <c:v>25.704341869</c:v>
                </c:pt>
                <c:pt idx="10">
                  <c:v>-4.6515428505000003</c:v>
                </c:pt>
                <c:pt idx="11">
                  <c:v>-3.6015558592999999</c:v>
                </c:pt>
                <c:pt idx="12">
                  <c:v>2.2148005276</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70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100000"/>
        <c:dispUnits>
          <c:builtInUnit val="thousands"/>
        </c:dispUnits>
      </c:valAx>
      <c:valAx>
        <c:axId val="531370320"/>
        <c:scaling>
          <c:orientation val="maxMin"/>
          <c:max val="1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25"/>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0785334982957624"/>
          <c:w val="0.94062324098319727"/>
          <c:h val="0.19214665017042376"/>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1"/>
          <c:order val="0"/>
          <c:tx>
            <c:strRef>
              <c:f>Dat_01!$B$198</c:f>
              <c:strCache>
                <c:ptCount val="1"/>
                <c:pt idx="0">
                  <c:v>Almacenamiento</c:v>
                </c:pt>
              </c:strCache>
              <c:extLst xmlns:c15="http://schemas.microsoft.com/office/drawing/2012/chart"/>
            </c:strRef>
          </c:tx>
          <c:spPr>
            <a:solidFill>
              <a:srgbClr val="31859C"/>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extLst xmlns:c15="http://schemas.microsoft.com/office/drawing/2012/chart"/>
            </c:strRef>
          </c:cat>
          <c:val>
            <c:numRef>
              <c:f>Dat_01!$C$198:$O$198</c:f>
              <c:numCache>
                <c:formatCode>#,##0.0</c:formatCode>
                <c:ptCount val="13"/>
                <c:pt idx="0">
                  <c:v>0</c:v>
                </c:pt>
                <c:pt idx="1">
                  <c:v>0</c:v>
                </c:pt>
                <c:pt idx="2">
                  <c:v>0</c:v>
                </c:pt>
                <c:pt idx="3">
                  <c:v>0</c:v>
                </c:pt>
                <c:pt idx="4">
                  <c:v>0</c:v>
                </c:pt>
                <c:pt idx="5">
                  <c:v>0</c:v>
                </c:pt>
                <c:pt idx="6">
                  <c:v>0</c:v>
                </c:pt>
                <c:pt idx="7">
                  <c:v>0</c:v>
                </c:pt>
                <c:pt idx="8">
                  <c:v>0</c:v>
                </c:pt>
                <c:pt idx="9">
                  <c:v>0</c:v>
                </c:pt>
                <c:pt idx="10">
                  <c:v>4</c:v>
                </c:pt>
                <c:pt idx="11">
                  <c:v>16.082999999999998</c:v>
                </c:pt>
                <c:pt idx="12">
                  <c:v>8</c:v>
                </c:pt>
              </c:numCache>
              <c:extLst xmlns:c15="http://schemas.microsoft.com/office/drawing/2012/chart"/>
            </c:numRef>
          </c:val>
          <c:extLst xmlns:c15="http://schemas.microsoft.com/office/drawing/2012/chart">
            <c:ext xmlns:c16="http://schemas.microsoft.com/office/drawing/2014/chart" uri="{C3380CC4-5D6E-409C-BE32-E72D297353CC}">
              <c16:uniqueId val="{0000000A-2655-43B4-8799-F66FBECD481A}"/>
            </c:ext>
          </c:extLst>
        </c:ser>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Dat_01!$C$199:$O$199</c:f>
              <c:numCache>
                <c:formatCode>#,##0.0</c:formatCode>
                <c:ptCount val="13"/>
                <c:pt idx="0">
                  <c:v>30.05</c:v>
                </c:pt>
                <c:pt idx="1">
                  <c:v>0</c:v>
                </c:pt>
                <c:pt idx="2">
                  <c:v>83.15</c:v>
                </c:pt>
                <c:pt idx="3">
                  <c:v>422.25</c:v>
                </c:pt>
                <c:pt idx="4">
                  <c:v>0</c:v>
                </c:pt>
                <c:pt idx="5">
                  <c:v>90</c:v>
                </c:pt>
                <c:pt idx="6">
                  <c:v>457.41699999999997</c:v>
                </c:pt>
                <c:pt idx="7">
                  <c:v>20</c:v>
                </c:pt>
                <c:pt idx="8">
                  <c:v>252.51499999999999</c:v>
                </c:pt>
                <c:pt idx="9">
                  <c:v>859</c:v>
                </c:pt>
                <c:pt idx="10">
                  <c:v>0</c:v>
                </c:pt>
                <c:pt idx="11">
                  <c:v>276.5</c:v>
                </c:pt>
                <c:pt idx="12">
                  <c:v>2.5</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Dat_01!$C$200:$O$200</c:f>
              <c:numCache>
                <c:formatCode>#,##0.0</c:formatCode>
                <c:ptCount val="13"/>
                <c:pt idx="0">
                  <c:v>21334.2</c:v>
                </c:pt>
                <c:pt idx="1">
                  <c:v>43474.65</c:v>
                </c:pt>
                <c:pt idx="2">
                  <c:v>226890.22500000001</c:v>
                </c:pt>
                <c:pt idx="3">
                  <c:v>209561.22500000001</c:v>
                </c:pt>
                <c:pt idx="4">
                  <c:v>179282</c:v>
                </c:pt>
                <c:pt idx="5">
                  <c:v>112488.129</c:v>
                </c:pt>
                <c:pt idx="6">
                  <c:v>211916.53700000001</c:v>
                </c:pt>
                <c:pt idx="7">
                  <c:v>207366.633</c:v>
                </c:pt>
                <c:pt idx="8">
                  <c:v>266092.64399999997</c:v>
                </c:pt>
                <c:pt idx="9">
                  <c:v>302103.14199999999</c:v>
                </c:pt>
                <c:pt idx="10">
                  <c:v>51089.714</c:v>
                </c:pt>
                <c:pt idx="11">
                  <c:v>107733.439</c:v>
                </c:pt>
                <c:pt idx="12">
                  <c:v>138822.27600000001</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Dat_01!$C$201:$O$201</c:f>
              <c:numCache>
                <c:formatCode>#,##0.0</c:formatCode>
                <c:ptCount val="13"/>
                <c:pt idx="0">
                  <c:v>52.5</c:v>
                </c:pt>
                <c:pt idx="1">
                  <c:v>92.75</c:v>
                </c:pt>
                <c:pt idx="2">
                  <c:v>209.25</c:v>
                </c:pt>
                <c:pt idx="3">
                  <c:v>318.75</c:v>
                </c:pt>
                <c:pt idx="4">
                  <c:v>173.25</c:v>
                </c:pt>
                <c:pt idx="5">
                  <c:v>239.75</c:v>
                </c:pt>
                <c:pt idx="6">
                  <c:v>585.11699999999996</c:v>
                </c:pt>
                <c:pt idx="7">
                  <c:v>165.75</c:v>
                </c:pt>
                <c:pt idx="8">
                  <c:v>189.25</c:v>
                </c:pt>
                <c:pt idx="9">
                  <c:v>228</c:v>
                </c:pt>
                <c:pt idx="10">
                  <c:v>295.75</c:v>
                </c:pt>
                <c:pt idx="11">
                  <c:v>316.5</c:v>
                </c:pt>
                <c:pt idx="12">
                  <c:v>453.25</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Dat_01!$C$202:$O$202</c:f>
              <c:numCache>
                <c:formatCode>#,##0.0</c:formatCode>
                <c:ptCount val="13"/>
                <c:pt idx="0">
                  <c:v>25127.55</c:v>
                </c:pt>
                <c:pt idx="1">
                  <c:v>28512.400000000001</c:v>
                </c:pt>
                <c:pt idx="2">
                  <c:v>19186.8</c:v>
                </c:pt>
                <c:pt idx="3">
                  <c:v>17123.95</c:v>
                </c:pt>
                <c:pt idx="4">
                  <c:v>17965.3</c:v>
                </c:pt>
                <c:pt idx="5">
                  <c:v>19717.983</c:v>
                </c:pt>
                <c:pt idx="6">
                  <c:v>20295.434000000001</c:v>
                </c:pt>
                <c:pt idx="7">
                  <c:v>31749.741000000002</c:v>
                </c:pt>
                <c:pt idx="8">
                  <c:v>19420.499</c:v>
                </c:pt>
                <c:pt idx="9">
                  <c:v>21825</c:v>
                </c:pt>
                <c:pt idx="10">
                  <c:v>12831.683999999999</c:v>
                </c:pt>
                <c:pt idx="11">
                  <c:v>12645.133</c:v>
                </c:pt>
                <c:pt idx="12">
                  <c:v>26044.350999999999</c:v>
                </c:pt>
              </c:numCache>
            </c:numRef>
          </c:val>
          <c:extLst>
            <c:ext xmlns:c16="http://schemas.microsoft.com/office/drawing/2014/chart" uri="{C3380CC4-5D6E-409C-BE32-E72D297353CC}">
              <c16:uniqueId val="{00000003-2655-43B4-8799-F66FBECD481A}"/>
            </c:ext>
          </c:extLst>
        </c:ser>
        <c:ser>
          <c:idx val="6"/>
          <c:order val="5"/>
          <c:tx>
            <c:strRef>
              <c:f>Dat_01!$B$205</c:f>
              <c:strCache>
                <c:ptCount val="1"/>
                <c:pt idx="0">
                  <c:v>Turbina Vapor, Gas y Fuel</c:v>
                </c:pt>
              </c:strCache>
              <c:extLst xmlns:c15="http://schemas.microsoft.com/office/drawing/2012/chart"/>
            </c:strRef>
          </c:tx>
          <c:spPr>
            <a:solidFill>
              <a:srgbClr val="FF99CC"/>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extLst xmlns:c15="http://schemas.microsoft.com/office/drawing/2012/chart"/>
            </c:strRef>
          </c:cat>
          <c:val>
            <c:numRef>
              <c:f>Dat_01!$C$205:$O$205</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B-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Dat_01!$C$204:$O$204</c:f>
              <c:numCache>
                <c:formatCode>#,##0.0</c:formatCode>
                <c:ptCount val="13"/>
                <c:pt idx="0">
                  <c:v>27130.85</c:v>
                </c:pt>
                <c:pt idx="1">
                  <c:v>43167.925000000003</c:v>
                </c:pt>
                <c:pt idx="2">
                  <c:v>27497.7</c:v>
                </c:pt>
                <c:pt idx="3">
                  <c:v>13989.3</c:v>
                </c:pt>
                <c:pt idx="4">
                  <c:v>16005.75</c:v>
                </c:pt>
                <c:pt idx="5">
                  <c:v>16576.755000000001</c:v>
                </c:pt>
                <c:pt idx="6">
                  <c:v>26293.483</c:v>
                </c:pt>
                <c:pt idx="7">
                  <c:v>21238.094000000001</c:v>
                </c:pt>
                <c:pt idx="8">
                  <c:v>18071.8</c:v>
                </c:pt>
                <c:pt idx="9">
                  <c:v>31834.75</c:v>
                </c:pt>
                <c:pt idx="10">
                  <c:v>56996.767999999996</c:v>
                </c:pt>
                <c:pt idx="11">
                  <c:v>26623.45</c:v>
                </c:pt>
                <c:pt idx="12">
                  <c:v>32199.156999999999</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extLst xmlns:c15="http://schemas.microsoft.com/office/drawing/2012/chart"/>
            </c:strRef>
          </c:cat>
          <c:val>
            <c:numRef>
              <c:f>Dat_01!$C$209:$O$209</c:f>
              <c:numCache>
                <c:formatCode>#,##0.0</c:formatCode>
                <c:ptCount val="13"/>
                <c:pt idx="0">
                  <c:v>26275.474999999999</c:v>
                </c:pt>
                <c:pt idx="1">
                  <c:v>35039.25</c:v>
                </c:pt>
                <c:pt idx="2">
                  <c:v>33961.75</c:v>
                </c:pt>
                <c:pt idx="3">
                  <c:v>27631.25</c:v>
                </c:pt>
                <c:pt idx="4">
                  <c:v>39299.75</c:v>
                </c:pt>
                <c:pt idx="5">
                  <c:v>29569.5</c:v>
                </c:pt>
                <c:pt idx="6">
                  <c:v>15003</c:v>
                </c:pt>
                <c:pt idx="7">
                  <c:v>4295.125</c:v>
                </c:pt>
                <c:pt idx="8">
                  <c:v>46489.75</c:v>
                </c:pt>
                <c:pt idx="9">
                  <c:v>46037.25</c:v>
                </c:pt>
                <c:pt idx="10">
                  <c:v>28493.75</c:v>
                </c:pt>
                <c:pt idx="11">
                  <c:v>47083.724999999999</c:v>
                </c:pt>
                <c:pt idx="12">
                  <c:v>34373</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Dat_01!$C$207:$O$207</c:f>
              <c:numCache>
                <c:formatCode>#,##0.0</c:formatCode>
                <c:ptCount val="13"/>
                <c:pt idx="0">
                  <c:v>36079.15</c:v>
                </c:pt>
                <c:pt idx="1">
                  <c:v>30711.75</c:v>
                </c:pt>
                <c:pt idx="2">
                  <c:v>31774.95</c:v>
                </c:pt>
                <c:pt idx="3">
                  <c:v>85316.175000000003</c:v>
                </c:pt>
                <c:pt idx="4">
                  <c:v>54636.866999999998</c:v>
                </c:pt>
                <c:pt idx="5">
                  <c:v>20999.040000000001</c:v>
                </c:pt>
                <c:pt idx="6">
                  <c:v>53616.607000000004</c:v>
                </c:pt>
                <c:pt idx="7">
                  <c:v>43671.635000000002</c:v>
                </c:pt>
                <c:pt idx="8">
                  <c:v>78431.933999999994</c:v>
                </c:pt>
                <c:pt idx="9">
                  <c:v>67707.217999999993</c:v>
                </c:pt>
                <c:pt idx="10">
                  <c:v>34524.767999999996</c:v>
                </c:pt>
                <c:pt idx="11">
                  <c:v>78338.381999999998</c:v>
                </c:pt>
                <c:pt idx="12">
                  <c:v>90073.433999999994</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Dat_01!$C$210:$O$210</c:f>
              <c:numCache>
                <c:formatCode>#,##0.0</c:formatCode>
                <c:ptCount val="13"/>
                <c:pt idx="0">
                  <c:v>364</c:v>
                </c:pt>
                <c:pt idx="1">
                  <c:v>1965.25</c:v>
                </c:pt>
                <c:pt idx="2">
                  <c:v>659</c:v>
                </c:pt>
                <c:pt idx="3">
                  <c:v>742</c:v>
                </c:pt>
                <c:pt idx="4">
                  <c:v>632.15</c:v>
                </c:pt>
                <c:pt idx="5">
                  <c:v>153.69999999999999</c:v>
                </c:pt>
                <c:pt idx="6">
                  <c:v>197.75</c:v>
                </c:pt>
                <c:pt idx="7">
                  <c:v>817.75</c:v>
                </c:pt>
                <c:pt idx="8">
                  <c:v>393.5</c:v>
                </c:pt>
                <c:pt idx="9">
                  <c:v>266.25</c:v>
                </c:pt>
                <c:pt idx="10">
                  <c:v>83.75</c:v>
                </c:pt>
                <c:pt idx="11">
                  <c:v>576.75</c:v>
                </c:pt>
                <c:pt idx="12">
                  <c:v>5.25</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Dat_01!$C$211:$O$211</c:f>
              <c:numCache>
                <c:formatCode>#,##0.0</c:formatCode>
                <c:ptCount val="13"/>
                <c:pt idx="0">
                  <c:v>299.3</c:v>
                </c:pt>
                <c:pt idx="1">
                  <c:v>1099.6500000000001</c:v>
                </c:pt>
                <c:pt idx="2">
                  <c:v>445.65</c:v>
                </c:pt>
                <c:pt idx="3">
                  <c:v>454.7</c:v>
                </c:pt>
                <c:pt idx="4">
                  <c:v>547.04999999999995</c:v>
                </c:pt>
                <c:pt idx="5">
                  <c:v>388.13299999999998</c:v>
                </c:pt>
                <c:pt idx="6">
                  <c:v>806.63199999999995</c:v>
                </c:pt>
                <c:pt idx="7">
                  <c:v>592.50099999999998</c:v>
                </c:pt>
                <c:pt idx="8">
                  <c:v>703.6</c:v>
                </c:pt>
                <c:pt idx="9">
                  <c:v>1370.1489999999999</c:v>
                </c:pt>
                <c:pt idx="10">
                  <c:v>1479.4169999999999</c:v>
                </c:pt>
                <c:pt idx="11">
                  <c:v>1455.6669999999999</c:v>
                </c:pt>
                <c:pt idx="12">
                  <c:v>3701.65</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133.5</c:v>
                </c:pt>
                <c:pt idx="7">
                  <c:v>901.5</c:v>
                </c:pt>
                <c:pt idx="8">
                  <c:v>405.25</c:v>
                </c:pt>
                <c:pt idx="9">
                  <c:v>414</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Dat_01!$C$213:$O$213</c:f>
              <c:numCache>
                <c:formatCode>#,##0.0</c:formatCode>
                <c:ptCount val="13"/>
                <c:pt idx="0">
                  <c:v>9781.15</c:v>
                </c:pt>
                <c:pt idx="1">
                  <c:v>14137.575000000001</c:v>
                </c:pt>
                <c:pt idx="2">
                  <c:v>20985.474999999999</c:v>
                </c:pt>
                <c:pt idx="3">
                  <c:v>14673.875</c:v>
                </c:pt>
                <c:pt idx="4">
                  <c:v>22896.5</c:v>
                </c:pt>
                <c:pt idx="5">
                  <c:v>14205.386</c:v>
                </c:pt>
                <c:pt idx="6">
                  <c:v>9987.0589999999993</c:v>
                </c:pt>
                <c:pt idx="7">
                  <c:v>4838.0010000000002</c:v>
                </c:pt>
                <c:pt idx="8">
                  <c:v>4763.4480000000003</c:v>
                </c:pt>
                <c:pt idx="9">
                  <c:v>6277.7669999999998</c:v>
                </c:pt>
                <c:pt idx="10">
                  <c:v>8331.3809999999994</c:v>
                </c:pt>
                <c:pt idx="11">
                  <c:v>8738.0190000000002</c:v>
                </c:pt>
                <c:pt idx="12">
                  <c:v>17272.044999999998</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Dat_01!$C$214:$O$214</c:f>
              <c:numCache>
                <c:formatCode>#,##0.0</c:formatCode>
                <c:ptCount val="13"/>
                <c:pt idx="0">
                  <c:v>157.75</c:v>
                </c:pt>
                <c:pt idx="1">
                  <c:v>300.5</c:v>
                </c:pt>
                <c:pt idx="2">
                  <c:v>170.25</c:v>
                </c:pt>
                <c:pt idx="3">
                  <c:v>455.92500000000001</c:v>
                </c:pt>
                <c:pt idx="4">
                  <c:v>301.75</c:v>
                </c:pt>
                <c:pt idx="5">
                  <c:v>325.25</c:v>
                </c:pt>
                <c:pt idx="6">
                  <c:v>564.75</c:v>
                </c:pt>
                <c:pt idx="7">
                  <c:v>122.25</c:v>
                </c:pt>
                <c:pt idx="8">
                  <c:v>165.25</c:v>
                </c:pt>
                <c:pt idx="9">
                  <c:v>126.25</c:v>
                </c:pt>
                <c:pt idx="10">
                  <c:v>351</c:v>
                </c:pt>
                <c:pt idx="11">
                  <c:v>1182.5</c:v>
                </c:pt>
                <c:pt idx="12">
                  <c:v>1180.5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Dat_01!$C$215:$O$215</c:f>
              <c:numCache>
                <c:formatCode>#,##0.0</c:formatCode>
                <c:ptCount val="13"/>
                <c:pt idx="0">
                  <c:v>16764.75</c:v>
                </c:pt>
                <c:pt idx="1">
                  <c:v>23021.55</c:v>
                </c:pt>
                <c:pt idx="2">
                  <c:v>17574.599999999999</c:v>
                </c:pt>
                <c:pt idx="3">
                  <c:v>21808.125</c:v>
                </c:pt>
                <c:pt idx="4">
                  <c:v>20287.816999999999</c:v>
                </c:pt>
                <c:pt idx="5">
                  <c:v>18414.18</c:v>
                </c:pt>
                <c:pt idx="6">
                  <c:v>16800.466</c:v>
                </c:pt>
                <c:pt idx="7">
                  <c:v>17768.901999999998</c:v>
                </c:pt>
                <c:pt idx="8">
                  <c:v>29822.548999999999</c:v>
                </c:pt>
                <c:pt idx="9">
                  <c:v>42487.55</c:v>
                </c:pt>
                <c:pt idx="10">
                  <c:v>18170.684000000001</c:v>
                </c:pt>
                <c:pt idx="11">
                  <c:v>34499.985000000001</c:v>
                </c:pt>
                <c:pt idx="12">
                  <c:v>34189.949999999997</c:v>
                </c:pt>
              </c:numCache>
            </c:numRef>
          </c:val>
          <c:extLst>
            <c:ext xmlns:c16="http://schemas.microsoft.com/office/drawing/2014/chart" uri="{C3380CC4-5D6E-409C-BE32-E72D297353CC}">
              <c16:uniqueId val="{00000008-2655-43B4-8799-F66FBECD481A}"/>
            </c:ext>
          </c:extLst>
        </c:ser>
        <c:ser>
          <c:idx val="10"/>
          <c:order val="15"/>
          <c:tx>
            <c:strRef>
              <c:f>Dat_01!$B$206</c:f>
              <c:strCache>
                <c:ptCount val="1"/>
                <c:pt idx="0">
                  <c:v>Hibridación</c:v>
                </c:pt>
              </c:strCache>
            </c:strRef>
          </c:tx>
          <c:spPr>
            <a:solidFill>
              <a:srgbClr val="28A064"/>
            </a:solidFill>
            <a:ln>
              <a:noFill/>
            </a:ln>
            <a:effectLst/>
          </c:spPr>
          <c:invertIfNegative val="0"/>
          <c:val>
            <c:numRef>
              <c:f>Dat_01!$C$206:$O$206</c:f>
              <c:numCache>
                <c:formatCode>#,##0.0</c:formatCode>
                <c:ptCount val="13"/>
                <c:pt idx="0">
                  <c:v>0</c:v>
                </c:pt>
                <c:pt idx="1">
                  <c:v>0</c:v>
                </c:pt>
                <c:pt idx="2">
                  <c:v>0</c:v>
                </c:pt>
                <c:pt idx="3">
                  <c:v>0</c:v>
                </c:pt>
                <c:pt idx="4">
                  <c:v>0</c:v>
                </c:pt>
                <c:pt idx="5">
                  <c:v>29.75</c:v>
                </c:pt>
                <c:pt idx="6">
                  <c:v>0</c:v>
                </c:pt>
                <c:pt idx="7">
                  <c:v>0</c:v>
                </c:pt>
                <c:pt idx="8">
                  <c:v>0</c:v>
                </c:pt>
                <c:pt idx="9">
                  <c:v>0</c:v>
                </c:pt>
                <c:pt idx="10">
                  <c:v>0</c:v>
                </c:pt>
                <c:pt idx="11">
                  <c:v>297.25</c:v>
                </c:pt>
                <c:pt idx="12">
                  <c:v>251.5</c:v>
                </c:pt>
              </c:numCache>
            </c:numRef>
          </c:val>
          <c:extLst>
            <c:ext xmlns:c16="http://schemas.microsoft.com/office/drawing/2014/chart" uri="{C3380CC4-5D6E-409C-BE32-E72D297353CC}">
              <c16:uniqueId val="{00000000-F7DB-44F0-B5DD-BF0F149D1642}"/>
            </c:ext>
          </c:extLst>
        </c:ser>
        <c:dLbls>
          <c:showLegendKey val="0"/>
          <c:showVal val="0"/>
          <c:showCatName val="0"/>
          <c:showSerName val="0"/>
          <c:showPercent val="0"/>
          <c:showBubbleSize val="0"/>
        </c:dLbls>
        <c:gapWidth val="150"/>
        <c:overlap val="100"/>
        <c:axId val="531371496"/>
        <c:axId val="531371888"/>
        <c:extLst/>
      </c:barChart>
      <c:lineChart>
        <c:grouping val="standard"/>
        <c:varyColors val="0"/>
        <c:ser>
          <c:idx val="0"/>
          <c:order val="16"/>
          <c:tx>
            <c:v>Precio medio subir</c:v>
          </c:tx>
          <c:spPr>
            <a:ln w="28575" cap="rnd">
              <a:solidFill>
                <a:srgbClr val="004563"/>
              </a:solidFill>
              <a:round/>
            </a:ln>
            <a:effectLst/>
          </c:spPr>
          <c:marker>
            <c:symbol val="none"/>
          </c:marker>
          <c:cat>
            <c:strRef>
              <c:f>Dat_01!$C$194:$O$194</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Dat_01!$C$415:$O$415</c:f>
              <c:numCache>
                <c:formatCode>#,##0.00</c:formatCode>
                <c:ptCount val="13"/>
                <c:pt idx="0">
                  <c:v>58.371273219899997</c:v>
                </c:pt>
                <c:pt idx="1">
                  <c:v>55.693702808300003</c:v>
                </c:pt>
                <c:pt idx="2">
                  <c:v>104.9215167187</c:v>
                </c:pt>
                <c:pt idx="3">
                  <c:v>121.5609694004</c:v>
                </c:pt>
                <c:pt idx="4">
                  <c:v>109.9492029741</c:v>
                </c:pt>
                <c:pt idx="5">
                  <c:v>94.673383029199996</c:v>
                </c:pt>
                <c:pt idx="6">
                  <c:v>107.2113005402</c:v>
                </c:pt>
                <c:pt idx="7">
                  <c:v>96.675296389500005</c:v>
                </c:pt>
                <c:pt idx="8">
                  <c:v>100.82860255590001</c:v>
                </c:pt>
                <c:pt idx="9">
                  <c:v>116.26221271990001</c:v>
                </c:pt>
                <c:pt idx="10">
                  <c:v>53.062662903499998</c:v>
                </c:pt>
                <c:pt idx="11">
                  <c:v>95.239233636400002</c:v>
                </c:pt>
                <c:pt idx="12">
                  <c:v>90.676531800999996</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100000"/>
        <c:dispUnits>
          <c:builtInUnit val="thousands"/>
        </c:dispUnits>
      </c:valAx>
      <c:valAx>
        <c:axId val="531372280"/>
        <c:scaling>
          <c:orientation val="minMax"/>
          <c:max val="1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25"/>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155.75</c:v>
                </c:pt>
                <c:pt idx="1">
                  <c:v>0</c:v>
                </c:pt>
                <c:pt idx="2">
                  <c:v>11.5</c:v>
                </c:pt>
                <c:pt idx="3">
                  <c:v>0</c:v>
                </c:pt>
                <c:pt idx="4">
                  <c:v>0</c:v>
                </c:pt>
                <c:pt idx="5">
                  <c:v>0</c:v>
                </c:pt>
                <c:pt idx="6">
                  <c:v>0</c:v>
                </c:pt>
                <c:pt idx="7">
                  <c:v>0</c:v>
                </c:pt>
                <c:pt idx="8">
                  <c:v>8</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15588.025</c:v>
                </c:pt>
                <c:pt idx="1">
                  <c:v>9638.65</c:v>
                </c:pt>
                <c:pt idx="2">
                  <c:v>14278.375</c:v>
                </c:pt>
                <c:pt idx="3">
                  <c:v>13517.6</c:v>
                </c:pt>
                <c:pt idx="4">
                  <c:v>17210.974999999999</c:v>
                </c:pt>
                <c:pt idx="5">
                  <c:v>26083.525000000001</c:v>
                </c:pt>
                <c:pt idx="6">
                  <c:v>27133.95</c:v>
                </c:pt>
                <c:pt idx="7">
                  <c:v>4904.3500000000004</c:v>
                </c:pt>
                <c:pt idx="8">
                  <c:v>14093.6</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424</c:v>
                </c:pt>
                <c:pt idx="1">
                  <c:v>44.6</c:v>
                </c:pt>
                <c:pt idx="2">
                  <c:v>142.15</c:v>
                </c:pt>
                <c:pt idx="3">
                  <c:v>382.25</c:v>
                </c:pt>
                <c:pt idx="4">
                  <c:v>334.7</c:v>
                </c:pt>
                <c:pt idx="5">
                  <c:v>675.3</c:v>
                </c:pt>
                <c:pt idx="6">
                  <c:v>329.2</c:v>
                </c:pt>
                <c:pt idx="7">
                  <c:v>159.92500000000001</c:v>
                </c:pt>
                <c:pt idx="8">
                  <c:v>146.75</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60650.9</c:v>
                </c:pt>
                <c:pt idx="1">
                  <c:v>30223.3</c:v>
                </c:pt>
                <c:pt idx="2">
                  <c:v>10803.025</c:v>
                </c:pt>
                <c:pt idx="3">
                  <c:v>29063.4</c:v>
                </c:pt>
                <c:pt idx="4">
                  <c:v>33584.800000000003</c:v>
                </c:pt>
                <c:pt idx="5">
                  <c:v>50212.175000000003</c:v>
                </c:pt>
                <c:pt idx="6">
                  <c:v>31660.924999999999</c:v>
                </c:pt>
                <c:pt idx="7">
                  <c:v>18738</c:v>
                </c:pt>
                <c:pt idx="8">
                  <c:v>17762.55</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142915.9</c:v>
                </c:pt>
                <c:pt idx="1">
                  <c:v>40362.474999999999</c:v>
                </c:pt>
                <c:pt idx="2">
                  <c:v>27645.625</c:v>
                </c:pt>
                <c:pt idx="3">
                  <c:v>78708.975000000006</c:v>
                </c:pt>
                <c:pt idx="4">
                  <c:v>84855.975000000006</c:v>
                </c:pt>
                <c:pt idx="5">
                  <c:v>132430.125</c:v>
                </c:pt>
                <c:pt idx="6">
                  <c:v>76987.074999999997</c:v>
                </c:pt>
                <c:pt idx="7">
                  <c:v>68351.8</c:v>
                </c:pt>
                <c:pt idx="8">
                  <c:v>26891.474999999999</c:v>
                </c:pt>
              </c:numCache>
            </c:numRef>
          </c:val>
          <c:extLst>
            <c:ext xmlns:c16="http://schemas.microsoft.com/office/drawing/2014/chart" uri="{C3380CC4-5D6E-409C-BE32-E72D297353CC}">
              <c16:uniqueId val="{00000004-1D9B-4F90-B2B2-4825475971A1}"/>
            </c:ext>
          </c:extLst>
        </c:ser>
        <c:ser>
          <c:idx val="5"/>
          <c:order val="6"/>
          <c:tx>
            <c:strRef>
              <c:f>Dat_01!$B$288</c:f>
              <c:strCache>
                <c:ptCount val="1"/>
                <c:pt idx="0">
                  <c:v>Hidráulica</c:v>
                </c:pt>
              </c:strCache>
            </c:strRef>
          </c:tx>
          <c:spPr>
            <a:solidFill>
              <a:srgbClr val="0090D1"/>
            </a:solidFill>
            <a:ln>
              <a:noFill/>
            </a:ln>
            <a:effectLst/>
          </c:spPr>
          <c:invertIfNegative val="0"/>
          <c:val>
            <c:numRef>
              <c:f>Dat_01!$C$288:$O$288</c:f>
              <c:numCache>
                <c:formatCode>#,##0.0</c:formatCode>
                <c:ptCount val="13"/>
                <c:pt idx="0">
                  <c:v>66921.95</c:v>
                </c:pt>
                <c:pt idx="1">
                  <c:v>28568.724999999999</c:v>
                </c:pt>
                <c:pt idx="2">
                  <c:v>34246.75</c:v>
                </c:pt>
                <c:pt idx="3">
                  <c:v>23127.05</c:v>
                </c:pt>
                <c:pt idx="4">
                  <c:v>12644.575000000001</c:v>
                </c:pt>
                <c:pt idx="5">
                  <c:v>32428.275000000001</c:v>
                </c:pt>
                <c:pt idx="6">
                  <c:v>15988.174999999999</c:v>
                </c:pt>
                <c:pt idx="7">
                  <c:v>15686.325000000001</c:v>
                </c:pt>
                <c:pt idx="8">
                  <c:v>17452.025000000001</c:v>
                </c:pt>
              </c:numCache>
            </c:numRef>
          </c:val>
          <c:extLst>
            <c:ext xmlns:c16="http://schemas.microsoft.com/office/drawing/2014/chart" uri="{C3380CC4-5D6E-409C-BE32-E72D297353CC}">
              <c16:uniqueId val="{00000005-1D9B-4F90-B2B2-4825475971A1}"/>
            </c:ext>
          </c:extLst>
        </c:ser>
        <c:ser>
          <c:idx val="6"/>
          <c:order val="7"/>
          <c:tx>
            <c:strRef>
              <c:f>Dat_01!$B$291</c:f>
              <c:strCache>
                <c:ptCount val="1"/>
                <c:pt idx="0">
                  <c:v>Nuclear</c:v>
                </c:pt>
              </c:strCache>
            </c:strRef>
          </c:tx>
          <c:spPr>
            <a:solidFill>
              <a:srgbClr val="464394"/>
            </a:solidFill>
            <a:ln>
              <a:noFill/>
            </a:ln>
            <a:effectLst/>
          </c:spPr>
          <c:invertIfNegative val="0"/>
          <c:val>
            <c:numRef>
              <c:f>Dat_01!$C$291:$O$291</c:f>
              <c:numCache>
                <c:formatCode>#,##0.0</c:formatCode>
                <c:ptCount val="13"/>
                <c:pt idx="0">
                  <c:v>1670.625</c:v>
                </c:pt>
                <c:pt idx="1">
                  <c:v>4390.55</c:v>
                </c:pt>
                <c:pt idx="2">
                  <c:v>1115.9000000000001</c:v>
                </c:pt>
                <c:pt idx="3">
                  <c:v>0</c:v>
                </c:pt>
                <c:pt idx="4">
                  <c:v>33</c:v>
                </c:pt>
                <c:pt idx="5">
                  <c:v>321.97500000000002</c:v>
                </c:pt>
                <c:pt idx="6">
                  <c:v>2131.5</c:v>
                </c:pt>
                <c:pt idx="7">
                  <c:v>572.57500000000005</c:v>
                </c:pt>
                <c:pt idx="8">
                  <c:v>80.525000000000006</c:v>
                </c:pt>
              </c:numCache>
            </c:numRef>
          </c:val>
          <c:extLst>
            <c:ext xmlns:c16="http://schemas.microsoft.com/office/drawing/2014/chart" uri="{C3380CC4-5D6E-409C-BE32-E72D297353CC}">
              <c16:uniqueId val="{00000006-1D9B-4F90-B2B2-4825475971A1}"/>
            </c:ext>
          </c:extLst>
        </c:ser>
        <c:ser>
          <c:idx val="13"/>
          <c:order val="8"/>
          <c:tx>
            <c:strRef>
              <c:f>Dat_01!$B$292</c:f>
              <c:strCache>
                <c:ptCount val="1"/>
                <c:pt idx="0">
                  <c:v>Otras Renovables</c:v>
                </c:pt>
              </c:strCache>
            </c:strRef>
          </c:tx>
          <c:spPr>
            <a:solidFill>
              <a:srgbClr val="9A5CBC"/>
            </a:solidFill>
            <a:ln>
              <a:noFill/>
            </a:ln>
            <a:effectLst/>
          </c:spPr>
          <c:invertIfNegative val="0"/>
          <c:val>
            <c:numRef>
              <c:f>Dat_01!$C$292:$O$292</c:f>
              <c:numCache>
                <c:formatCode>#,##0.0</c:formatCode>
                <c:ptCount val="13"/>
                <c:pt idx="0">
                  <c:v>406.75</c:v>
                </c:pt>
                <c:pt idx="1">
                  <c:v>112</c:v>
                </c:pt>
                <c:pt idx="2">
                  <c:v>60</c:v>
                </c:pt>
                <c:pt idx="3">
                  <c:v>17.5</c:v>
                </c:pt>
                <c:pt idx="4">
                  <c:v>210</c:v>
                </c:pt>
                <c:pt idx="5">
                  <c:v>36</c:v>
                </c:pt>
                <c:pt idx="6">
                  <c:v>72</c:v>
                </c:pt>
                <c:pt idx="7">
                  <c:v>70</c:v>
                </c:pt>
                <c:pt idx="8">
                  <c:v>194.5</c:v>
                </c:pt>
              </c:numCache>
            </c:numRef>
          </c:val>
          <c:extLst>
            <c:ext xmlns:c16="http://schemas.microsoft.com/office/drawing/2014/chart" uri="{C3380CC4-5D6E-409C-BE32-E72D297353CC}">
              <c16:uniqueId val="{00000001-6E0F-4B47-A32A-FEB6962B9CB2}"/>
            </c:ext>
          </c:extLst>
        </c:ser>
        <c:ser>
          <c:idx val="9"/>
          <c:order val="9"/>
          <c:tx>
            <c:strRef>
              <c:f>Dat_01!$B$294</c:f>
              <c:strCache>
                <c:ptCount val="1"/>
                <c:pt idx="0">
                  <c:v>Solar fotovoltaica</c:v>
                </c:pt>
              </c:strCache>
            </c:strRef>
          </c:tx>
          <c:spPr>
            <a:solidFill>
              <a:srgbClr val="EE6112"/>
            </a:solidFill>
            <a:ln>
              <a:noFill/>
            </a:ln>
            <a:effectLst/>
          </c:spPr>
          <c:invertIfNegative val="0"/>
          <c:val>
            <c:numRef>
              <c:f>Dat_01!$C$294:$O$294</c:f>
              <c:numCache>
                <c:formatCode>#,##0.0</c:formatCode>
                <c:ptCount val="13"/>
                <c:pt idx="0">
                  <c:v>144982.54999999999</c:v>
                </c:pt>
                <c:pt idx="1">
                  <c:v>92281.725000000006</c:v>
                </c:pt>
                <c:pt idx="2">
                  <c:v>30492.3</c:v>
                </c:pt>
                <c:pt idx="3">
                  <c:v>78426.2</c:v>
                </c:pt>
                <c:pt idx="4">
                  <c:v>114413.125</c:v>
                </c:pt>
                <c:pt idx="5">
                  <c:v>117703.4</c:v>
                </c:pt>
                <c:pt idx="6">
                  <c:v>50232.224999999999</c:v>
                </c:pt>
                <c:pt idx="7">
                  <c:v>24104.95</c:v>
                </c:pt>
                <c:pt idx="8">
                  <c:v>8104.4250000000002</c:v>
                </c:pt>
              </c:numCache>
            </c:numRef>
          </c:val>
          <c:extLst>
            <c:ext xmlns:c16="http://schemas.microsoft.com/office/drawing/2014/chart" uri="{C3380CC4-5D6E-409C-BE32-E72D297353CC}">
              <c16:uniqueId val="{00000007-1D9B-4F90-B2B2-4825475971A1}"/>
            </c:ext>
          </c:extLst>
        </c:ser>
        <c:ser>
          <c:idx val="10"/>
          <c:order val="10"/>
          <c:tx>
            <c:strRef>
              <c:f>Dat_01!$B$295</c:f>
              <c:strCache>
                <c:ptCount val="1"/>
                <c:pt idx="0">
                  <c:v>Solar térmica</c:v>
                </c:pt>
              </c:strCache>
            </c:strRef>
          </c:tx>
          <c:spPr>
            <a:solidFill>
              <a:srgbClr val="FF0000"/>
            </a:solidFill>
            <a:ln>
              <a:noFill/>
            </a:ln>
            <a:effectLst/>
          </c:spPr>
          <c:invertIfNegative val="0"/>
          <c:val>
            <c:numRef>
              <c:f>Dat_01!$C$295:$O$295</c:f>
              <c:numCache>
                <c:formatCode>#,##0.0</c:formatCode>
                <c:ptCount val="13"/>
                <c:pt idx="0">
                  <c:v>9716.75</c:v>
                </c:pt>
                <c:pt idx="1">
                  <c:v>3151.25</c:v>
                </c:pt>
                <c:pt idx="2">
                  <c:v>3067.5</c:v>
                </c:pt>
                <c:pt idx="3">
                  <c:v>1371</c:v>
                </c:pt>
                <c:pt idx="4">
                  <c:v>1764.75</c:v>
                </c:pt>
                <c:pt idx="5">
                  <c:v>2619</c:v>
                </c:pt>
                <c:pt idx="6">
                  <c:v>1674.45</c:v>
                </c:pt>
                <c:pt idx="7">
                  <c:v>1156.5</c:v>
                </c:pt>
                <c:pt idx="8">
                  <c:v>591.35</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Dat_01!$B$296</c:f>
              <c:strCache>
                <c:ptCount val="1"/>
                <c:pt idx="0">
                  <c:v>Turbinación bombeo</c:v>
                </c:pt>
              </c:strCache>
            </c:strRef>
          </c:tx>
          <c:spPr>
            <a:solidFill>
              <a:schemeClr val="accent1">
                <a:lumMod val="80000"/>
                <a:lumOff val="20000"/>
              </a:schemeClr>
            </a:solidFill>
            <a:ln>
              <a:noFill/>
            </a:ln>
            <a:effectLst/>
          </c:spPr>
          <c:invertIfNegative val="0"/>
          <c:val>
            <c:numRef>
              <c:f>Dat_01!$C$296:$O$296</c:f>
              <c:numCache>
                <c:formatCode>#,##0.0</c:formatCode>
                <c:ptCount val="13"/>
                <c:pt idx="0">
                  <c:v>27303.9</c:v>
                </c:pt>
                <c:pt idx="1">
                  <c:v>14841.9</c:v>
                </c:pt>
                <c:pt idx="2">
                  <c:v>10692.35</c:v>
                </c:pt>
                <c:pt idx="3">
                  <c:v>13728.975</c:v>
                </c:pt>
                <c:pt idx="4">
                  <c:v>13260.225</c:v>
                </c:pt>
                <c:pt idx="5">
                  <c:v>20307.424999999999</c:v>
                </c:pt>
                <c:pt idx="6">
                  <c:v>19480.775000000001</c:v>
                </c:pt>
                <c:pt idx="7">
                  <c:v>10449.799999999999</c:v>
                </c:pt>
                <c:pt idx="8">
                  <c:v>10315.25</c:v>
                </c:pt>
              </c:numCache>
            </c:numRef>
          </c:val>
          <c:extLst>
            <c:ext xmlns:c16="http://schemas.microsoft.com/office/drawing/2014/chart" uri="{C3380CC4-5D6E-409C-BE32-E72D297353CC}">
              <c16:uniqueId val="{00000001-5E88-4874-99F0-5BC45A3953B0}"/>
            </c:ext>
          </c:extLst>
        </c:ser>
        <c:ser>
          <c:idx val="14"/>
          <c:order val="12"/>
          <c:tx>
            <c:strRef>
              <c:f>Dat_01!$B$287</c:f>
              <c:strCache>
                <c:ptCount val="1"/>
                <c:pt idx="0">
                  <c:v>Hibridación</c:v>
                </c:pt>
              </c:strCache>
            </c:strRef>
          </c:tx>
          <c:spPr>
            <a:solidFill>
              <a:srgbClr val="28A064"/>
            </a:solidFill>
            <a:ln>
              <a:noFill/>
            </a:ln>
            <a:effectLst/>
          </c:spPr>
          <c:invertIfNegative val="0"/>
          <c:val>
            <c:numRef>
              <c:f>Dat_01!$C$287:$O$287</c:f>
              <c:numCache>
                <c:formatCode>#,##0.0</c:formatCode>
                <c:ptCount val="13"/>
                <c:pt idx="0">
                  <c:v>27</c:v>
                </c:pt>
                <c:pt idx="1">
                  <c:v>41.875</c:v>
                </c:pt>
                <c:pt idx="2">
                  <c:v>0</c:v>
                </c:pt>
                <c:pt idx="3">
                  <c:v>0</c:v>
                </c:pt>
                <c:pt idx="4">
                  <c:v>0</c:v>
                </c:pt>
                <c:pt idx="5">
                  <c:v>594.22500000000002</c:v>
                </c:pt>
                <c:pt idx="6">
                  <c:v>0</c:v>
                </c:pt>
                <c:pt idx="7">
                  <c:v>0</c:v>
                </c:pt>
                <c:pt idx="8">
                  <c:v>0</c:v>
                </c:pt>
              </c:numCache>
            </c:numRef>
          </c:val>
          <c:extLst>
            <c:ext xmlns:c16="http://schemas.microsoft.com/office/drawing/2014/chart" uri="{C3380CC4-5D6E-409C-BE32-E72D297353CC}">
              <c16:uniqueId val="{00000000-7E4A-44B8-A65C-3D2FDD8E42E5}"/>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3"/>
          <c:tx>
            <c:v>Precio medio necesidades a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4"/>
          <c:tx>
            <c:v>Precio ponderado necesidades a bajar</c:v>
          </c:tx>
          <c:spPr>
            <a:ln w="28575" cap="rnd">
              <a:solidFill>
                <a:srgbClr val="404040"/>
              </a:solidFill>
              <a:round/>
            </a:ln>
            <a:effectLst/>
          </c:spPr>
          <c:marker>
            <c:symbol val="none"/>
          </c:marker>
          <c:dPt>
            <c:idx val="10"/>
            <c:marker>
              <c:symbol val="none"/>
            </c:marker>
            <c:bubble3D val="0"/>
            <c:spPr>
              <a:ln w="28575" cap="rnd">
                <a:noFill/>
                <a:round/>
              </a:ln>
              <a:effectLst/>
            </c:spPr>
            <c:extLst>
              <c:ext xmlns:c16="http://schemas.microsoft.com/office/drawing/2014/chart" uri="{C3380CC4-5D6E-409C-BE32-E72D297353CC}">
                <c16:uniqueId val="{00000004-AEE8-4775-AC6E-6CCB6A41A789}"/>
              </c:ext>
            </c:extLst>
          </c:dPt>
          <c:dPt>
            <c:idx val="11"/>
            <c:marker>
              <c:symbol val="none"/>
            </c:marker>
            <c:bubble3D val="0"/>
            <c:spPr>
              <a:ln w="28575" cap="rnd">
                <a:noFill/>
                <a:round/>
              </a:ln>
              <a:effectLst/>
            </c:spPr>
            <c:extLst>
              <c:ext xmlns:c16="http://schemas.microsoft.com/office/drawing/2014/chart" uri="{C3380CC4-5D6E-409C-BE32-E72D297353CC}">
                <c16:uniqueId val="{00000001-FEED-4C0A-97DA-0B18CB0B38E1}"/>
              </c:ext>
            </c:extLst>
          </c:dPt>
          <c:dPt>
            <c:idx val="12"/>
            <c:marker>
              <c:symbol val="none"/>
            </c:marker>
            <c:bubble3D val="0"/>
            <c:spPr>
              <a:ln w="28575" cap="rnd">
                <a:noFill/>
                <a:round/>
              </a:ln>
              <a:effectLst/>
            </c:spPr>
            <c:extLst>
              <c:ext xmlns:c16="http://schemas.microsoft.com/office/drawing/2014/chart" uri="{C3380CC4-5D6E-409C-BE32-E72D297353CC}">
                <c16:uniqueId val="{00000000-FEED-4C0A-97DA-0B18CB0B38E1}"/>
              </c:ext>
            </c:extLst>
          </c:dPt>
          <c:val>
            <c:numRef>
              <c:f>Dat_01!$C$418:$O$418</c:f>
              <c:numCache>
                <c:formatCode>#,##0.00</c:formatCode>
                <c:ptCount val="13"/>
                <c:pt idx="0">
                  <c:v>-1.4266996133000001</c:v>
                </c:pt>
                <c:pt idx="1">
                  <c:v>-4.0810580168000001</c:v>
                </c:pt>
                <c:pt idx="2">
                  <c:v>64.248668094300001</c:v>
                </c:pt>
                <c:pt idx="3">
                  <c:v>22.334454021199999</c:v>
                </c:pt>
                <c:pt idx="4">
                  <c:v>8.1725149182999992</c:v>
                </c:pt>
                <c:pt idx="5">
                  <c:v>13.4386992617</c:v>
                </c:pt>
                <c:pt idx="6">
                  <c:v>30.503105186900001</c:v>
                </c:pt>
                <c:pt idx="7">
                  <c:v>8.6680619366999991</c:v>
                </c:pt>
                <c:pt idx="8">
                  <c:v>29.5562912143</c:v>
                </c:pt>
                <c:pt idx="9">
                  <c:v>0</c:v>
                </c:pt>
                <c:pt idx="10">
                  <c:v>0</c:v>
                </c:pt>
                <c:pt idx="11">
                  <c:v>0</c:v>
                </c:pt>
                <c:pt idx="12">
                  <c:v>0</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1.2558492965081875E-2"/>
          <c:y val="0.7338937374681167"/>
          <c:w val="0.96757061352840057"/>
          <c:h val="0.250178327033751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Dat_01!$B$261</c:f>
              <c:strCache>
                <c:ptCount val="1"/>
                <c:pt idx="0">
                  <c:v>Carbón</c:v>
                </c:pt>
              </c:strCache>
            </c:strRef>
          </c:tx>
          <c:spPr>
            <a:solidFill>
              <a:srgbClr val="993300"/>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Dat_01!$C$261:$O$261</c:f>
              <c:numCache>
                <c:formatCode>#,##0.0</c:formatCode>
                <c:ptCount val="13"/>
                <c:pt idx="0">
                  <c:v>298.75</c:v>
                </c:pt>
                <c:pt idx="1">
                  <c:v>0</c:v>
                </c:pt>
                <c:pt idx="2">
                  <c:v>45</c:v>
                </c:pt>
                <c:pt idx="3">
                  <c:v>75.974999999999994</c:v>
                </c:pt>
                <c:pt idx="4">
                  <c:v>0</c:v>
                </c:pt>
                <c:pt idx="5">
                  <c:v>140</c:v>
                </c:pt>
                <c:pt idx="6">
                  <c:v>133</c:v>
                </c:pt>
                <c:pt idx="7">
                  <c:v>0</c:v>
                </c:pt>
                <c:pt idx="8">
                  <c:v>0</c:v>
                </c:pt>
              </c:numCache>
            </c:numRef>
          </c:val>
          <c:extLst>
            <c:ext xmlns:c16="http://schemas.microsoft.com/office/drawing/2014/chart" uri="{C3380CC4-5D6E-409C-BE32-E72D297353CC}">
              <c16:uniqueId val="{00000000-FAA4-4CCE-8D4F-74A3A14856A0}"/>
            </c:ext>
          </c:extLst>
        </c:ser>
        <c:ser>
          <c:idx val="18"/>
          <c:order val="2"/>
          <c:tx>
            <c:strRef>
              <c:f>Dat_01!$B$262</c:f>
              <c:strCache>
                <c:ptCount val="1"/>
                <c:pt idx="0">
                  <c:v>Ciclo Combinado</c:v>
                </c:pt>
              </c:strCache>
            </c:strRef>
          </c:tx>
          <c:spPr>
            <a:solidFill>
              <a:srgbClr val="FFCC66"/>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Dat_01!$C$262:$O$262</c:f>
              <c:numCache>
                <c:formatCode>#,##0.0</c:formatCode>
                <c:ptCount val="13"/>
                <c:pt idx="0">
                  <c:v>18888.825000000001</c:v>
                </c:pt>
                <c:pt idx="1">
                  <c:v>20152.424999999999</c:v>
                </c:pt>
                <c:pt idx="2">
                  <c:v>150562.97500000001</c:v>
                </c:pt>
                <c:pt idx="3">
                  <c:v>111394.65</c:v>
                </c:pt>
                <c:pt idx="4">
                  <c:v>161963.32500000001</c:v>
                </c:pt>
                <c:pt idx="5">
                  <c:v>74319.425000000003</c:v>
                </c:pt>
                <c:pt idx="6">
                  <c:v>99176.3</c:v>
                </c:pt>
                <c:pt idx="7">
                  <c:v>179691.27499999999</c:v>
                </c:pt>
                <c:pt idx="8">
                  <c:v>264347.05</c:v>
                </c:pt>
              </c:numCache>
            </c:numRef>
          </c:val>
          <c:extLst>
            <c:ext xmlns:c16="http://schemas.microsoft.com/office/drawing/2014/chart" uri="{C3380CC4-5D6E-409C-BE32-E72D297353CC}">
              <c16:uniqueId val="{00000001-FAA4-4CCE-8D4F-74A3A14856A0}"/>
            </c:ext>
          </c:extLst>
        </c:ser>
        <c:ser>
          <c:idx val="19"/>
          <c:order val="3"/>
          <c:tx>
            <c:strRef>
              <c:f>Dat_01!$B$263</c:f>
              <c:strCache>
                <c:ptCount val="1"/>
                <c:pt idx="0">
                  <c:v>Cogeneración</c:v>
                </c:pt>
              </c:strCache>
            </c:strRef>
          </c:tx>
          <c:spPr>
            <a:solidFill>
              <a:srgbClr val="CFA2CA"/>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Dat_01!$C$263:$O$263</c:f>
              <c:numCache>
                <c:formatCode>#,##0.0</c:formatCode>
                <c:ptCount val="13"/>
                <c:pt idx="0">
                  <c:v>7.25</c:v>
                </c:pt>
                <c:pt idx="1">
                  <c:v>35.174999999999997</c:v>
                </c:pt>
                <c:pt idx="2">
                  <c:v>74.724999999999994</c:v>
                </c:pt>
                <c:pt idx="3">
                  <c:v>111</c:v>
                </c:pt>
                <c:pt idx="4">
                  <c:v>60.625</c:v>
                </c:pt>
                <c:pt idx="5">
                  <c:v>75.25</c:v>
                </c:pt>
                <c:pt idx="6">
                  <c:v>415.25</c:v>
                </c:pt>
                <c:pt idx="7">
                  <c:v>69</c:v>
                </c:pt>
                <c:pt idx="8">
                  <c:v>129</c:v>
                </c:pt>
              </c:numCache>
            </c:numRef>
          </c:val>
          <c:extLst>
            <c:ext xmlns:c16="http://schemas.microsoft.com/office/drawing/2014/chart" uri="{C3380CC4-5D6E-409C-BE32-E72D297353CC}">
              <c16:uniqueId val="{00000002-FAA4-4CCE-8D4F-74A3A14856A0}"/>
            </c:ext>
          </c:extLst>
        </c:ser>
        <c:ser>
          <c:idx val="20"/>
          <c:order val="4"/>
          <c:tx>
            <c:strRef>
              <c:f>Dat_01!$B$264</c:f>
              <c:strCache>
                <c:ptCount val="1"/>
                <c:pt idx="0">
                  <c:v>Consumo Bombeo</c:v>
                </c:pt>
              </c:strCache>
            </c:strRef>
          </c:tx>
          <c:spPr>
            <a:solidFill>
              <a:srgbClr val="2C4D75"/>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Dat_01!$C$264:$O$264</c:f>
              <c:numCache>
                <c:formatCode>#,##0.0</c:formatCode>
                <c:ptCount val="13"/>
                <c:pt idx="0">
                  <c:v>7157.5749999999998</c:v>
                </c:pt>
                <c:pt idx="1">
                  <c:v>13771.375</c:v>
                </c:pt>
                <c:pt idx="2">
                  <c:v>10233.450000000001</c:v>
                </c:pt>
                <c:pt idx="3">
                  <c:v>3364.5</c:v>
                </c:pt>
                <c:pt idx="4">
                  <c:v>4842.1000000000004</c:v>
                </c:pt>
                <c:pt idx="5">
                  <c:v>4681.25</c:v>
                </c:pt>
                <c:pt idx="6">
                  <c:v>6193.5</c:v>
                </c:pt>
                <c:pt idx="7">
                  <c:v>15193.5</c:v>
                </c:pt>
                <c:pt idx="8">
                  <c:v>10242.799999999999</c:v>
                </c:pt>
              </c:numCache>
            </c:numRef>
          </c:val>
          <c:extLst>
            <c:ext xmlns:c16="http://schemas.microsoft.com/office/drawing/2014/chart" uri="{C3380CC4-5D6E-409C-BE32-E72D297353CC}">
              <c16:uniqueId val="{00000003-FAA4-4CCE-8D4F-74A3A14856A0}"/>
            </c:ext>
          </c:extLst>
        </c:ser>
        <c:ser>
          <c:idx val="21"/>
          <c:order val="5"/>
          <c:tx>
            <c:strRef>
              <c:f>Dat_01!$B$266</c:f>
              <c:strCache>
                <c:ptCount val="1"/>
                <c:pt idx="0">
                  <c:v>Eólica</c:v>
                </c:pt>
              </c:strCache>
            </c:strRef>
          </c:tx>
          <c:spPr>
            <a:solidFill>
              <a:srgbClr val="70AD47"/>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Dat_01!$C$266:$O$266</c:f>
              <c:numCache>
                <c:formatCode>#,##0.0</c:formatCode>
                <c:ptCount val="13"/>
                <c:pt idx="0">
                  <c:v>14921.8</c:v>
                </c:pt>
                <c:pt idx="1">
                  <c:v>16516.95</c:v>
                </c:pt>
                <c:pt idx="2">
                  <c:v>18618.8</c:v>
                </c:pt>
                <c:pt idx="3">
                  <c:v>14987.65</c:v>
                </c:pt>
                <c:pt idx="4">
                  <c:v>13106.95</c:v>
                </c:pt>
                <c:pt idx="5">
                  <c:v>8238.0249999999996</c:v>
                </c:pt>
                <c:pt idx="6">
                  <c:v>13448.6</c:v>
                </c:pt>
                <c:pt idx="7">
                  <c:v>27925.05</c:v>
                </c:pt>
                <c:pt idx="8">
                  <c:v>15554.725</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Dat_01!$C$269:$O$269</c:f>
              <c:numCache>
                <c:formatCode>#,##0.0</c:formatCode>
                <c:ptCount val="13"/>
                <c:pt idx="0">
                  <c:v>24686.325000000001</c:v>
                </c:pt>
                <c:pt idx="1">
                  <c:v>20361.7</c:v>
                </c:pt>
                <c:pt idx="2">
                  <c:v>15819.9</c:v>
                </c:pt>
                <c:pt idx="3">
                  <c:v>27721.9</c:v>
                </c:pt>
                <c:pt idx="4">
                  <c:v>27274.55</c:v>
                </c:pt>
                <c:pt idx="5">
                  <c:v>9782.4750000000004</c:v>
                </c:pt>
                <c:pt idx="6">
                  <c:v>15907.825000000001</c:v>
                </c:pt>
                <c:pt idx="7">
                  <c:v>30043.625</c:v>
                </c:pt>
                <c:pt idx="8">
                  <c:v>50532.5</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Dat_01!$C$272:$O$272</c:f>
              <c:numCache>
                <c:formatCode>#,##0.0</c:formatCode>
                <c:ptCount val="13"/>
                <c:pt idx="0">
                  <c:v>324.5</c:v>
                </c:pt>
                <c:pt idx="1">
                  <c:v>1562.875</c:v>
                </c:pt>
                <c:pt idx="2">
                  <c:v>1112.175</c:v>
                </c:pt>
                <c:pt idx="3">
                  <c:v>171.25</c:v>
                </c:pt>
                <c:pt idx="4">
                  <c:v>85</c:v>
                </c:pt>
                <c:pt idx="5">
                  <c:v>0.25</c:v>
                </c:pt>
                <c:pt idx="6">
                  <c:v>18.75</c:v>
                </c:pt>
                <c:pt idx="7">
                  <c:v>649.5</c:v>
                </c:pt>
                <c:pt idx="8">
                  <c:v>24.25</c:v>
                </c:pt>
              </c:numCache>
            </c:numRef>
          </c:val>
          <c:extLst>
            <c:ext xmlns:c16="http://schemas.microsoft.com/office/drawing/2014/chart" uri="{C3380CC4-5D6E-409C-BE32-E72D297353CC}">
              <c16:uniqueId val="{00000006-FAA4-4CCE-8D4F-74A3A14856A0}"/>
            </c:ext>
          </c:extLst>
        </c:ser>
        <c:ser>
          <c:idx val="5"/>
          <c:order val="8"/>
          <c:tx>
            <c:strRef>
              <c:f>Dat_01!$B$273</c:f>
              <c:strCache>
                <c:ptCount val="1"/>
                <c:pt idx="0">
                  <c:v>Otras Renovables</c:v>
                </c:pt>
              </c:strCache>
            </c:strRef>
          </c:tx>
          <c:spPr>
            <a:solidFill>
              <a:srgbClr val="9A5CBC"/>
            </a:solidFill>
            <a:ln>
              <a:noFill/>
            </a:ln>
            <a:effectLst/>
          </c:spPr>
          <c:invertIfNegative val="0"/>
          <c:val>
            <c:numRef>
              <c:f>Dat_01!$C$273:$O$273</c:f>
              <c:numCache>
                <c:formatCode>#,##0.0</c:formatCode>
                <c:ptCount val="13"/>
                <c:pt idx="0">
                  <c:v>44.25</c:v>
                </c:pt>
                <c:pt idx="1">
                  <c:v>17.75</c:v>
                </c:pt>
                <c:pt idx="2">
                  <c:v>4</c:v>
                </c:pt>
                <c:pt idx="3">
                  <c:v>3</c:v>
                </c:pt>
                <c:pt idx="4">
                  <c:v>46.25</c:v>
                </c:pt>
                <c:pt idx="5">
                  <c:v>10.75</c:v>
                </c:pt>
                <c:pt idx="6">
                  <c:v>9.5</c:v>
                </c:pt>
                <c:pt idx="7">
                  <c:v>27.25</c:v>
                </c:pt>
                <c:pt idx="8">
                  <c:v>3</c:v>
                </c:pt>
              </c:numCache>
            </c:numRef>
          </c:val>
          <c:extLst>
            <c:ext xmlns:c16="http://schemas.microsoft.com/office/drawing/2014/chart" uri="{C3380CC4-5D6E-409C-BE32-E72D297353CC}">
              <c16:uniqueId val="{00000003-C0D1-41AE-B280-BCCD7EDA71F4}"/>
            </c:ext>
          </c:extLst>
        </c:ser>
        <c:ser>
          <c:idx val="4"/>
          <c:order val="9"/>
          <c:tx>
            <c:strRef>
              <c:f>Dat_01!$B$275</c:f>
              <c:strCache>
                <c:ptCount val="1"/>
                <c:pt idx="0">
                  <c:v>Solar fotovoltaica</c:v>
                </c:pt>
              </c:strCache>
            </c:strRef>
          </c:tx>
          <c:spPr>
            <a:solidFill>
              <a:srgbClr val="EE6112"/>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Dat_01!$C$275:$O$275</c:f>
              <c:numCache>
                <c:formatCode>#,##0.0</c:formatCode>
                <c:ptCount val="13"/>
                <c:pt idx="0">
                  <c:v>4274.6750000000002</c:v>
                </c:pt>
                <c:pt idx="1">
                  <c:v>6754.4</c:v>
                </c:pt>
                <c:pt idx="2">
                  <c:v>14755.35</c:v>
                </c:pt>
                <c:pt idx="3">
                  <c:v>7808.2749999999996</c:v>
                </c:pt>
                <c:pt idx="4">
                  <c:v>13868.125</c:v>
                </c:pt>
                <c:pt idx="5">
                  <c:v>5893.8</c:v>
                </c:pt>
                <c:pt idx="6">
                  <c:v>3504.1</c:v>
                </c:pt>
                <c:pt idx="7">
                  <c:v>5531.55</c:v>
                </c:pt>
                <c:pt idx="8">
                  <c:v>5355.3</c:v>
                </c:pt>
              </c:numCache>
            </c:numRef>
          </c:val>
          <c:extLst>
            <c:ext xmlns:c16="http://schemas.microsoft.com/office/drawing/2014/chart" uri="{C3380CC4-5D6E-409C-BE32-E72D297353CC}">
              <c16:uniqueId val="{00000005-523E-4381-B453-4598D42EBE55}"/>
            </c:ext>
          </c:extLst>
        </c:ser>
        <c:ser>
          <c:idx val="1"/>
          <c:order val="10"/>
          <c:tx>
            <c:strRef>
              <c:f>Dat_01!$B$276</c:f>
              <c:strCache>
                <c:ptCount val="1"/>
                <c:pt idx="0">
                  <c:v>Solar térmica</c:v>
                </c:pt>
              </c:strCache>
            </c:strRef>
          </c:tx>
          <c:spPr>
            <a:solidFill>
              <a:srgbClr val="FF0000"/>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Dat_01!$C$276:$O$276</c:f>
              <c:numCache>
                <c:formatCode>#,##0.0</c:formatCode>
                <c:ptCount val="13"/>
                <c:pt idx="0">
                  <c:v>984</c:v>
                </c:pt>
                <c:pt idx="1">
                  <c:v>815.25</c:v>
                </c:pt>
                <c:pt idx="2">
                  <c:v>770.25</c:v>
                </c:pt>
                <c:pt idx="3">
                  <c:v>864.57500000000005</c:v>
                </c:pt>
                <c:pt idx="4">
                  <c:v>907.3</c:v>
                </c:pt>
                <c:pt idx="5">
                  <c:v>575.5</c:v>
                </c:pt>
                <c:pt idx="6">
                  <c:v>788.17499999999995</c:v>
                </c:pt>
                <c:pt idx="7">
                  <c:v>691.75</c:v>
                </c:pt>
                <c:pt idx="8">
                  <c:v>392.375</c:v>
                </c:pt>
              </c:numCache>
            </c:numRef>
          </c:val>
          <c:extLst>
            <c:ext xmlns:c16="http://schemas.microsoft.com/office/drawing/2014/chart" uri="{C3380CC4-5D6E-409C-BE32-E72D297353CC}">
              <c16:uniqueId val="{00000006-8804-4EE3-B2F3-6DEC3E90E4BD}"/>
            </c:ext>
          </c:extLst>
        </c:ser>
        <c:ser>
          <c:idx val="24"/>
          <c:order val="11"/>
          <c:tx>
            <c:strRef>
              <c:f>Dat_01!$B$277</c:f>
              <c:strCache>
                <c:ptCount val="1"/>
                <c:pt idx="0">
                  <c:v>Turbinación bombeo</c:v>
                </c:pt>
              </c:strCache>
            </c:strRef>
          </c:tx>
          <c:spPr>
            <a:solidFill>
              <a:srgbClr val="95B3D7"/>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Dat_01!$C$277:$O$277</c:f>
              <c:numCache>
                <c:formatCode>#,##0.0</c:formatCode>
                <c:ptCount val="13"/>
                <c:pt idx="0">
                  <c:v>13137.825000000001</c:v>
                </c:pt>
                <c:pt idx="1">
                  <c:v>16514.55</c:v>
                </c:pt>
                <c:pt idx="2">
                  <c:v>15115.8</c:v>
                </c:pt>
                <c:pt idx="3">
                  <c:v>6738.7</c:v>
                </c:pt>
                <c:pt idx="4">
                  <c:v>19303.125</c:v>
                </c:pt>
                <c:pt idx="5">
                  <c:v>6517.85</c:v>
                </c:pt>
                <c:pt idx="6">
                  <c:v>6593.15</c:v>
                </c:pt>
                <c:pt idx="7">
                  <c:v>13094.475</c:v>
                </c:pt>
                <c:pt idx="8">
                  <c:v>11431.225</c:v>
                </c:pt>
              </c:numCache>
            </c:numRef>
          </c:val>
          <c:extLst>
            <c:ext xmlns:c16="http://schemas.microsoft.com/office/drawing/2014/chart" uri="{C3380CC4-5D6E-409C-BE32-E72D297353CC}">
              <c16:uniqueId val="{00000007-FAA4-4CCE-8D4F-74A3A14856A0}"/>
            </c:ext>
          </c:extLst>
        </c:ser>
        <c:ser>
          <c:idx val="6"/>
          <c:order val="12"/>
          <c:tx>
            <c:strRef>
              <c:f>Dat_01!$B$268</c:f>
              <c:strCache>
                <c:ptCount val="1"/>
                <c:pt idx="0">
                  <c:v>Hibridación</c:v>
                </c:pt>
              </c:strCache>
            </c:strRef>
          </c:tx>
          <c:spPr>
            <a:solidFill>
              <a:srgbClr val="28A064"/>
            </a:solidFill>
            <a:ln>
              <a:noFill/>
            </a:ln>
            <a:effectLst/>
          </c:spPr>
          <c:invertIfNegative val="0"/>
          <c:val>
            <c:numRef>
              <c:f>Dat_01!$C$268:$O$268</c:f>
              <c:numCache>
                <c:formatCode>#,##0.0</c:formatCode>
                <c:ptCount val="13"/>
                <c:pt idx="0">
                  <c:v>0</c:v>
                </c:pt>
                <c:pt idx="1">
                  <c:v>0</c:v>
                </c:pt>
                <c:pt idx="2">
                  <c:v>0</c:v>
                </c:pt>
                <c:pt idx="3">
                  <c:v>0</c:v>
                </c:pt>
                <c:pt idx="4">
                  <c:v>0</c:v>
                </c:pt>
                <c:pt idx="5">
                  <c:v>0.57499999999999996</c:v>
                </c:pt>
                <c:pt idx="6">
                  <c:v>0</c:v>
                </c:pt>
                <c:pt idx="7">
                  <c:v>0</c:v>
                </c:pt>
                <c:pt idx="8">
                  <c:v>0</c:v>
                </c:pt>
              </c:numCache>
            </c:numRef>
          </c:val>
          <c:extLst>
            <c:ext xmlns:c16="http://schemas.microsoft.com/office/drawing/2014/chart" uri="{C3380CC4-5D6E-409C-BE32-E72D297353CC}">
              <c16:uniqueId val="{00000002-C7A0-414B-B189-4CEEB41D219B}"/>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Dat_01!$B$260</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Dat_01!$C$256:$O$256</c15:sqref>
                        </c15:formulaRef>
                      </c:ext>
                    </c:extLst>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extLst>
                      <c:ext uri="{02D57815-91ED-43cb-92C2-25804820EDAC}">
                        <c15:formulaRef>
                          <c15:sqref>Dat_01!$C$260:$O$260</c15:sqref>
                        </c15:formulaRef>
                      </c:ext>
                    </c:extLst>
                    <c:numCache>
                      <c:formatCode>#,##0.0</c:formatCode>
                      <c:ptCount val="13"/>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3"/>
          <c:tx>
            <c:v>Precio ponderado necesidades a subir</c:v>
          </c:tx>
          <c:spPr>
            <a:ln w="28575" cap="rnd">
              <a:solidFill>
                <a:srgbClr val="004563"/>
              </a:solidFill>
              <a:round/>
            </a:ln>
            <a:effectLst/>
          </c:spPr>
          <c:marker>
            <c:symbol val="none"/>
          </c:marker>
          <c:dPt>
            <c:idx val="10"/>
            <c:marker>
              <c:symbol val="none"/>
            </c:marker>
            <c:bubble3D val="0"/>
            <c:spPr>
              <a:ln w="28575" cap="rnd">
                <a:noFill/>
                <a:round/>
              </a:ln>
              <a:effectLst/>
            </c:spPr>
            <c:extLst>
              <c:ext xmlns:c16="http://schemas.microsoft.com/office/drawing/2014/chart" uri="{C3380CC4-5D6E-409C-BE32-E72D297353CC}">
                <c16:uniqueId val="{00000006-4EA5-44CF-ACC1-C2DC3494D8A1}"/>
              </c:ext>
            </c:extLst>
          </c:dPt>
          <c:dPt>
            <c:idx val="11"/>
            <c:marker>
              <c:symbol val="none"/>
            </c:marker>
            <c:bubble3D val="0"/>
            <c:spPr>
              <a:ln w="28575" cap="rnd">
                <a:noFill/>
                <a:round/>
              </a:ln>
              <a:effectLst/>
            </c:spPr>
            <c:extLst>
              <c:ext xmlns:c16="http://schemas.microsoft.com/office/drawing/2014/chart" uri="{C3380CC4-5D6E-409C-BE32-E72D297353CC}">
                <c16:uniqueId val="{00000003-7673-47A7-B351-77BC59A8C758}"/>
              </c:ext>
            </c:extLst>
          </c:dPt>
          <c:dPt>
            <c:idx val="12"/>
            <c:marker>
              <c:symbol val="none"/>
            </c:marker>
            <c:bubble3D val="0"/>
            <c:spPr>
              <a:ln w="28575" cap="rnd">
                <a:noFill/>
                <a:round/>
              </a:ln>
              <a:effectLst/>
            </c:spPr>
            <c:extLst>
              <c:ext xmlns:c16="http://schemas.microsoft.com/office/drawing/2014/chart" uri="{C3380CC4-5D6E-409C-BE32-E72D297353CC}">
                <c16:uniqueId val="{00000002-7673-47A7-B351-77BC59A8C758}"/>
              </c:ext>
            </c:extLst>
          </c:dPt>
          <c:cat>
            <c:numRef>
              <c:f>Dat_01!$C$234:$O$234</c:f>
              <c:numCache>
                <c:formatCode>#,##0.0</c:formatCode>
                <c:ptCount val="13"/>
                <c:pt idx="0">
                  <c:v>24323</c:v>
                </c:pt>
                <c:pt idx="1">
                  <c:v>15956.517</c:v>
                </c:pt>
                <c:pt idx="2">
                  <c:v>10532.25</c:v>
                </c:pt>
                <c:pt idx="3">
                  <c:v>10383.450000000001</c:v>
                </c:pt>
                <c:pt idx="4">
                  <c:v>10664.65</c:v>
                </c:pt>
                <c:pt idx="5">
                  <c:v>13546.782999999999</c:v>
                </c:pt>
                <c:pt idx="6">
                  <c:v>17828.25</c:v>
                </c:pt>
                <c:pt idx="7">
                  <c:v>8942.5499999999993</c:v>
                </c:pt>
                <c:pt idx="8">
                  <c:v>10255.6</c:v>
                </c:pt>
                <c:pt idx="9">
                  <c:v>30050.967000000001</c:v>
                </c:pt>
                <c:pt idx="10">
                  <c:v>29190.814999999999</c:v>
                </c:pt>
                <c:pt idx="11">
                  <c:v>23030.532999999999</c:v>
                </c:pt>
                <c:pt idx="12">
                  <c:v>23938.75</c:v>
                </c:pt>
              </c:numCache>
            </c:numRef>
          </c:cat>
          <c:val>
            <c:numRef>
              <c:f>Dat_01!$C$414:$O$414</c:f>
              <c:numCache>
                <c:formatCode>#,##0.00</c:formatCode>
                <c:ptCount val="13"/>
                <c:pt idx="0">
                  <c:v>52.314215232599999</c:v>
                </c:pt>
                <c:pt idx="1">
                  <c:v>55.672629718300001</c:v>
                </c:pt>
                <c:pt idx="2">
                  <c:v>95.530108455900006</c:v>
                </c:pt>
                <c:pt idx="3">
                  <c:v>107.60287344539999</c:v>
                </c:pt>
                <c:pt idx="4">
                  <c:v>105.48086387319999</c:v>
                </c:pt>
                <c:pt idx="5">
                  <c:v>87.551958489200004</c:v>
                </c:pt>
                <c:pt idx="6">
                  <c:v>93.292720630199995</c:v>
                </c:pt>
                <c:pt idx="7">
                  <c:v>90.087431370600001</c:v>
                </c:pt>
                <c:pt idx="8">
                  <c:v>94.3620246941</c:v>
                </c:pt>
                <c:pt idx="9">
                  <c:v>0</c:v>
                </c:pt>
                <c:pt idx="10">
                  <c:v>0</c:v>
                </c:pt>
                <c:pt idx="11">
                  <c:v>0</c:v>
                </c:pt>
                <c:pt idx="12">
                  <c:v>0</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4"/>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24323</c:v>
                </c:pt>
                <c:pt idx="1">
                  <c:v>15956.517</c:v>
                </c:pt>
                <c:pt idx="2">
                  <c:v>10532.25</c:v>
                </c:pt>
                <c:pt idx="3">
                  <c:v>10383.450000000001</c:v>
                </c:pt>
                <c:pt idx="4">
                  <c:v>10664.65</c:v>
                </c:pt>
                <c:pt idx="5">
                  <c:v>13546.782999999999</c:v>
                </c:pt>
                <c:pt idx="6">
                  <c:v>17828.25</c:v>
                </c:pt>
                <c:pt idx="7">
                  <c:v>8942.5499999999993</c:v>
                </c:pt>
                <c:pt idx="8">
                  <c:v>10255.6</c:v>
                </c:pt>
                <c:pt idx="9">
                  <c:v>30050.967000000001</c:v>
                </c:pt>
                <c:pt idx="10">
                  <c:v>29190.814999999999</c:v>
                </c:pt>
                <c:pt idx="11">
                  <c:v>23030.532999999999</c:v>
                </c:pt>
                <c:pt idx="12">
                  <c:v>23938.75</c:v>
                </c:pt>
              </c:numCache>
            </c:numRef>
          </c:cat>
          <c:val>
            <c:numRef>
              <c:f>Dat_01!$C$420:$O$420</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Dat_01!$C$278:$O$278</c:f>
              <c:numCache>
                <c:formatCode>#,##0.0</c:formatCode>
                <c:ptCount val="13"/>
                <c:pt idx="0">
                  <c:v>84725.774999999994</c:v>
                </c:pt>
                <c:pt idx="1">
                  <c:v>96502.45</c:v>
                </c:pt>
                <c:pt idx="2">
                  <c:v>227112.42499999999</c:v>
                </c:pt>
                <c:pt idx="3">
                  <c:v>173241.47500000001</c:v>
                </c:pt>
                <c:pt idx="4">
                  <c:v>241457.35</c:v>
                </c:pt>
                <c:pt idx="5">
                  <c:v>110235.15</c:v>
                </c:pt>
                <c:pt idx="6">
                  <c:v>146188.15</c:v>
                </c:pt>
                <c:pt idx="7">
                  <c:v>272916.97499999998</c:v>
                </c:pt>
                <c:pt idx="8">
                  <c:v>358012.22499999998</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Dat_01!$D$322:$P$322</c:f>
              <c:numCache>
                <c:formatCode>#,##0.0</c:formatCode>
                <c:ptCount val="13"/>
                <c:pt idx="0">
                  <c:v>681.75</c:v>
                </c:pt>
                <c:pt idx="1">
                  <c:v>287.25</c:v>
                </c:pt>
                <c:pt idx="2">
                  <c:v>5295.4750000000004</c:v>
                </c:pt>
                <c:pt idx="3">
                  <c:v>2319</c:v>
                </c:pt>
                <c:pt idx="4">
                  <c:v>3809</c:v>
                </c:pt>
                <c:pt idx="5">
                  <c:v>515.75</c:v>
                </c:pt>
                <c:pt idx="6">
                  <c:v>499.25</c:v>
                </c:pt>
                <c:pt idx="7">
                  <c:v>106.52500000000001</c:v>
                </c:pt>
                <c:pt idx="8">
                  <c:v>7.25</c:v>
                </c:pt>
                <c:pt idx="9">
                  <c:v>0</c:v>
                </c:pt>
                <c:pt idx="10">
                  <c:v>0</c:v>
                </c:pt>
                <c:pt idx="11">
                  <c:v>0</c:v>
                </c:pt>
                <c:pt idx="12">
                  <c:v>0</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Dat_01!$C$256:$O$256</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Dat_01!$D$323:$P$323</c:f>
              <c:numCache>
                <c:formatCode>#,##0.0</c:formatCode>
                <c:ptCount val="13"/>
                <c:pt idx="0">
                  <c:v>107349.6</c:v>
                </c:pt>
                <c:pt idx="1">
                  <c:v>45497.95</c:v>
                </c:pt>
                <c:pt idx="2">
                  <c:v>58107.324999999997</c:v>
                </c:pt>
                <c:pt idx="3">
                  <c:v>87431.875</c:v>
                </c:pt>
                <c:pt idx="4">
                  <c:v>151069.52499999999</c:v>
                </c:pt>
                <c:pt idx="5">
                  <c:v>169281.95</c:v>
                </c:pt>
                <c:pt idx="6">
                  <c:v>87906.774999999994</c:v>
                </c:pt>
                <c:pt idx="7">
                  <c:v>79773.399999999994</c:v>
                </c:pt>
                <c:pt idx="8">
                  <c:v>68561.274999999994</c:v>
                </c:pt>
                <c:pt idx="9">
                  <c:v>0</c:v>
                </c:pt>
                <c:pt idx="10">
                  <c:v>0</c:v>
                </c:pt>
                <c:pt idx="11">
                  <c:v>0</c:v>
                </c:pt>
                <c:pt idx="12">
                  <c:v>0</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dPt>
            <c:idx val="9"/>
            <c:marker>
              <c:symbol val="none"/>
            </c:marker>
            <c:bubble3D val="0"/>
            <c:spPr>
              <a:ln w="28575" cap="rnd">
                <a:noFill/>
                <a:round/>
              </a:ln>
              <a:effectLst/>
            </c:spPr>
            <c:extLst>
              <c:ext xmlns:c16="http://schemas.microsoft.com/office/drawing/2014/chart" uri="{C3380CC4-5D6E-409C-BE32-E72D297353CC}">
                <c16:uniqueId val="{00000005-DCEB-4C1C-B1AB-98D1D7DBA950}"/>
              </c:ext>
            </c:extLst>
          </c:dPt>
          <c:dPt>
            <c:idx val="10"/>
            <c:marker>
              <c:symbol val="none"/>
            </c:marker>
            <c:bubble3D val="0"/>
            <c:spPr>
              <a:ln w="28575" cap="rnd">
                <a:noFill/>
                <a:round/>
              </a:ln>
              <a:effectLst/>
            </c:spPr>
            <c:extLst>
              <c:ext xmlns:c16="http://schemas.microsoft.com/office/drawing/2014/chart" uri="{C3380CC4-5D6E-409C-BE32-E72D297353CC}">
                <c16:uniqueId val="{00000004-DCEB-4C1C-B1AB-98D1D7DBA950}"/>
              </c:ext>
            </c:extLst>
          </c:dPt>
          <c:dPt>
            <c:idx val="11"/>
            <c:marker>
              <c:symbol val="none"/>
            </c:marker>
            <c:bubble3D val="0"/>
            <c:spPr>
              <a:ln w="28575" cap="rnd">
                <a:noFill/>
                <a:round/>
              </a:ln>
              <a:effectLst/>
            </c:spPr>
            <c:extLst>
              <c:ext xmlns:c16="http://schemas.microsoft.com/office/drawing/2014/chart" uri="{C3380CC4-5D6E-409C-BE32-E72D297353CC}">
                <c16:uniqueId val="{00000001-423C-4902-BEB0-CA1B8C9677C8}"/>
              </c:ext>
            </c:extLst>
          </c:dPt>
          <c:dPt>
            <c:idx val="12"/>
            <c:marker>
              <c:symbol val="none"/>
            </c:marker>
            <c:bubble3D val="0"/>
            <c:spPr>
              <a:ln w="28575" cap="rnd">
                <a:noFill/>
                <a:round/>
              </a:ln>
              <a:effectLst/>
            </c:spPr>
            <c:extLst>
              <c:ext xmlns:c16="http://schemas.microsoft.com/office/drawing/2014/chart" uri="{C3380CC4-5D6E-409C-BE32-E72D297353CC}">
                <c16:uniqueId val="{00000000-423C-4902-BEB0-CA1B8C9677C8}"/>
              </c:ext>
            </c:extLst>
          </c:dPt>
          <c:cat>
            <c:multiLvlStrRef>
              <c:f>#REF!</c:f>
            </c:multiLvlStrRef>
          </c:cat>
          <c:val>
            <c:numRef>
              <c:f>Dat_01!$B$315:$N$315</c:f>
              <c:numCache>
                <c:formatCode>#,##0.0</c:formatCode>
                <c:ptCount val="13"/>
                <c:pt idx="0">
                  <c:v>41863.5</c:v>
                </c:pt>
                <c:pt idx="1">
                  <c:v>74085.75</c:v>
                </c:pt>
                <c:pt idx="2">
                  <c:v>181182</c:v>
                </c:pt>
                <c:pt idx="3">
                  <c:v>130987</c:v>
                </c:pt>
                <c:pt idx="4">
                  <c:v>228947.75</c:v>
                </c:pt>
                <c:pt idx="5">
                  <c:v>79264.25</c:v>
                </c:pt>
                <c:pt idx="6">
                  <c:v>101717.5</c:v>
                </c:pt>
                <c:pt idx="7">
                  <c:v>243754</c:v>
                </c:pt>
                <c:pt idx="8">
                  <c:v>287199.25</c:v>
                </c:pt>
                <c:pt idx="9">
                  <c:v>0</c:v>
                </c:pt>
                <c:pt idx="10">
                  <c:v>0</c:v>
                </c:pt>
                <c:pt idx="11">
                  <c:v>0</c:v>
                </c:pt>
                <c:pt idx="12">
                  <c:v>0</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Dat_01!$C$297:$O$297</c:f>
              <c:numCache>
                <c:formatCode>#,##0.0</c:formatCode>
                <c:ptCount val="13"/>
                <c:pt idx="0">
                  <c:v>470764.1</c:v>
                </c:pt>
                <c:pt idx="1">
                  <c:v>223657.05</c:v>
                </c:pt>
                <c:pt idx="2">
                  <c:v>132555.47500000001</c:v>
                </c:pt>
                <c:pt idx="3">
                  <c:v>238342.95</c:v>
                </c:pt>
                <c:pt idx="4">
                  <c:v>278312.125</c:v>
                </c:pt>
                <c:pt idx="5">
                  <c:v>383411.42499999999</c:v>
                </c:pt>
                <c:pt idx="6">
                  <c:v>225690.27499999999</c:v>
                </c:pt>
                <c:pt idx="7">
                  <c:v>144194.22500000001</c:v>
                </c:pt>
                <c:pt idx="8">
                  <c:v>95640.45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Dat_01!$D$326:$P$326</c:f>
              <c:numCache>
                <c:formatCode>#,##0.0</c:formatCode>
                <c:ptCount val="13"/>
                <c:pt idx="0">
                  <c:v>7049</c:v>
                </c:pt>
                <c:pt idx="1">
                  <c:v>2391.75</c:v>
                </c:pt>
                <c:pt idx="2">
                  <c:v>1830.55</c:v>
                </c:pt>
                <c:pt idx="3">
                  <c:v>6831.75</c:v>
                </c:pt>
                <c:pt idx="4">
                  <c:v>22222.5</c:v>
                </c:pt>
                <c:pt idx="5">
                  <c:v>11528</c:v>
                </c:pt>
                <c:pt idx="6">
                  <c:v>5142.5</c:v>
                </c:pt>
                <c:pt idx="7">
                  <c:v>1643.75</c:v>
                </c:pt>
                <c:pt idx="8">
                  <c:v>348</c:v>
                </c:pt>
                <c:pt idx="9">
                  <c:v>0</c:v>
                </c:pt>
                <c:pt idx="10">
                  <c:v>0</c:v>
                </c:pt>
                <c:pt idx="11">
                  <c:v>0</c:v>
                </c:pt>
                <c:pt idx="12">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Dat_01!$D$327:$P$327</c:f>
              <c:numCache>
                <c:formatCode>#,##0.0</c:formatCode>
                <c:ptCount val="13"/>
                <c:pt idx="0">
                  <c:v>72019.05</c:v>
                </c:pt>
                <c:pt idx="1">
                  <c:v>38927.1</c:v>
                </c:pt>
                <c:pt idx="2">
                  <c:v>57586.7</c:v>
                </c:pt>
                <c:pt idx="3">
                  <c:v>68132.399999999994</c:v>
                </c:pt>
                <c:pt idx="4">
                  <c:v>35923.474999999999</c:v>
                </c:pt>
                <c:pt idx="5">
                  <c:v>44227.425000000003</c:v>
                </c:pt>
                <c:pt idx="6">
                  <c:v>47369.9</c:v>
                </c:pt>
                <c:pt idx="7">
                  <c:v>48789.425000000003</c:v>
                </c:pt>
                <c:pt idx="8">
                  <c:v>75038.05</c:v>
                </c:pt>
                <c:pt idx="9">
                  <c:v>0</c:v>
                </c:pt>
                <c:pt idx="10">
                  <c:v>0</c:v>
                </c:pt>
                <c:pt idx="11">
                  <c:v>0</c:v>
                </c:pt>
                <c:pt idx="12">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dPt>
            <c:idx val="9"/>
            <c:marker>
              <c:symbol val="none"/>
            </c:marker>
            <c:bubble3D val="0"/>
            <c:spPr>
              <a:ln w="28575" cap="rnd">
                <a:noFill/>
                <a:round/>
              </a:ln>
              <a:effectLst/>
            </c:spPr>
            <c:extLst>
              <c:ext xmlns:c16="http://schemas.microsoft.com/office/drawing/2014/chart" uri="{C3380CC4-5D6E-409C-BE32-E72D297353CC}">
                <c16:uniqueId val="{00000005-4843-46C0-8553-365F743F3A29}"/>
              </c:ext>
            </c:extLst>
          </c:dPt>
          <c:dPt>
            <c:idx val="10"/>
            <c:marker>
              <c:symbol val="none"/>
            </c:marker>
            <c:bubble3D val="0"/>
            <c:spPr>
              <a:ln w="28575" cap="rnd">
                <a:noFill/>
                <a:round/>
              </a:ln>
              <a:effectLst/>
            </c:spPr>
            <c:extLst>
              <c:ext xmlns:c16="http://schemas.microsoft.com/office/drawing/2014/chart" uri="{C3380CC4-5D6E-409C-BE32-E72D297353CC}">
                <c16:uniqueId val="{00000004-4843-46C0-8553-365F743F3A29}"/>
              </c:ext>
            </c:extLst>
          </c:dPt>
          <c:dPt>
            <c:idx val="11"/>
            <c:marker>
              <c:symbol val="none"/>
            </c:marker>
            <c:bubble3D val="0"/>
            <c:spPr>
              <a:ln w="28575" cap="rnd">
                <a:noFill/>
                <a:round/>
              </a:ln>
              <a:effectLst/>
            </c:spPr>
            <c:extLst>
              <c:ext xmlns:c16="http://schemas.microsoft.com/office/drawing/2014/chart" uri="{C3380CC4-5D6E-409C-BE32-E72D297353CC}">
                <c16:uniqueId val="{00000001-F138-4798-AA2F-2AC2B4F2003B}"/>
              </c:ext>
            </c:extLst>
          </c:dPt>
          <c:dPt>
            <c:idx val="12"/>
            <c:marker>
              <c:symbol val="none"/>
            </c:marker>
            <c:bubble3D val="0"/>
            <c:spPr>
              <a:ln w="28575" cap="rnd">
                <a:noFill/>
                <a:round/>
              </a:ln>
              <a:effectLst/>
            </c:spPr>
            <c:extLst>
              <c:ext xmlns:c16="http://schemas.microsoft.com/office/drawing/2014/chart" uri="{C3380CC4-5D6E-409C-BE32-E72D297353CC}">
                <c16:uniqueId val="{00000000-F138-4798-AA2F-2AC2B4F2003B}"/>
              </c:ext>
            </c:extLst>
          </c:dPt>
          <c:val>
            <c:numRef>
              <c:f>Dat_01!$B$316:$N$316</c:f>
              <c:numCache>
                <c:formatCode>#,##0.0</c:formatCode>
                <c:ptCount val="13"/>
                <c:pt idx="0">
                  <c:v>399899.75</c:v>
                </c:pt>
                <c:pt idx="1">
                  <c:v>196774</c:v>
                </c:pt>
                <c:pt idx="2">
                  <c:v>82639.5</c:v>
                </c:pt>
                <c:pt idx="3">
                  <c:v>181301.75</c:v>
                </c:pt>
                <c:pt idx="4">
                  <c:v>169070</c:v>
                </c:pt>
                <c:pt idx="5">
                  <c:v>238398.25</c:v>
                </c:pt>
                <c:pt idx="6">
                  <c:v>145326</c:v>
                </c:pt>
                <c:pt idx="7">
                  <c:v>85584.5</c:v>
                </c:pt>
                <c:pt idx="8">
                  <c:v>31645</c:v>
                </c:pt>
                <c:pt idx="9">
                  <c:v>0</c:v>
                </c:pt>
                <c:pt idx="10">
                  <c:v>0</c:v>
                </c:pt>
                <c:pt idx="11">
                  <c:v>0</c:v>
                </c:pt>
                <c:pt idx="12">
                  <c:v>0</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139.28299999999999</c:v>
                </c:pt>
                <c:pt idx="1">
                  <c:v>2.5000000000000001E-2</c:v>
                </c:pt>
                <c:pt idx="2">
                  <c:v>625.5</c:v>
                </c:pt>
                <c:pt idx="3">
                  <c:v>3000.125</c:v>
                </c:pt>
                <c:pt idx="4">
                  <c:v>1021.775</c:v>
                </c:pt>
                <c:pt idx="5">
                  <c:v>3133.625</c:v>
                </c:pt>
                <c:pt idx="6">
                  <c:v>12633.041999999999</c:v>
                </c:pt>
                <c:pt idx="7">
                  <c:v>572.625</c:v>
                </c:pt>
                <c:pt idx="8">
                  <c:v>1128.8</c:v>
                </c:pt>
                <c:pt idx="9">
                  <c:v>1669.25</c:v>
                </c:pt>
                <c:pt idx="10">
                  <c:v>4.9000000000000004</c:v>
                </c:pt>
                <c:pt idx="11">
                  <c:v>0</c:v>
                </c:pt>
                <c:pt idx="12">
                  <c:v>0</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1314.1389999999999</c:v>
                </c:pt>
                <c:pt idx="1">
                  <c:v>893.82399999999996</c:v>
                </c:pt>
                <c:pt idx="2">
                  <c:v>2378.8139999999999</c:v>
                </c:pt>
                <c:pt idx="3">
                  <c:v>6273.4949999999999</c:v>
                </c:pt>
                <c:pt idx="4">
                  <c:v>4302.4539999999997</c:v>
                </c:pt>
                <c:pt idx="5">
                  <c:v>2024.335</c:v>
                </c:pt>
                <c:pt idx="6">
                  <c:v>2029.9390000000001</c:v>
                </c:pt>
                <c:pt idx="7">
                  <c:v>273.53800000000001</c:v>
                </c:pt>
                <c:pt idx="8">
                  <c:v>377.13200000000001</c:v>
                </c:pt>
                <c:pt idx="9">
                  <c:v>786.62800000000004</c:v>
                </c:pt>
                <c:pt idx="10">
                  <c:v>37.953000000000003</c:v>
                </c:pt>
                <c:pt idx="11">
                  <c:v>621.33600000000001</c:v>
                </c:pt>
                <c:pt idx="12">
                  <c:v>2516.587</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2159.3330000000001</c:v>
                </c:pt>
                <c:pt idx="1">
                  <c:v>5583.5</c:v>
                </c:pt>
                <c:pt idx="2">
                  <c:v>2946.4760000000001</c:v>
                </c:pt>
                <c:pt idx="3">
                  <c:v>3981.25</c:v>
                </c:pt>
                <c:pt idx="4">
                  <c:v>6001.4319999999998</c:v>
                </c:pt>
                <c:pt idx="5">
                  <c:v>3894.6080000000002</c:v>
                </c:pt>
                <c:pt idx="6">
                  <c:v>15149.841</c:v>
                </c:pt>
                <c:pt idx="7">
                  <c:v>10963.05</c:v>
                </c:pt>
                <c:pt idx="8">
                  <c:v>25532.89</c:v>
                </c:pt>
                <c:pt idx="9">
                  <c:v>14325.141</c:v>
                </c:pt>
                <c:pt idx="10">
                  <c:v>3178.55</c:v>
                </c:pt>
                <c:pt idx="11">
                  <c:v>16107.041999999999</c:v>
                </c:pt>
                <c:pt idx="12">
                  <c:v>9517.1579999999994</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42.7</c:v>
                </c:pt>
                <c:pt idx="1">
                  <c:v>0</c:v>
                </c:pt>
                <c:pt idx="2">
                  <c:v>0</c:v>
                </c:pt>
                <c:pt idx="3">
                  <c:v>17.925000000000001</c:v>
                </c:pt>
                <c:pt idx="4">
                  <c:v>13.3</c:v>
                </c:pt>
                <c:pt idx="5">
                  <c:v>0</c:v>
                </c:pt>
                <c:pt idx="6">
                  <c:v>0.1</c:v>
                </c:pt>
                <c:pt idx="7">
                  <c:v>40</c:v>
                </c:pt>
                <c:pt idx="8">
                  <c:v>0</c:v>
                </c:pt>
                <c:pt idx="9">
                  <c:v>0</c:v>
                </c:pt>
                <c:pt idx="10">
                  <c:v>0</c:v>
                </c:pt>
                <c:pt idx="11">
                  <c:v>0</c:v>
                </c:pt>
                <c:pt idx="12">
                  <c:v>0</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10600.206</c:v>
                </c:pt>
                <c:pt idx="1">
                  <c:v>15107.638999999999</c:v>
                </c:pt>
                <c:pt idx="2">
                  <c:v>13384.953</c:v>
                </c:pt>
                <c:pt idx="3">
                  <c:v>131985.40100000001</c:v>
                </c:pt>
                <c:pt idx="4">
                  <c:v>53466.71</c:v>
                </c:pt>
                <c:pt idx="5">
                  <c:v>31702.144</c:v>
                </c:pt>
                <c:pt idx="6">
                  <c:v>78564.706000000006</c:v>
                </c:pt>
                <c:pt idx="7">
                  <c:v>31349.627</c:v>
                </c:pt>
                <c:pt idx="8">
                  <c:v>41919.404000000002</c:v>
                </c:pt>
                <c:pt idx="9">
                  <c:v>19108.333999999999</c:v>
                </c:pt>
                <c:pt idx="10">
                  <c:v>4270.6970000000001</c:v>
                </c:pt>
                <c:pt idx="11">
                  <c:v>62427.396000000001</c:v>
                </c:pt>
                <c:pt idx="12">
                  <c:v>64769.294999999998</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1319.4960000000001</c:v>
                </c:pt>
                <c:pt idx="1">
                  <c:v>943.077</c:v>
                </c:pt>
                <c:pt idx="2">
                  <c:v>2505.9189999999999</c:v>
                </c:pt>
                <c:pt idx="3">
                  <c:v>4386.8270000000002</c:v>
                </c:pt>
                <c:pt idx="4">
                  <c:v>1433.252</c:v>
                </c:pt>
                <c:pt idx="5">
                  <c:v>1680.0920000000001</c:v>
                </c:pt>
                <c:pt idx="6">
                  <c:v>3212.7779999999998</c:v>
                </c:pt>
                <c:pt idx="7">
                  <c:v>1972.2629999999999</c:v>
                </c:pt>
                <c:pt idx="8">
                  <c:v>1066.75</c:v>
                </c:pt>
                <c:pt idx="9">
                  <c:v>3413.56</c:v>
                </c:pt>
                <c:pt idx="10">
                  <c:v>10.952999999999999</c:v>
                </c:pt>
                <c:pt idx="11">
                  <c:v>898.26599999999996</c:v>
                </c:pt>
                <c:pt idx="12">
                  <c:v>2585.2570000000001</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2249.5949999999998</c:v>
                </c:pt>
                <c:pt idx="1">
                  <c:v>2043.925</c:v>
                </c:pt>
                <c:pt idx="2">
                  <c:v>3560.598</c:v>
                </c:pt>
                <c:pt idx="3">
                  <c:v>5141.38</c:v>
                </c:pt>
                <c:pt idx="4">
                  <c:v>5499.3530000000001</c:v>
                </c:pt>
                <c:pt idx="5">
                  <c:v>188.095</c:v>
                </c:pt>
                <c:pt idx="6">
                  <c:v>505.98399999999998</c:v>
                </c:pt>
                <c:pt idx="7">
                  <c:v>150.90899999999999</c:v>
                </c:pt>
                <c:pt idx="8">
                  <c:v>733.23500000000001</c:v>
                </c:pt>
                <c:pt idx="9">
                  <c:v>800.19</c:v>
                </c:pt>
                <c:pt idx="10">
                  <c:v>608.26800000000003</c:v>
                </c:pt>
                <c:pt idx="11">
                  <c:v>2561.46</c:v>
                </c:pt>
                <c:pt idx="12">
                  <c:v>1065.028</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1254.827</c:v>
                </c:pt>
                <c:pt idx="1">
                  <c:v>1793.0419999999999</c:v>
                </c:pt>
                <c:pt idx="2">
                  <c:v>2355.221</c:v>
                </c:pt>
                <c:pt idx="3">
                  <c:v>2419.3009999999999</c:v>
                </c:pt>
                <c:pt idx="4">
                  <c:v>1658.9880000000001</c:v>
                </c:pt>
                <c:pt idx="5">
                  <c:v>1278.7840000000001</c:v>
                </c:pt>
                <c:pt idx="6">
                  <c:v>1742.4670000000001</c:v>
                </c:pt>
                <c:pt idx="7">
                  <c:v>18.949000000000002</c:v>
                </c:pt>
                <c:pt idx="8">
                  <c:v>39.518999999999998</c:v>
                </c:pt>
                <c:pt idx="9">
                  <c:v>262.69600000000003</c:v>
                </c:pt>
                <c:pt idx="10">
                  <c:v>19.006</c:v>
                </c:pt>
                <c:pt idx="11">
                  <c:v>530.85799999999995</c:v>
                </c:pt>
                <c:pt idx="12">
                  <c:v>1598.1</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0</c:v>
                </c:pt>
                <c:pt idx="1">
                  <c:v>0</c:v>
                </c:pt>
                <c:pt idx="2">
                  <c:v>122.68300000000001</c:v>
                </c:pt>
                <c:pt idx="3">
                  <c:v>1111.912</c:v>
                </c:pt>
                <c:pt idx="4">
                  <c:v>779.20500000000004</c:v>
                </c:pt>
                <c:pt idx="5">
                  <c:v>0</c:v>
                </c:pt>
                <c:pt idx="6">
                  <c:v>0.16800000000000001</c:v>
                </c:pt>
                <c:pt idx="7">
                  <c:v>25.091000000000001</c:v>
                </c:pt>
                <c:pt idx="8">
                  <c:v>0</c:v>
                </c:pt>
                <c:pt idx="9">
                  <c:v>0</c:v>
                </c:pt>
                <c:pt idx="10">
                  <c:v>0</c:v>
                </c:pt>
                <c:pt idx="11">
                  <c:v>0</c:v>
                </c:pt>
                <c:pt idx="12">
                  <c:v>0</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36877.692000000003</c:v>
                </c:pt>
                <c:pt idx="1">
                  <c:v>51954.457000000002</c:v>
                </c:pt>
                <c:pt idx="2">
                  <c:v>132370.96599999999</c:v>
                </c:pt>
                <c:pt idx="3">
                  <c:v>223344.245</c:v>
                </c:pt>
                <c:pt idx="4">
                  <c:v>63965.084000000003</c:v>
                </c:pt>
                <c:pt idx="5">
                  <c:v>19560.11</c:v>
                </c:pt>
                <c:pt idx="6">
                  <c:v>61583.904999999999</c:v>
                </c:pt>
                <c:pt idx="7">
                  <c:v>6305.0339999999997</c:v>
                </c:pt>
                <c:pt idx="8">
                  <c:v>1891.778</c:v>
                </c:pt>
                <c:pt idx="9">
                  <c:v>2707.0210000000002</c:v>
                </c:pt>
                <c:pt idx="10">
                  <c:v>3565.0010000000002</c:v>
                </c:pt>
                <c:pt idx="11">
                  <c:v>41461.347999999998</c:v>
                </c:pt>
                <c:pt idx="12">
                  <c:v>80229.088000000003</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15191.608</c:v>
                </c:pt>
                <c:pt idx="1">
                  <c:v>25605.382000000001</c:v>
                </c:pt>
                <c:pt idx="2">
                  <c:v>37295.190999999999</c:v>
                </c:pt>
                <c:pt idx="3">
                  <c:v>32322.863000000001</c:v>
                </c:pt>
                <c:pt idx="4">
                  <c:v>16218.591</c:v>
                </c:pt>
                <c:pt idx="5">
                  <c:v>5669.5519999999997</c:v>
                </c:pt>
                <c:pt idx="6">
                  <c:v>8192.3739999999998</c:v>
                </c:pt>
                <c:pt idx="7">
                  <c:v>221.136</c:v>
                </c:pt>
                <c:pt idx="8">
                  <c:v>6.3490000000000002</c:v>
                </c:pt>
                <c:pt idx="9">
                  <c:v>44.374000000000002</c:v>
                </c:pt>
                <c:pt idx="10">
                  <c:v>454.596</c:v>
                </c:pt>
                <c:pt idx="11">
                  <c:v>4909.5150000000003</c:v>
                </c:pt>
                <c:pt idx="12">
                  <c:v>3210.4679999999998</c:v>
                </c:pt>
              </c:numCache>
            </c:numRef>
          </c:val>
          <c:extLst>
            <c:ext xmlns:c16="http://schemas.microsoft.com/office/drawing/2014/chart" uri="{C3380CC4-5D6E-409C-BE32-E72D297353CC}">
              <c16:uniqueId val="{00000009-7CA2-4EAD-A708-444D1CD632C6}"/>
            </c:ext>
          </c:extLst>
        </c:ser>
        <c:ser>
          <c:idx val="12"/>
          <c:order val="14"/>
          <c:tx>
            <c:strRef>
              <c:f>Dat_01!$B$375</c:f>
              <c:strCache>
                <c:ptCount val="1"/>
                <c:pt idx="0">
                  <c:v>Turbinación bombeo</c:v>
                </c:pt>
              </c:strCache>
            </c:strRef>
          </c:tx>
          <c:spPr>
            <a:solidFill>
              <a:srgbClr val="95B3D7"/>
            </a:solidFill>
            <a:ln>
              <a:noFill/>
            </a:ln>
            <a:effectLst/>
          </c:spPr>
          <c:invertIfNegative val="0"/>
          <c:val>
            <c:numRef>
              <c:f>Dat_01!$C$375:$O$375</c:f>
              <c:numCache>
                <c:formatCode>#,##0.0</c:formatCode>
                <c:ptCount val="13"/>
                <c:pt idx="0">
                  <c:v>147.36600000000001</c:v>
                </c:pt>
                <c:pt idx="1">
                  <c:v>3262.7249999999999</c:v>
                </c:pt>
                <c:pt idx="2">
                  <c:v>2493.3420000000001</c:v>
                </c:pt>
                <c:pt idx="3">
                  <c:v>31460.519</c:v>
                </c:pt>
                <c:pt idx="4">
                  <c:v>14627.808000000001</c:v>
                </c:pt>
                <c:pt idx="5">
                  <c:v>439.1</c:v>
                </c:pt>
                <c:pt idx="6">
                  <c:v>116.1</c:v>
                </c:pt>
                <c:pt idx="7">
                  <c:v>65.5</c:v>
                </c:pt>
                <c:pt idx="8">
                  <c:v>6874.9160000000002</c:v>
                </c:pt>
                <c:pt idx="9">
                  <c:v>7145.2420000000002</c:v>
                </c:pt>
                <c:pt idx="10">
                  <c:v>116.25</c:v>
                </c:pt>
                <c:pt idx="11">
                  <c:v>522.16700000000003</c:v>
                </c:pt>
                <c:pt idx="12">
                  <c:v>79.099999999999994</c:v>
                </c:pt>
              </c:numCache>
            </c:numRef>
          </c:val>
          <c:extLst>
            <c:ext xmlns:c16="http://schemas.microsoft.com/office/drawing/2014/chart" uri="{C3380CC4-5D6E-409C-BE32-E72D297353CC}">
              <c16:uniqueId val="{0000000A-7CA2-4EAD-A708-444D1CD632C6}"/>
            </c:ext>
          </c:extLst>
        </c:ser>
        <c:ser>
          <c:idx val="18"/>
          <c:order val="16"/>
          <c:tx>
            <c:strRef>
              <c:f>Dat_01!$B$374</c:f>
              <c:strCache>
                <c:ptCount val="1"/>
                <c:pt idx="0">
                  <c:v>Turbina Vapor, Gas y Fuel</c:v>
                </c:pt>
              </c:strCache>
            </c:strRef>
          </c:tx>
          <c:spPr>
            <a:solidFill>
              <a:srgbClr val="C00000"/>
            </a:solidFill>
            <a:ln>
              <a:noFill/>
            </a:ln>
            <a:effectLst/>
          </c:spPr>
          <c:invertIfNegative val="0"/>
          <c:val>
            <c:numRef>
              <c:f>Dat_01!$C$374:$O$374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3B6-4706-AEEA-707E451E4293}"/>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7"/>
          <c:tx>
            <c:v>Precio medio subir</c:v>
          </c:tx>
          <c:spPr>
            <a:ln w="28575" cap="rnd">
              <a:solidFill>
                <a:srgbClr val="004563"/>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8"/>
          <c:tx>
            <c:v>Precio medio bajar</c:v>
          </c:tx>
          <c:spPr>
            <a:ln w="28575" cap="rnd">
              <a:solidFill>
                <a:srgbClr val="404040"/>
              </a:solidFill>
              <a:round/>
            </a:ln>
            <a:effectLst/>
          </c:spPr>
          <c:marker>
            <c:symbol val="none"/>
          </c:marker>
          <c:val>
            <c:numRef>
              <c:f>Dat_01!$C$405:$O$405</c:f>
              <c:numCache>
                <c:formatCode>#,##0.00</c:formatCode>
                <c:ptCount val="13"/>
                <c:pt idx="0">
                  <c:v>-151.95851905293199</c:v>
                </c:pt>
                <c:pt idx="1">
                  <c:v>-136.52684326860901</c:v>
                </c:pt>
                <c:pt idx="2">
                  <c:v>-87.937670231433103</c:v>
                </c:pt>
                <c:pt idx="3">
                  <c:v>-49.776885172126498</c:v>
                </c:pt>
                <c:pt idx="4">
                  <c:v>-36.745907028188597</c:v>
                </c:pt>
                <c:pt idx="5">
                  <c:v>-45.205144467913101</c:v>
                </c:pt>
                <c:pt idx="6">
                  <c:v>-56.700768444130503</c:v>
                </c:pt>
                <c:pt idx="7">
                  <c:v>-23.385671125824199</c:v>
                </c:pt>
                <c:pt idx="8">
                  <c:v>14.4702230778882</c:v>
                </c:pt>
                <c:pt idx="9">
                  <c:v>16.703954068740298</c:v>
                </c:pt>
                <c:pt idx="10">
                  <c:v>-66.725363478946207</c:v>
                </c:pt>
                <c:pt idx="11">
                  <c:v>-75.180865280933205</c:v>
                </c:pt>
                <c:pt idx="12">
                  <c:v>-118.185307332343</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9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60"/>
          <c:min val="-1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88816895712871868"/>
          <c:h val="0.2020614048870111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Dat_01!$C$424</c:f>
              <c:strCache>
                <c:ptCount val="1"/>
                <c:pt idx="0">
                  <c:v>%h con p=&lt;0</c:v>
                </c:pt>
              </c:strCache>
            </c:strRef>
          </c:tx>
          <c:spPr>
            <a:solidFill>
              <a:srgbClr val="0090D1"/>
            </a:solidFill>
            <a:ln>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Dat_01!$C$425:$C$437</c:f>
              <c:numCache>
                <c:formatCode>#,##0.00</c:formatCode>
                <c:ptCount val="13"/>
                <c:pt idx="0">
                  <c:v>24.861111111111111</c:v>
                </c:pt>
                <c:pt idx="1">
                  <c:v>36.155913978494624</c:v>
                </c:pt>
                <c:pt idx="2">
                  <c:v>11.944444444444445</c:v>
                </c:pt>
                <c:pt idx="3">
                  <c:v>4.032258064516129</c:v>
                </c:pt>
                <c:pt idx="4">
                  <c:v>7.661290322580645</c:v>
                </c:pt>
                <c:pt idx="5">
                  <c:v>9.1666666666666661</c:v>
                </c:pt>
                <c:pt idx="6">
                  <c:v>3.5906040268456376</c:v>
                </c:pt>
                <c:pt idx="7">
                  <c:v>2.5</c:v>
                </c:pt>
                <c:pt idx="9">
                  <c:v>2.8561827956989245</c:v>
                </c:pt>
                <c:pt idx="10">
                  <c:v>31.659226190476193</c:v>
                </c:pt>
                <c:pt idx="11">
                  <c:v>20.861372812920592</c:v>
                </c:pt>
                <c:pt idx="12">
                  <c:v>24.930555555555557</c:v>
                </c:pt>
              </c:numCache>
            </c:numRef>
          </c:val>
          <c:extLst>
            <c:ext xmlns:c16="http://schemas.microsoft.com/office/drawing/2014/chart" uri="{C3380CC4-5D6E-409C-BE32-E72D297353CC}">
              <c16:uniqueId val="{00000000-1098-4846-8912-87805C30CFB4}"/>
            </c:ext>
          </c:extLst>
        </c:ser>
        <c:ser>
          <c:idx val="1"/>
          <c:order val="1"/>
          <c:tx>
            <c:strRef>
              <c:f>Dat_01!$D$424</c:f>
              <c:strCache>
                <c:ptCount val="1"/>
                <c:pt idx="0">
                  <c:v>%h con 0&lt;p=&lt;50</c:v>
                </c:pt>
              </c:strCache>
            </c:strRef>
          </c:tx>
          <c:spPr>
            <a:solidFill>
              <a:srgbClr val="00B050"/>
            </a:solidFill>
            <a:ln>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Dat_01!$D$425:$D$437</c:f>
              <c:numCache>
                <c:formatCode>#,##0.00</c:formatCode>
                <c:ptCount val="13"/>
                <c:pt idx="0">
                  <c:v>55.000000000000007</c:v>
                </c:pt>
                <c:pt idx="1">
                  <c:v>54.166666666666664</c:v>
                </c:pt>
                <c:pt idx="2">
                  <c:v>24.305555555555554</c:v>
                </c:pt>
                <c:pt idx="3">
                  <c:v>29.838709677419356</c:v>
                </c:pt>
                <c:pt idx="4">
                  <c:v>25.537634408602152</c:v>
                </c:pt>
                <c:pt idx="5">
                  <c:v>31.25</c:v>
                </c:pt>
                <c:pt idx="6">
                  <c:v>27.114093959731544</c:v>
                </c:pt>
                <c:pt idx="7">
                  <c:v>39.340277777777779</c:v>
                </c:pt>
                <c:pt idx="8">
                  <c:v>15.32258064516129</c:v>
                </c:pt>
                <c:pt idx="9">
                  <c:v>26.512096774193552</c:v>
                </c:pt>
                <c:pt idx="10">
                  <c:v>58.816964285714292</c:v>
                </c:pt>
                <c:pt idx="11">
                  <c:v>45.289367429340508</c:v>
                </c:pt>
                <c:pt idx="12">
                  <c:v>32.708333333333336</c:v>
                </c:pt>
              </c:numCache>
            </c:numRef>
          </c:val>
          <c:extLst>
            <c:ext xmlns:c16="http://schemas.microsoft.com/office/drawing/2014/chart" uri="{C3380CC4-5D6E-409C-BE32-E72D297353CC}">
              <c16:uniqueId val="{00000001-1098-4846-8912-87805C30CFB4}"/>
            </c:ext>
          </c:extLst>
        </c:ser>
        <c:ser>
          <c:idx val="2"/>
          <c:order val="2"/>
          <c:tx>
            <c:strRef>
              <c:f>Dat_01!$E$424</c:f>
              <c:strCache>
                <c:ptCount val="1"/>
                <c:pt idx="0">
                  <c:v>%h con 50&lt;p=&lt;100</c:v>
                </c:pt>
              </c:strCache>
            </c:strRef>
          </c:tx>
          <c:spPr>
            <a:solidFill>
              <a:srgbClr val="FF9900"/>
            </a:solidFill>
            <a:ln>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Dat_01!$E$425:$E$437</c:f>
              <c:numCache>
                <c:formatCode>#,##0.00</c:formatCode>
                <c:ptCount val="13"/>
                <c:pt idx="0">
                  <c:v>15.416666666666668</c:v>
                </c:pt>
                <c:pt idx="1">
                  <c:v>7.795698924731183</c:v>
                </c:pt>
                <c:pt idx="2">
                  <c:v>20.138888888888889</c:v>
                </c:pt>
                <c:pt idx="3">
                  <c:v>30.376344086021508</c:v>
                </c:pt>
                <c:pt idx="4">
                  <c:v>37.365591397849464</c:v>
                </c:pt>
                <c:pt idx="5">
                  <c:v>39.305555555555557</c:v>
                </c:pt>
                <c:pt idx="6">
                  <c:v>31.006711409395969</c:v>
                </c:pt>
                <c:pt idx="7">
                  <c:v>43.402777777777779</c:v>
                </c:pt>
                <c:pt idx="8">
                  <c:v>64.4489247311828</c:v>
                </c:pt>
                <c:pt idx="9">
                  <c:v>43.346774193548384</c:v>
                </c:pt>
                <c:pt idx="10">
                  <c:v>6.510416666666667</c:v>
                </c:pt>
                <c:pt idx="11">
                  <c:v>20.928667563930013</c:v>
                </c:pt>
                <c:pt idx="12">
                  <c:v>33.333333333333329</c:v>
                </c:pt>
              </c:numCache>
            </c:numRef>
          </c:val>
          <c:extLst>
            <c:ext xmlns:c16="http://schemas.microsoft.com/office/drawing/2014/chart" uri="{C3380CC4-5D6E-409C-BE32-E72D297353CC}">
              <c16:uniqueId val="{00000002-1098-4846-8912-87805C30CFB4}"/>
            </c:ext>
          </c:extLst>
        </c:ser>
        <c:ser>
          <c:idx val="4"/>
          <c:order val="3"/>
          <c:tx>
            <c:strRef>
              <c:f>Dat_01!$F$424</c:f>
              <c:strCache>
                <c:ptCount val="1"/>
                <c:pt idx="0">
                  <c:v>%h con 100&lt;p=&lt;150</c:v>
                </c:pt>
              </c:strCache>
            </c:strRef>
          </c:tx>
          <c:spPr>
            <a:solidFill>
              <a:srgbClr val="9999FF"/>
            </a:solidFill>
            <a:ln>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Dat_01!$F$425:$F$437</c:f>
              <c:numCache>
                <c:formatCode>#,##0.00</c:formatCode>
                <c:ptCount val="13"/>
                <c:pt idx="0">
                  <c:v>3.8888888888888888</c:v>
                </c:pt>
                <c:pt idx="1">
                  <c:v>1.881720430107527</c:v>
                </c:pt>
                <c:pt idx="2">
                  <c:v>40.972222222222221</c:v>
                </c:pt>
                <c:pt idx="3">
                  <c:v>34.543010752688176</c:v>
                </c:pt>
                <c:pt idx="4">
                  <c:v>28.62903225806452</c:v>
                </c:pt>
                <c:pt idx="5">
                  <c:v>18.888888888888889</c:v>
                </c:pt>
                <c:pt idx="6">
                  <c:v>34.161073825503358</c:v>
                </c:pt>
                <c:pt idx="7">
                  <c:v>14.131944444444445</c:v>
                </c:pt>
                <c:pt idx="8">
                  <c:v>19.959677419354836</c:v>
                </c:pt>
                <c:pt idx="9">
                  <c:v>25.60483870967742</c:v>
                </c:pt>
                <c:pt idx="10">
                  <c:v>2.864583333333333</c:v>
                </c:pt>
                <c:pt idx="11">
                  <c:v>9.4549125168236881</c:v>
                </c:pt>
                <c:pt idx="12">
                  <c:v>8.9236111111111107</c:v>
                </c:pt>
              </c:numCache>
            </c:numRef>
          </c:val>
          <c:extLst>
            <c:ext xmlns:c16="http://schemas.microsoft.com/office/drawing/2014/chart" uri="{C3380CC4-5D6E-409C-BE32-E72D297353CC}">
              <c16:uniqueId val="{00000003-1098-4846-8912-87805C30CFB4}"/>
            </c:ext>
          </c:extLst>
        </c:ser>
        <c:ser>
          <c:idx val="3"/>
          <c:order val="4"/>
          <c:tx>
            <c:strRef>
              <c:f>Dat_01!$G$424</c:f>
              <c:strCache>
                <c:ptCount val="1"/>
                <c:pt idx="0">
                  <c:v>%h con p&gt;150</c:v>
                </c:pt>
              </c:strCache>
            </c:strRef>
          </c:tx>
          <c:spPr>
            <a:solidFill>
              <a:srgbClr val="FF0000"/>
            </a:solidFill>
            <a:ln w="25400">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Dat_01!$G$425:$G$437</c:f>
              <c:numCache>
                <c:formatCode>#,##0.00</c:formatCode>
                <c:ptCount val="13"/>
                <c:pt idx="0">
                  <c:v>0.83333333333333337</c:v>
                </c:pt>
                <c:pt idx="1">
                  <c:v>0</c:v>
                </c:pt>
                <c:pt idx="2">
                  <c:v>2.6388888888888888</c:v>
                </c:pt>
                <c:pt idx="3">
                  <c:v>1.2096774193548387</c:v>
                </c:pt>
                <c:pt idx="4">
                  <c:v>0.80645161290322576</c:v>
                </c:pt>
                <c:pt idx="5">
                  <c:v>1.3888888888888888</c:v>
                </c:pt>
                <c:pt idx="6">
                  <c:v>4.1275167785234901</c:v>
                </c:pt>
                <c:pt idx="7">
                  <c:v>0.625</c:v>
                </c:pt>
                <c:pt idx="8">
                  <c:v>0.26881720430107531</c:v>
                </c:pt>
                <c:pt idx="9">
                  <c:v>1.6801075268817203</c:v>
                </c:pt>
                <c:pt idx="10">
                  <c:v>0.14880952380952381</c:v>
                </c:pt>
                <c:pt idx="11">
                  <c:v>3.4656796769851947</c:v>
                </c:pt>
                <c:pt idx="12">
                  <c:v>0.10416666666666667</c:v>
                </c:pt>
              </c:numCache>
            </c:numRef>
          </c:val>
          <c:extLst>
            <c:ext xmlns:c16="http://schemas.microsoft.com/office/drawing/2014/chart" uri="{C3380CC4-5D6E-409C-BE32-E72D297353CC}">
              <c16:uniqueId val="{00000004-1098-4846-8912-87805C30CFB4}"/>
            </c:ext>
          </c:extLst>
        </c:ser>
        <c:dLbls>
          <c:showLegendKey val="0"/>
          <c:showVal val="0"/>
          <c:showCatName val="0"/>
          <c:showSerName val="0"/>
          <c:showPercent val="0"/>
          <c:showBubbleSize val="0"/>
        </c:dLbls>
        <c:gapWidth val="8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Dat_01!$C$340:$O$340</c:f>
              <c:numCache>
                <c:formatCode>#,##0.0</c:formatCode>
                <c:ptCount val="13"/>
                <c:pt idx="0">
                  <c:v>3547.56</c:v>
                </c:pt>
                <c:pt idx="1">
                  <c:v>0</c:v>
                </c:pt>
                <c:pt idx="2">
                  <c:v>9705</c:v>
                </c:pt>
                <c:pt idx="3">
                  <c:v>3130</c:v>
                </c:pt>
                <c:pt idx="4">
                  <c:v>0</c:v>
                </c:pt>
                <c:pt idx="5">
                  <c:v>3588.75</c:v>
                </c:pt>
                <c:pt idx="6">
                  <c:v>6311.25</c:v>
                </c:pt>
                <c:pt idx="7">
                  <c:v>165</c:v>
                </c:pt>
                <c:pt idx="8">
                  <c:v>421.8</c:v>
                </c:pt>
                <c:pt idx="9">
                  <c:v>1340.95</c:v>
                </c:pt>
                <c:pt idx="10">
                  <c:v>0</c:v>
                </c:pt>
                <c:pt idx="11">
                  <c:v>0</c:v>
                </c:pt>
                <c:pt idx="12">
                  <c:v>0</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Dat_01!$C$341:$O$341</c:f>
              <c:numCache>
                <c:formatCode>#,##0.0</c:formatCode>
                <c:ptCount val="13"/>
                <c:pt idx="0">
                  <c:v>339272.77500000002</c:v>
                </c:pt>
                <c:pt idx="1">
                  <c:v>190030.19</c:v>
                </c:pt>
                <c:pt idx="2">
                  <c:v>486259.94</c:v>
                </c:pt>
                <c:pt idx="3">
                  <c:v>438078.424</c:v>
                </c:pt>
                <c:pt idx="4">
                  <c:v>365321.88400000002</c:v>
                </c:pt>
                <c:pt idx="5">
                  <c:v>477468.94300000003</c:v>
                </c:pt>
                <c:pt idx="6">
                  <c:v>388843.01699999999</c:v>
                </c:pt>
                <c:pt idx="7">
                  <c:v>137334.99900000001</c:v>
                </c:pt>
                <c:pt idx="8">
                  <c:v>144683.02499999999</c:v>
                </c:pt>
                <c:pt idx="9">
                  <c:v>225679.55</c:v>
                </c:pt>
                <c:pt idx="10">
                  <c:v>119868.325</c:v>
                </c:pt>
                <c:pt idx="11">
                  <c:v>100998.25</c:v>
                </c:pt>
                <c:pt idx="12">
                  <c:v>100322.65</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Dat_01!$C$342:$O$342</c:f>
              <c:numCache>
                <c:formatCode>#,##0.0</c:formatCode>
                <c:ptCount val="13"/>
                <c:pt idx="0">
                  <c:v>0</c:v>
                </c:pt>
                <c:pt idx="1">
                  <c:v>48.424999999999997</c:v>
                </c:pt>
                <c:pt idx="2">
                  <c:v>0</c:v>
                </c:pt>
                <c:pt idx="3">
                  <c:v>0</c:v>
                </c:pt>
                <c:pt idx="4">
                  <c:v>0</c:v>
                </c:pt>
                <c:pt idx="5">
                  <c:v>0</c:v>
                </c:pt>
                <c:pt idx="6">
                  <c:v>0</c:v>
                </c:pt>
                <c:pt idx="7">
                  <c:v>0</c:v>
                </c:pt>
                <c:pt idx="8">
                  <c:v>16.5</c:v>
                </c:pt>
                <c:pt idx="9">
                  <c:v>0</c:v>
                </c:pt>
                <c:pt idx="10">
                  <c:v>0.83299999999999996</c:v>
                </c:pt>
                <c:pt idx="11">
                  <c:v>0</c:v>
                </c:pt>
                <c:pt idx="12">
                  <c:v>0</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Dat_01!$C$343:$O$343</c:f>
              <c:numCache>
                <c:formatCode>#,##0.0</c:formatCode>
                <c:ptCount val="13"/>
                <c:pt idx="0">
                  <c:v>2631.1329999999998</c:v>
                </c:pt>
                <c:pt idx="1">
                  <c:v>948.5</c:v>
                </c:pt>
                <c:pt idx="2">
                  <c:v>12797.075000000001</c:v>
                </c:pt>
                <c:pt idx="3">
                  <c:v>12438.968000000001</c:v>
                </c:pt>
                <c:pt idx="4">
                  <c:v>7902.0079999999998</c:v>
                </c:pt>
                <c:pt idx="5">
                  <c:v>3616.067</c:v>
                </c:pt>
                <c:pt idx="6">
                  <c:v>10614.259</c:v>
                </c:pt>
                <c:pt idx="7">
                  <c:v>2955</c:v>
                </c:pt>
                <c:pt idx="8">
                  <c:v>596.20000000000005</c:v>
                </c:pt>
                <c:pt idx="9">
                  <c:v>6614.0829999999996</c:v>
                </c:pt>
                <c:pt idx="10">
                  <c:v>0</c:v>
                </c:pt>
                <c:pt idx="11">
                  <c:v>0</c:v>
                </c:pt>
                <c:pt idx="12">
                  <c:v>1070.8330000000001</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Dat_01!$C$344:$O$344</c:f>
              <c:numCache>
                <c:formatCode>#,##0.0</c:formatCode>
                <c:ptCount val="13"/>
                <c:pt idx="0">
                  <c:v>554.1</c:v>
                </c:pt>
                <c:pt idx="1">
                  <c:v>910.22500000000002</c:v>
                </c:pt>
                <c:pt idx="2">
                  <c:v>984</c:v>
                </c:pt>
                <c:pt idx="3">
                  <c:v>2865.4</c:v>
                </c:pt>
                <c:pt idx="4">
                  <c:v>1132.875</c:v>
                </c:pt>
                <c:pt idx="5">
                  <c:v>479.1</c:v>
                </c:pt>
                <c:pt idx="6">
                  <c:v>621.32500000000005</c:v>
                </c:pt>
                <c:pt idx="7">
                  <c:v>399</c:v>
                </c:pt>
                <c:pt idx="8">
                  <c:v>0</c:v>
                </c:pt>
                <c:pt idx="9">
                  <c:v>1193</c:v>
                </c:pt>
                <c:pt idx="10">
                  <c:v>403.75</c:v>
                </c:pt>
                <c:pt idx="11">
                  <c:v>438.6</c:v>
                </c:pt>
                <c:pt idx="12">
                  <c:v>76.025000000000006</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Dat_01!$C$345:$O$345</c:f>
              <c:numCache>
                <c:formatCode>#,##0.0</c:formatCode>
                <c:ptCount val="13"/>
                <c:pt idx="0">
                  <c:v>0</c:v>
                </c:pt>
                <c:pt idx="1">
                  <c:v>5.8</c:v>
                </c:pt>
                <c:pt idx="2">
                  <c:v>0</c:v>
                </c:pt>
                <c:pt idx="3">
                  <c:v>54.15</c:v>
                </c:pt>
                <c:pt idx="4">
                  <c:v>137.5</c:v>
                </c:pt>
                <c:pt idx="5">
                  <c:v>0</c:v>
                </c:pt>
                <c:pt idx="6">
                  <c:v>0</c:v>
                </c:pt>
                <c:pt idx="7">
                  <c:v>0</c:v>
                </c:pt>
                <c:pt idx="8">
                  <c:v>0</c:v>
                </c:pt>
                <c:pt idx="9">
                  <c:v>0</c:v>
                </c:pt>
                <c:pt idx="10">
                  <c:v>23.925000000000001</c:v>
                </c:pt>
                <c:pt idx="11">
                  <c:v>0.42499999999999999</c:v>
                </c:pt>
                <c:pt idx="12">
                  <c:v>0</c:v>
                </c:pt>
              </c:numCache>
            </c:numRef>
          </c:val>
          <c:extLst>
            <c:ext xmlns:c16="http://schemas.microsoft.com/office/drawing/2014/chart" uri="{C3380CC4-5D6E-409C-BE32-E72D297353CC}">
              <c16:uniqueId val="{00000068-05DA-4902-9FAE-7020D488BF82}"/>
            </c:ext>
          </c:extLst>
        </c:ser>
        <c:ser>
          <c:idx val="5"/>
          <c:order val="6"/>
          <c:tx>
            <c:strRef>
              <c:f>Dat_01!$B$347</c:f>
              <c:strCache>
                <c:ptCount val="1"/>
                <c:pt idx="0">
                  <c:v>Hidráulica</c:v>
                </c:pt>
              </c:strCache>
            </c:strRef>
          </c:tx>
          <c:spPr>
            <a:solidFill>
              <a:srgbClr val="00B0F0"/>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Dat_01!$C$347:$O$347</c:f>
              <c:numCache>
                <c:formatCode>#,##0.0</c:formatCode>
                <c:ptCount val="13"/>
                <c:pt idx="0">
                  <c:v>5753.75</c:v>
                </c:pt>
                <c:pt idx="1">
                  <c:v>7951.9669999999996</c:v>
                </c:pt>
                <c:pt idx="2">
                  <c:v>7231.6369999999997</c:v>
                </c:pt>
                <c:pt idx="3">
                  <c:v>502</c:v>
                </c:pt>
                <c:pt idx="4">
                  <c:v>455</c:v>
                </c:pt>
                <c:pt idx="5">
                  <c:v>0</c:v>
                </c:pt>
                <c:pt idx="6">
                  <c:v>5425.1909999999998</c:v>
                </c:pt>
                <c:pt idx="7">
                  <c:v>20969.683000000001</c:v>
                </c:pt>
                <c:pt idx="8">
                  <c:v>5425.7330000000002</c:v>
                </c:pt>
                <c:pt idx="9">
                  <c:v>4712.3</c:v>
                </c:pt>
                <c:pt idx="10">
                  <c:v>2.7709999999999999</c:v>
                </c:pt>
                <c:pt idx="11">
                  <c:v>6377.6660000000002</c:v>
                </c:pt>
                <c:pt idx="12">
                  <c:v>15699.883</c:v>
                </c:pt>
              </c:numCache>
            </c:numRef>
          </c:val>
          <c:extLst>
            <c:ext xmlns:c16="http://schemas.microsoft.com/office/drawing/2014/chart" uri="{C3380CC4-5D6E-409C-BE32-E72D297353CC}">
              <c16:uniqueId val="{0000006A-05DA-4902-9FAE-7020D488BF82}"/>
            </c:ext>
          </c:extLst>
        </c:ser>
        <c:ser>
          <c:idx val="15"/>
          <c:order val="7"/>
          <c:tx>
            <c:strRef>
              <c:f>Dat_01!$B$349</c:f>
              <c:strCache>
                <c:ptCount val="1"/>
                <c:pt idx="0">
                  <c:v>Internacionales</c:v>
                </c:pt>
              </c:strCache>
            </c:strRef>
          </c:tx>
          <c:spPr>
            <a:solidFill>
              <a:schemeClr val="accent5">
                <a:lumMod val="60000"/>
                <a:lumOff val="40000"/>
              </a:schemeClr>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Dat_01!$C$349:$O$349</c:f>
              <c:numCache>
                <c:formatCode>#,##0.0</c:formatCode>
                <c:ptCount val="13"/>
                <c:pt idx="0">
                  <c:v>0</c:v>
                </c:pt>
                <c:pt idx="1">
                  <c:v>0</c:v>
                </c:pt>
                <c:pt idx="2">
                  <c:v>801.6</c:v>
                </c:pt>
                <c:pt idx="3">
                  <c:v>0</c:v>
                </c:pt>
                <c:pt idx="4">
                  <c:v>471.21699999999998</c:v>
                </c:pt>
                <c:pt idx="5">
                  <c:v>0</c:v>
                </c:pt>
                <c:pt idx="6">
                  <c:v>71.599999999999994</c:v>
                </c:pt>
                <c:pt idx="7">
                  <c:v>0</c:v>
                </c:pt>
                <c:pt idx="8">
                  <c:v>0</c:v>
                </c:pt>
                <c:pt idx="9">
                  <c:v>0</c:v>
                </c:pt>
                <c:pt idx="10">
                  <c:v>2302.9</c:v>
                </c:pt>
                <c:pt idx="11">
                  <c:v>171.55</c:v>
                </c:pt>
                <c:pt idx="12">
                  <c:v>0</c:v>
                </c:pt>
              </c:numCache>
            </c:numRef>
          </c:val>
          <c:extLst>
            <c:ext xmlns:c16="http://schemas.microsoft.com/office/drawing/2014/chart" uri="{C3380CC4-5D6E-409C-BE32-E72D297353CC}">
              <c16:uniqueId val="{0000006C-05DA-4902-9FAE-7020D488BF82}"/>
            </c:ext>
          </c:extLst>
        </c:ser>
        <c:ser>
          <c:idx val="6"/>
          <c:order val="8"/>
          <c:tx>
            <c:strRef>
              <c:f>Dat_01!$B$350</c:f>
              <c:strCache>
                <c:ptCount val="1"/>
                <c:pt idx="0">
                  <c:v>Nuclear</c:v>
                </c:pt>
              </c:strCache>
            </c:strRef>
          </c:tx>
          <c:spPr>
            <a:solidFill>
              <a:srgbClr val="9A5CBC"/>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Dat_01!$C$350:$O$350</c:f>
              <c:numCache>
                <c:formatCode>#,##0.0</c:formatCode>
                <c:ptCount val="13"/>
                <c:pt idx="0">
                  <c:v>4387.5</c:v>
                </c:pt>
                <c:pt idx="1">
                  <c:v>0</c:v>
                </c:pt>
                <c:pt idx="2">
                  <c:v>0</c:v>
                </c:pt>
                <c:pt idx="3">
                  <c:v>0</c:v>
                </c:pt>
                <c:pt idx="4">
                  <c:v>0</c:v>
                </c:pt>
                <c:pt idx="5">
                  <c:v>0</c:v>
                </c:pt>
                <c:pt idx="6">
                  <c:v>0</c:v>
                </c:pt>
                <c:pt idx="7">
                  <c:v>0</c:v>
                </c:pt>
                <c:pt idx="8">
                  <c:v>0</c:v>
                </c:pt>
                <c:pt idx="9">
                  <c:v>0</c:v>
                </c:pt>
                <c:pt idx="10">
                  <c:v>30.216999999999999</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Dat_01!$B$351</c:f>
              <c:strCache>
                <c:ptCount val="1"/>
                <c:pt idx="0">
                  <c:v>Otras Renovables</c:v>
                </c:pt>
              </c:strCache>
            </c:strRef>
          </c:tx>
          <c:spPr>
            <a:solidFill>
              <a:srgbClr val="7F7F7F"/>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Dat_01!$C$351:$O$351</c:f>
              <c:numCache>
                <c:formatCode>#,##0.0</c:formatCode>
                <c:ptCount val="13"/>
                <c:pt idx="0">
                  <c:v>0</c:v>
                </c:pt>
                <c:pt idx="1">
                  <c:v>5.5</c:v>
                </c:pt>
                <c:pt idx="2">
                  <c:v>0</c:v>
                </c:pt>
                <c:pt idx="3">
                  <c:v>0</c:v>
                </c:pt>
                <c:pt idx="4">
                  <c:v>0</c:v>
                </c:pt>
                <c:pt idx="5">
                  <c:v>0</c:v>
                </c:pt>
                <c:pt idx="6">
                  <c:v>0</c:v>
                </c:pt>
                <c:pt idx="7">
                  <c:v>0</c:v>
                </c:pt>
                <c:pt idx="8">
                  <c:v>0</c:v>
                </c:pt>
                <c:pt idx="9">
                  <c:v>0</c:v>
                </c:pt>
                <c:pt idx="10">
                  <c:v>6.0670000000000002</c:v>
                </c:pt>
                <c:pt idx="11">
                  <c:v>0</c:v>
                </c:pt>
                <c:pt idx="12">
                  <c:v>37.582000000000001</c:v>
                </c:pt>
              </c:numCache>
            </c:numRef>
          </c:val>
          <c:extLst>
            <c:ext xmlns:c16="http://schemas.microsoft.com/office/drawing/2014/chart" uri="{C3380CC4-5D6E-409C-BE32-E72D297353CC}">
              <c16:uniqueId val="{00000070-05DA-4902-9FAE-7020D488BF82}"/>
            </c:ext>
          </c:extLst>
        </c:ser>
        <c:ser>
          <c:idx val="8"/>
          <c:order val="10"/>
          <c:tx>
            <c:strRef>
              <c:f>Dat_01!$B$352</c:f>
              <c:strCache>
                <c:ptCount val="1"/>
                <c:pt idx="0">
                  <c:v>Residuos no Renovables</c:v>
                </c:pt>
              </c:strCache>
            </c:strRef>
          </c:tx>
          <c:spPr>
            <a:solidFill>
              <a:srgbClr val="ED7D31"/>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2.7749999999999999</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Dat_01!$B$353</c:f>
              <c:strCache>
                <c:ptCount val="1"/>
                <c:pt idx="0">
                  <c:v>Solar fotovoltaica</c:v>
                </c:pt>
              </c:strCache>
            </c:strRef>
          </c:tx>
          <c:spPr>
            <a:solidFill>
              <a:srgbClr val="FF0000"/>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Dat_01!$C$353:$O$353</c:f>
              <c:numCache>
                <c:formatCode>#,##0.0</c:formatCode>
                <c:ptCount val="13"/>
                <c:pt idx="0">
                  <c:v>0</c:v>
                </c:pt>
                <c:pt idx="1">
                  <c:v>3.5</c:v>
                </c:pt>
                <c:pt idx="2">
                  <c:v>1.425</c:v>
                </c:pt>
                <c:pt idx="3">
                  <c:v>0.75</c:v>
                </c:pt>
                <c:pt idx="4">
                  <c:v>3.6749999999999998</c:v>
                </c:pt>
                <c:pt idx="5">
                  <c:v>0</c:v>
                </c:pt>
                <c:pt idx="6">
                  <c:v>0.15</c:v>
                </c:pt>
                <c:pt idx="7">
                  <c:v>0</c:v>
                </c:pt>
                <c:pt idx="8">
                  <c:v>0</c:v>
                </c:pt>
                <c:pt idx="9">
                  <c:v>0</c:v>
                </c:pt>
                <c:pt idx="10">
                  <c:v>3</c:v>
                </c:pt>
                <c:pt idx="11">
                  <c:v>0.25</c:v>
                </c:pt>
                <c:pt idx="12">
                  <c:v>0</c:v>
                </c:pt>
              </c:numCache>
            </c:numRef>
          </c:val>
          <c:extLst>
            <c:ext xmlns:c16="http://schemas.microsoft.com/office/drawing/2014/chart" uri="{C3380CC4-5D6E-409C-BE32-E72D297353CC}">
              <c16:uniqueId val="{00000074-05DA-4902-9FAE-7020D488BF82}"/>
            </c:ext>
          </c:extLst>
        </c:ser>
        <c:ser>
          <c:idx val="12"/>
          <c:order val="12"/>
          <c:tx>
            <c:strRef>
              <c:f>Dat_01!$B$354</c:f>
              <c:strCache>
                <c:ptCount val="1"/>
                <c:pt idx="0">
                  <c:v>Solar térmica</c:v>
                </c:pt>
              </c:strCache>
            </c:strRef>
          </c:tx>
          <c:spPr>
            <a:solidFill>
              <a:srgbClr val="95B3D7"/>
            </a:solidFill>
            <a:ln>
              <a:noFill/>
            </a:ln>
            <a:effectLst/>
          </c:spPr>
          <c:invertIfNegative val="0"/>
          <c:cat>
            <c:strRef>
              <c:f>Dat_01!$C$335:$O$335</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497.25</c:v>
                </c:pt>
                <c:pt idx="1">
                  <c:v>325</c:v>
                </c:pt>
                <c:pt idx="2">
                  <c:v>860</c:v>
                </c:pt>
                <c:pt idx="3">
                  <c:v>2186.4</c:v>
                </c:pt>
                <c:pt idx="4">
                  <c:v>4850.1750000000002</c:v>
                </c:pt>
                <c:pt idx="5">
                  <c:v>9429.009</c:v>
                </c:pt>
                <c:pt idx="6">
                  <c:v>4580.5249999999996</c:v>
                </c:pt>
                <c:pt idx="7">
                  <c:v>1509.3330000000001</c:v>
                </c:pt>
                <c:pt idx="8">
                  <c:v>2219.7420000000002</c:v>
                </c:pt>
                <c:pt idx="9">
                  <c:v>8314.2829999999994</c:v>
                </c:pt>
                <c:pt idx="10">
                  <c:v>0</c:v>
                </c:pt>
                <c:pt idx="11">
                  <c:v>306.25</c:v>
                </c:pt>
                <c:pt idx="12">
                  <c:v>3970.55</c:v>
                </c:pt>
              </c:numCache>
            </c:numRef>
          </c:val>
          <c:extLst>
            <c:ext xmlns:c16="http://schemas.microsoft.com/office/drawing/2014/chart" uri="{C3380CC4-5D6E-409C-BE32-E72D297353CC}">
              <c16:uniqueId val="{00000000-7E6A-4DA1-8B41-9F54BBC1A5D8}"/>
            </c:ext>
          </c:extLst>
        </c:ser>
        <c:ser>
          <c:idx val="16"/>
          <c:order val="14"/>
          <c:tx>
            <c:strRef>
              <c:f>Dat_01!$B$346</c:f>
              <c:strCache>
                <c:ptCount val="1"/>
                <c:pt idx="0">
                  <c:v>Hibridación</c:v>
                </c:pt>
              </c:strCache>
            </c:strRef>
          </c:tx>
          <c:spPr>
            <a:solidFill>
              <a:srgbClr val="28A064"/>
            </a:solidFill>
            <a:ln>
              <a:noFill/>
            </a:ln>
          </c:spPr>
          <c:invertIfNegative val="0"/>
          <c:val>
            <c:numRef>
              <c:f>Dat_01!$C$346:$O$346</c:f>
              <c:numCache>
                <c:formatCode>#,##0.0</c:formatCode>
                <c:ptCount val="13"/>
                <c:pt idx="0">
                  <c:v>0</c:v>
                </c:pt>
                <c:pt idx="1">
                  <c:v>0</c:v>
                </c:pt>
                <c:pt idx="2">
                  <c:v>0</c:v>
                </c:pt>
                <c:pt idx="3">
                  <c:v>0</c:v>
                </c:pt>
                <c:pt idx="4">
                  <c:v>0</c:v>
                </c:pt>
                <c:pt idx="5">
                  <c:v>0</c:v>
                </c:pt>
                <c:pt idx="6">
                  <c:v>0</c:v>
                </c:pt>
                <c:pt idx="7">
                  <c:v>0</c:v>
                </c:pt>
                <c:pt idx="8">
                  <c:v>0</c:v>
                </c:pt>
                <c:pt idx="9">
                  <c:v>0</c:v>
                </c:pt>
                <c:pt idx="10">
                  <c:v>7.4999999999999997E-2</c:v>
                </c:pt>
                <c:pt idx="11">
                  <c:v>0</c:v>
                </c:pt>
                <c:pt idx="12">
                  <c:v>0</c:v>
                </c:pt>
              </c:numCache>
            </c:numRef>
          </c:val>
          <c:extLst>
            <c:ext xmlns:c16="http://schemas.microsoft.com/office/drawing/2014/chart" uri="{C3380CC4-5D6E-409C-BE32-E72D297353CC}">
              <c16:uniqueId val="{00000034-C350-4BF4-A327-BEF16DBD47D3}"/>
            </c:ext>
          </c:extLst>
        </c:ser>
        <c:ser>
          <c:idx val="17"/>
          <c:order val="15"/>
          <c:tx>
            <c:strRef>
              <c:f>Dat_01!$B$355</c:f>
              <c:strCache>
                <c:ptCount val="1"/>
                <c:pt idx="0">
                  <c:v>Turbina Vapor, Gas y Fuel</c:v>
                </c:pt>
              </c:strCache>
            </c:strRef>
          </c:tx>
          <c:spPr>
            <a:solidFill>
              <a:srgbClr val="C00000"/>
            </a:solidFill>
          </c:spPr>
          <c:invertIfNegative val="0"/>
          <c:val>
            <c:numRef>
              <c:f>Dat_01!$C$355:$O$355</c:f>
              <c:numCache>
                <c:formatCode>#,##0.0</c:formatCode>
                <c:ptCount val="13"/>
                <c:pt idx="0">
                  <c:v>0</c:v>
                </c:pt>
                <c:pt idx="1">
                  <c:v>0</c:v>
                </c:pt>
                <c:pt idx="2">
                  <c:v>0</c:v>
                </c:pt>
                <c:pt idx="3">
                  <c:v>22</c:v>
                </c:pt>
                <c:pt idx="4">
                  <c:v>0</c:v>
                </c:pt>
                <c:pt idx="5">
                  <c:v>0</c:v>
                </c:pt>
                <c:pt idx="6">
                  <c:v>0</c:v>
                </c:pt>
                <c:pt idx="7">
                  <c:v>0</c:v>
                </c:pt>
                <c:pt idx="8">
                  <c:v>1007.875</c:v>
                </c:pt>
                <c:pt idx="9">
                  <c:v>222.07499999999999</c:v>
                </c:pt>
                <c:pt idx="10">
                  <c:v>0</c:v>
                </c:pt>
                <c:pt idx="11">
                  <c:v>0</c:v>
                </c:pt>
                <c:pt idx="12">
                  <c:v>0</c:v>
                </c:pt>
              </c:numCache>
            </c:numRef>
          </c:val>
          <c:extLst>
            <c:ext xmlns:c16="http://schemas.microsoft.com/office/drawing/2014/chart" uri="{C3380CC4-5D6E-409C-BE32-E72D297353CC}">
              <c16:uniqueId val="{00000001-2D03-4243-8359-67B7EC5AE60B}"/>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6"/>
          <c:tx>
            <c:v>Precio medio subir</c:v>
          </c:tx>
          <c:spPr>
            <a:ln w="28575" cap="rnd">
              <a:solidFill>
                <a:srgbClr val="004563"/>
              </a:solidFill>
              <a:round/>
            </a:ln>
            <a:effectLst/>
          </c:spPr>
          <c:marker>
            <c:symbol val="none"/>
          </c:marker>
          <c:cat>
            <c:numRef>
              <c:f>Dat_01!$C$311:$O$311</c:f>
              <c:numCache>
                <c:formatCode>General</c:formatCode>
                <c:ptCount val="13"/>
              </c:numCache>
            </c:numRef>
          </c:cat>
          <c:val>
            <c:numRef>
              <c:f>Dat_01!$C$403:$O$403</c:f>
              <c:numCache>
                <c:formatCode>#,##0.00</c:formatCode>
                <c:ptCount val="13"/>
                <c:pt idx="0">
                  <c:v>244.8255794065</c:v>
                </c:pt>
                <c:pt idx="1">
                  <c:v>220.95676674020001</c:v>
                </c:pt>
                <c:pt idx="2">
                  <c:v>219.13720569969999</c:v>
                </c:pt>
                <c:pt idx="3">
                  <c:v>200.44400471860001</c:v>
                </c:pt>
                <c:pt idx="4">
                  <c:v>210.14936945490001</c:v>
                </c:pt>
                <c:pt idx="5">
                  <c:v>232.59996176300001</c:v>
                </c:pt>
                <c:pt idx="6">
                  <c:v>244.1453660576</c:v>
                </c:pt>
                <c:pt idx="7">
                  <c:v>203.0076708007</c:v>
                </c:pt>
                <c:pt idx="8">
                  <c:v>212.75769545259999</c:v>
                </c:pt>
                <c:pt idx="9">
                  <c:v>221.4334733087</c:v>
                </c:pt>
                <c:pt idx="10">
                  <c:v>242.9232967364</c:v>
                </c:pt>
                <c:pt idx="11">
                  <c:v>288.39044281230002</c:v>
                </c:pt>
                <c:pt idx="12">
                  <c:v>217.4622782973</c:v>
                </c:pt>
              </c:numCache>
            </c:numRef>
          </c:val>
          <c:smooth val="0"/>
          <c:extLst>
            <c:ext xmlns:c16="http://schemas.microsoft.com/office/drawing/2014/chart" uri="{C3380CC4-5D6E-409C-BE32-E72D297353CC}">
              <c16:uniqueId val="{00000078-05DA-4902-9FAE-7020D488BF82}"/>
            </c:ext>
          </c:extLst>
        </c:ser>
        <c:ser>
          <c:idx val="2"/>
          <c:order val="17"/>
          <c:tx>
            <c:v>Precio medio a bajar</c:v>
          </c:tx>
          <c:spPr>
            <a:ln w="28575" cap="rnd">
              <a:solidFill>
                <a:srgbClr val="404040"/>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max val="900000"/>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60"/>
          <c:min val="-18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noFill/>
        <a:ln w="25400">
          <a:noFill/>
        </a:ln>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53339453519E-2"/>
          <c:y val="0.15240642593607068"/>
          <c:w val="0.87712252783722078"/>
          <c:h val="0.6880898676727909"/>
        </c:manualLayout>
      </c:layout>
      <c:barChart>
        <c:barDir val="col"/>
        <c:grouping val="stacked"/>
        <c:varyColors val="0"/>
        <c:ser>
          <c:idx val="0"/>
          <c:order val="0"/>
          <c:tx>
            <c:strRef>
              <c:f>Dat_01!$D$451</c:f>
              <c:strCache>
                <c:ptCount val="1"/>
                <c:pt idx="0">
                  <c:v>Mercados Diario e Intradiario </c:v>
                </c:pt>
              </c:strCache>
            </c:strRef>
          </c:tx>
          <c:spPr>
            <a:solidFill>
              <a:srgbClr val="00B0F0"/>
            </a:solidFill>
            <a:ln>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Dat_01!$D$453:$D$465</c:f>
              <c:numCache>
                <c:formatCode>0.00</c:formatCode>
                <c:ptCount val="13"/>
                <c:pt idx="0">
                  <c:v>27.65</c:v>
                </c:pt>
                <c:pt idx="1">
                  <c:v>17.36</c:v>
                </c:pt>
                <c:pt idx="2">
                  <c:v>72.325999999999993</c:v>
                </c:pt>
                <c:pt idx="3">
                  <c:v>70.292999999999992</c:v>
                </c:pt>
                <c:pt idx="4">
                  <c:v>67.87</c:v>
                </c:pt>
                <c:pt idx="5">
                  <c:v>60.71</c:v>
                </c:pt>
                <c:pt idx="6">
                  <c:v>76.440000000000012</c:v>
                </c:pt>
                <c:pt idx="7">
                  <c:v>60.313000000000002</c:v>
                </c:pt>
                <c:pt idx="8">
                  <c:v>79.986000000000004</c:v>
                </c:pt>
                <c:pt idx="9">
                  <c:v>73.350000000000009</c:v>
                </c:pt>
                <c:pt idx="10">
                  <c:v>17.77</c:v>
                </c:pt>
                <c:pt idx="11">
                  <c:v>44.46</c:v>
                </c:pt>
                <c:pt idx="12">
                  <c:v>43.703999999999994</c:v>
                </c:pt>
              </c:numCache>
            </c:numRef>
          </c:val>
          <c:extLst>
            <c:ext xmlns:c16="http://schemas.microsoft.com/office/drawing/2014/chart" uri="{C3380CC4-5D6E-409C-BE32-E72D297353CC}">
              <c16:uniqueId val="{00000000-84BE-4212-B443-BEBAB3D3ACF8}"/>
            </c:ext>
          </c:extLst>
        </c:ser>
        <c:ser>
          <c:idx val="1"/>
          <c:order val="1"/>
          <c:tx>
            <c:strRef>
              <c:f>Dat_01!$E$451</c:f>
              <c:strCache>
                <c:ptCount val="1"/>
                <c:pt idx="0">
                  <c:v>Servicios de ajuste</c:v>
                </c:pt>
              </c:strCache>
            </c:strRef>
          </c:tx>
          <c:spPr>
            <a:solidFill>
              <a:srgbClr val="FFC000"/>
            </a:solidFill>
            <a:ln>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Dat_01!$E$453:$E$465</c:f>
              <c:numCache>
                <c:formatCode>0.00</c:formatCode>
                <c:ptCount val="13"/>
                <c:pt idx="0">
                  <c:v>17.255999999999997</c:v>
                </c:pt>
                <c:pt idx="1">
                  <c:v>25.38</c:v>
                </c:pt>
                <c:pt idx="2">
                  <c:v>14.727</c:v>
                </c:pt>
                <c:pt idx="3">
                  <c:v>14.452999999999998</c:v>
                </c:pt>
                <c:pt idx="4">
                  <c:v>13.059999999999999</c:v>
                </c:pt>
                <c:pt idx="5">
                  <c:v>16.370000000000005</c:v>
                </c:pt>
                <c:pt idx="6">
                  <c:v>17.375999999999994</c:v>
                </c:pt>
                <c:pt idx="7">
                  <c:v>16.023</c:v>
                </c:pt>
                <c:pt idx="8">
                  <c:v>13.666</c:v>
                </c:pt>
                <c:pt idx="9">
                  <c:v>14.334000000000001</c:v>
                </c:pt>
                <c:pt idx="10">
                  <c:v>23.91</c:v>
                </c:pt>
                <c:pt idx="11">
                  <c:v>27.84</c:v>
                </c:pt>
                <c:pt idx="12">
                  <c:v>21.285999999999998</c:v>
                </c:pt>
              </c:numCache>
            </c:numRef>
          </c:val>
          <c:extLst>
            <c:ext xmlns:c16="http://schemas.microsoft.com/office/drawing/2014/chart" uri="{C3380CC4-5D6E-409C-BE32-E72D297353CC}">
              <c16:uniqueId val="{00000001-84BE-4212-B443-BEBAB3D3ACF8}"/>
            </c:ext>
          </c:extLst>
        </c:ser>
        <c:ser>
          <c:idx val="2"/>
          <c:order val="2"/>
          <c:tx>
            <c:strRef>
              <c:f>Dat_01!$F$451</c:f>
              <c:strCache>
                <c:ptCount val="1"/>
                <c:pt idx="0">
                  <c:v>Pagos por capacidad</c:v>
                </c:pt>
              </c:strCache>
            </c:strRef>
          </c:tx>
          <c:spPr>
            <a:solidFill>
              <a:srgbClr val="92D050"/>
            </a:solidFill>
            <a:ln>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Dat_01!$F$453:$F$465</c:f>
              <c:numCache>
                <c:formatCode>0.00</c:formatCode>
                <c:ptCount val="13"/>
                <c:pt idx="0">
                  <c:v>0.14000000000000001</c:v>
                </c:pt>
                <c:pt idx="1">
                  <c:v>0.13</c:v>
                </c:pt>
                <c:pt idx="2">
                  <c:v>0.15</c:v>
                </c:pt>
                <c:pt idx="3">
                  <c:v>0.28000000000000003</c:v>
                </c:pt>
                <c:pt idx="4">
                  <c:v>0.14000000000000001</c:v>
                </c:pt>
                <c:pt idx="5">
                  <c:v>0.15</c:v>
                </c:pt>
                <c:pt idx="6">
                  <c:v>0.14000000000000001</c:v>
                </c:pt>
                <c:pt idx="7">
                  <c:v>0.18</c:v>
                </c:pt>
                <c:pt idx="8">
                  <c:v>0.27</c:v>
                </c:pt>
                <c:pt idx="9">
                  <c:v>0.24</c:v>
                </c:pt>
                <c:pt idx="10">
                  <c:v>0.26</c:v>
                </c:pt>
                <c:pt idx="11">
                  <c:v>0.17</c:v>
                </c:pt>
                <c:pt idx="12">
                  <c:v>0.13</c:v>
                </c:pt>
              </c:numCache>
            </c:numRef>
          </c:val>
          <c:extLst>
            <c:ext xmlns:c16="http://schemas.microsoft.com/office/drawing/2014/chart" uri="{C3380CC4-5D6E-409C-BE32-E72D297353CC}">
              <c16:uniqueId val="{00000002-84BE-4212-B443-BEBAB3D3ACF8}"/>
            </c:ext>
          </c:extLst>
        </c:ser>
        <c:ser>
          <c:idx val="4"/>
          <c:order val="3"/>
          <c:tx>
            <c:strRef>
              <c:f>Dat_01!$G$451</c:f>
              <c:strCache>
                <c:ptCount val="1"/>
                <c:pt idx="0">
                  <c:v>Mecanismo ajuste RD-L 10/2022</c:v>
                </c:pt>
              </c:strCache>
              <c:extLst xmlns:c15="http://schemas.microsoft.com/office/drawing/2012/chart"/>
            </c:strRef>
          </c:tx>
          <c:spPr>
            <a:solidFill>
              <a:srgbClr val="9999FF"/>
            </a:solidFill>
            <a:ln>
              <a:noFill/>
            </a:ln>
          </c:spPr>
          <c:invertIfNegative val="0"/>
          <c:cat>
            <c:strRef>
              <c:f>Dat_01!$A$425:$A$437</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Dat_01!$G$453:$G$465</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37888395315147727"/>
                  <c:y val="-4.5187346329715286E-2"/>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2850832037034057"/>
                  <c:y val="0.13822455290763541"/>
                </c:manualLayout>
              </c:layout>
              <c:numFmt formatCode="0.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7198539591919645"/>
                  <c:y val="7.2767232790768702E-2"/>
                </c:manualLayout>
              </c:layout>
              <c:numFmt formatCode="0.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43.703999999999994</c:v>
                </c:pt>
                <c:pt idx="1">
                  <c:v>0.13</c:v>
                </c:pt>
                <c:pt idx="2">
                  <c:v>0</c:v>
                </c:pt>
                <c:pt idx="3">
                  <c:v>21.285999999999998</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26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Dat_01!$B$82:$N$82</c:f>
              <c:numCache>
                <c:formatCode>#,##0.00</c:formatCode>
                <c:ptCount val="13"/>
                <c:pt idx="0">
                  <c:v>11.26</c:v>
                </c:pt>
                <c:pt idx="1">
                  <c:v>21.57</c:v>
                </c:pt>
                <c:pt idx="2">
                  <c:v>9.69</c:v>
                </c:pt>
                <c:pt idx="3">
                  <c:v>8.4209999999999994</c:v>
                </c:pt>
                <c:pt idx="4">
                  <c:v>8.32</c:v>
                </c:pt>
                <c:pt idx="5">
                  <c:v>10.02</c:v>
                </c:pt>
                <c:pt idx="6">
                  <c:v>11.09</c:v>
                </c:pt>
                <c:pt idx="7">
                  <c:v>13.153</c:v>
                </c:pt>
                <c:pt idx="8">
                  <c:v>11.436</c:v>
                </c:pt>
                <c:pt idx="9">
                  <c:v>11.965999999999999</c:v>
                </c:pt>
                <c:pt idx="10">
                  <c:v>21.63</c:v>
                </c:pt>
                <c:pt idx="11">
                  <c:v>24.96</c:v>
                </c:pt>
                <c:pt idx="12">
                  <c:v>17.884</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Dat_01!$B$83:$N$83</c:f>
              <c:numCache>
                <c:formatCode>#,##0.00</c:formatCode>
                <c:ptCount val="13"/>
                <c:pt idx="0">
                  <c:v>4.2830000000000004</c:v>
                </c:pt>
                <c:pt idx="1">
                  <c:v>2.88</c:v>
                </c:pt>
                <c:pt idx="2">
                  <c:v>4.5199999999999996</c:v>
                </c:pt>
                <c:pt idx="3">
                  <c:v>4.8019999999999996</c:v>
                </c:pt>
                <c:pt idx="4">
                  <c:v>3.03</c:v>
                </c:pt>
                <c:pt idx="5">
                  <c:v>4.4400000000000004</c:v>
                </c:pt>
                <c:pt idx="6">
                  <c:v>4.79</c:v>
                </c:pt>
                <c:pt idx="7">
                  <c:v>1.27</c:v>
                </c:pt>
                <c:pt idx="8">
                  <c:v>1.26</c:v>
                </c:pt>
                <c:pt idx="9">
                  <c:v>1.86</c:v>
                </c:pt>
                <c:pt idx="10">
                  <c:v>1.44</c:v>
                </c:pt>
                <c:pt idx="11">
                  <c:v>1.93</c:v>
                </c:pt>
                <c:pt idx="12">
                  <c:v>2.5139999999999998</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Reserva de regulación secundaria y SRAD</c:v>
                </c:pt>
              </c:strCache>
            </c:strRef>
          </c:tx>
          <c:spPr>
            <a:solidFill>
              <a:srgbClr val="92D050"/>
            </a:solidFill>
            <a:ln w="25400">
              <a:noFill/>
            </a:ln>
          </c:spPr>
          <c:invertIfNegative val="0"/>
          <c:cat>
            <c:strRef>
              <c:f>Dat_01!$B$81:$N$81</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Dat_01!$B$84:$N$84</c:f>
              <c:numCache>
                <c:formatCode>#,##0.00</c:formatCode>
                <c:ptCount val="13"/>
                <c:pt idx="0">
                  <c:v>2.79</c:v>
                </c:pt>
                <c:pt idx="1">
                  <c:v>2.46</c:v>
                </c:pt>
                <c:pt idx="2">
                  <c:v>2.34</c:v>
                </c:pt>
                <c:pt idx="3">
                  <c:v>2.85</c:v>
                </c:pt>
                <c:pt idx="4">
                  <c:v>3.12</c:v>
                </c:pt>
                <c:pt idx="5">
                  <c:v>3.49</c:v>
                </c:pt>
                <c:pt idx="6">
                  <c:v>3.5159999999999996</c:v>
                </c:pt>
                <c:pt idx="7">
                  <c:v>2.85</c:v>
                </c:pt>
                <c:pt idx="8">
                  <c:v>2.1800000000000002</c:v>
                </c:pt>
                <c:pt idx="9">
                  <c:v>2.91</c:v>
                </c:pt>
                <c:pt idx="10">
                  <c:v>3.01</c:v>
                </c:pt>
                <c:pt idx="11">
                  <c:v>3.16</c:v>
                </c:pt>
                <c:pt idx="12">
                  <c:v>3.484</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Dat_01!$B$85:$N$85</c:f>
              <c:numCache>
                <c:formatCode>#,##0.00</c:formatCode>
                <c:ptCount val="13"/>
                <c:pt idx="0">
                  <c:v>-0.42</c:v>
                </c:pt>
                <c:pt idx="1">
                  <c:v>-0.19</c:v>
                </c:pt>
                <c:pt idx="2">
                  <c:v>-0.49299999999999999</c:v>
                </c:pt>
                <c:pt idx="3">
                  <c:v>-0.39</c:v>
                </c:pt>
                <c:pt idx="4">
                  <c:v>-0.4</c:v>
                </c:pt>
                <c:pt idx="5">
                  <c:v>-0.39</c:v>
                </c:pt>
                <c:pt idx="6">
                  <c:v>-0.42</c:v>
                </c:pt>
                <c:pt idx="7">
                  <c:v>-0.26</c:v>
                </c:pt>
                <c:pt idx="8">
                  <c:v>-0.28000000000000003</c:v>
                </c:pt>
                <c:pt idx="9">
                  <c:v>-0.36</c:v>
                </c:pt>
                <c:pt idx="10">
                  <c:v>-0.16</c:v>
                </c:pt>
                <c:pt idx="11">
                  <c:v>-0.27</c:v>
                </c:pt>
                <c:pt idx="12">
                  <c:v>-0.38</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Dat_01!$B$86:$N$86</c:f>
              <c:numCache>
                <c:formatCode>#,##0.00</c:formatCode>
                <c:ptCount val="13"/>
                <c:pt idx="0">
                  <c:v>0.48299999999999998</c:v>
                </c:pt>
                <c:pt idx="1">
                  <c:v>0.3</c:v>
                </c:pt>
                <c:pt idx="2">
                  <c:v>0.43</c:v>
                </c:pt>
                <c:pt idx="3">
                  <c:v>0.49</c:v>
                </c:pt>
                <c:pt idx="4">
                  <c:v>0.37</c:v>
                </c:pt>
                <c:pt idx="5">
                  <c:v>0.41</c:v>
                </c:pt>
                <c:pt idx="6">
                  <c:v>0.26</c:v>
                </c:pt>
                <c:pt idx="7">
                  <c:v>0.37</c:v>
                </c:pt>
                <c:pt idx="8">
                  <c:v>0.25</c:v>
                </c:pt>
                <c:pt idx="9">
                  <c:v>0.41</c:v>
                </c:pt>
                <c:pt idx="10">
                  <c:v>0.41</c:v>
                </c:pt>
                <c:pt idx="11">
                  <c:v>0.57999999999999996</c:v>
                </c:pt>
                <c:pt idx="12">
                  <c:v>0.56399999999999995</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Dat_01!$B$87:$N$87</c:f>
              <c:numCache>
                <c:formatCode>#,##0.00</c:formatCode>
                <c:ptCount val="13"/>
                <c:pt idx="0">
                  <c:v>0.11</c:v>
                </c:pt>
                <c:pt idx="1">
                  <c:v>-0.3</c:v>
                </c:pt>
                <c:pt idx="2">
                  <c:v>-0.62</c:v>
                </c:pt>
                <c:pt idx="3">
                  <c:v>-0.57999999999999996</c:v>
                </c:pt>
                <c:pt idx="4">
                  <c:v>-0.3</c:v>
                </c:pt>
                <c:pt idx="5">
                  <c:v>-0.33</c:v>
                </c:pt>
                <c:pt idx="6">
                  <c:v>-0.52</c:v>
                </c:pt>
                <c:pt idx="7">
                  <c:v>-0.25</c:v>
                </c:pt>
                <c:pt idx="8">
                  <c:v>-0.24</c:v>
                </c:pt>
                <c:pt idx="9">
                  <c:v>-0.64400000000000002</c:v>
                </c:pt>
                <c:pt idx="10">
                  <c:v>-0.4</c:v>
                </c:pt>
                <c:pt idx="11">
                  <c:v>-0.38</c:v>
                </c:pt>
                <c:pt idx="12">
                  <c:v>-0.61</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Dat_01!$B$88:$N$88</c:f>
              <c:numCache>
                <c:formatCode>#,##0.00</c:formatCode>
                <c:ptCount val="13"/>
                <c:pt idx="0">
                  <c:v>-0.11</c:v>
                </c:pt>
                <c:pt idx="1">
                  <c:v>-0.11</c:v>
                </c:pt>
                <c:pt idx="2">
                  <c:v>-0.09</c:v>
                </c:pt>
                <c:pt idx="3">
                  <c:v>-0.09</c:v>
                </c:pt>
                <c:pt idx="4">
                  <c:v>-0.09</c:v>
                </c:pt>
                <c:pt idx="5">
                  <c:v>-0.11</c:v>
                </c:pt>
                <c:pt idx="6">
                  <c:v>-0.1</c:v>
                </c:pt>
                <c:pt idx="7">
                  <c:v>-0.02</c:v>
                </c:pt>
                <c:pt idx="8">
                  <c:v>-0.02</c:v>
                </c:pt>
                <c:pt idx="9">
                  <c:v>-1.4E-2</c:v>
                </c:pt>
                <c:pt idx="10">
                  <c:v>-0.01</c:v>
                </c:pt>
                <c:pt idx="11">
                  <c:v>-0.01</c:v>
                </c:pt>
                <c:pt idx="12">
                  <c:v>-0.01</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-1.18</c:v>
                </c:pt>
                <c:pt idx="1">
                  <c:v>-1.27</c:v>
                </c:pt>
                <c:pt idx="2">
                  <c:v>-1.0999999999999999</c:v>
                </c:pt>
                <c:pt idx="3">
                  <c:v>-1.0900000000000001</c:v>
                </c:pt>
                <c:pt idx="4">
                  <c:v>-1.04</c:v>
                </c:pt>
                <c:pt idx="5">
                  <c:v>-1.21</c:v>
                </c:pt>
                <c:pt idx="6">
                  <c:v>-1.3</c:v>
                </c:pt>
                <c:pt idx="7">
                  <c:v>-1.1300000000000001</c:v>
                </c:pt>
                <c:pt idx="8">
                  <c:v>-0.97</c:v>
                </c:pt>
                <c:pt idx="9">
                  <c:v>-1.8440000000000001</c:v>
                </c:pt>
                <c:pt idx="10">
                  <c:v>-2.0599999999999996</c:v>
                </c:pt>
                <c:pt idx="11">
                  <c:v>-2.1999999999999997</c:v>
                </c:pt>
                <c:pt idx="12">
                  <c:v>-2.2999999999999998</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Dat_01!$B$90:$N$90</c:f>
              <c:numCache>
                <c:formatCode>0.00</c:formatCode>
                <c:ptCount val="13"/>
                <c:pt idx="0">
                  <c:v>0.04</c:v>
                </c:pt>
                <c:pt idx="1">
                  <c:v>0.04</c:v>
                </c:pt>
                <c:pt idx="2">
                  <c:v>0.05</c:v>
                </c:pt>
                <c:pt idx="3">
                  <c:v>0.04</c:v>
                </c:pt>
                <c:pt idx="4">
                  <c:v>0.05</c:v>
                </c:pt>
                <c:pt idx="5">
                  <c:v>0.05</c:v>
                </c:pt>
                <c:pt idx="6">
                  <c:v>0.06</c:v>
                </c:pt>
                <c:pt idx="7">
                  <c:v>0.04</c:v>
                </c:pt>
                <c:pt idx="8">
                  <c:v>0.05</c:v>
                </c:pt>
                <c:pt idx="9">
                  <c:v>0.05</c:v>
                </c:pt>
                <c:pt idx="10">
                  <c:v>0.05</c:v>
                </c:pt>
                <c:pt idx="11">
                  <c:v>7.0000000000000007E-2</c:v>
                </c:pt>
                <c:pt idx="12">
                  <c:v>0.14000000000000001</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4"/>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2026 Abril</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2592.2516999999998</c:v>
                </c:pt>
                <c:pt idx="1">
                  <c:v>286.67157900000001</c:v>
                </c:pt>
                <c:pt idx="2">
                  <c:v>154.284074</c:v>
                </c:pt>
                <c:pt idx="3">
                  <c:v>751.60541799999999</c:v>
                </c:pt>
                <c:pt idx="4">
                  <c:v>0</c:v>
                </c:pt>
                <c:pt idx="5">
                  <c:v>48.303718999999994</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2025 Abril</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1640.6007999999999</c:v>
                </c:pt>
                <c:pt idx="1">
                  <c:v>427.34351299999997</c:v>
                </c:pt>
                <c:pt idx="2">
                  <c:v>178.17443499999999</c:v>
                </c:pt>
                <c:pt idx="3">
                  <c:v>530.14686600000005</c:v>
                </c:pt>
                <c:pt idx="4">
                  <c:v>441.76325000000003</c:v>
                </c:pt>
                <c:pt idx="5">
                  <c:v>120.19086499999999</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0-AC2B-4301-850D-1716BD1319DB}"/>
              </c:ext>
            </c:extLst>
          </c:dPt>
          <c:val>
            <c:numRef>
              <c:f>Dat_01!$C$159:$O$159</c:f>
              <c:numCache>
                <c:formatCode>#,##0;\(#,##0\)</c:formatCode>
                <c:ptCount val="13"/>
                <c:pt idx="0">
                  <c:v>0</c:v>
                </c:pt>
                <c:pt idx="1">
                  <c:v>0</c:v>
                </c:pt>
                <c:pt idx="2">
                  <c:v>4</c:v>
                </c:pt>
                <c:pt idx="3">
                  <c:v>1003.5</c:v>
                </c:pt>
                <c:pt idx="4">
                  <c:v>50</c:v>
                </c:pt>
                <c:pt idx="5">
                  <c:v>0</c:v>
                </c:pt>
                <c:pt idx="6">
                  <c:v>2064.65</c:v>
                </c:pt>
                <c:pt idx="7">
                  <c:v>0</c:v>
                </c:pt>
                <c:pt idx="8">
                  <c:v>0</c:v>
                </c:pt>
                <c:pt idx="9">
                  <c:v>0</c:v>
                </c:pt>
                <c:pt idx="10">
                  <c:v>0</c:v>
                </c:pt>
                <c:pt idx="11">
                  <c:v>0</c:v>
                </c:pt>
                <c:pt idx="12">
                  <c:v>0.05</c:v>
                </c:pt>
              </c:numCache>
            </c:numRef>
          </c:val>
          <c:extLst>
            <c:ext xmlns:c16="http://schemas.microsoft.com/office/drawing/2014/chart" uri="{C3380CC4-5D6E-409C-BE32-E72D297353CC}">
              <c16:uniqueId val="{00000001-AC2B-4301-850D-1716BD1319DB}"/>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C2B-4301-850D-1716BD1319DB}"/>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0</c:v>
                </c:pt>
                <c:pt idx="1">
                  <c:v>0</c:v>
                </c:pt>
                <c:pt idx="2">
                  <c:v>0</c:v>
                </c:pt>
                <c:pt idx="3">
                  <c:v>0</c:v>
                </c:pt>
                <c:pt idx="4">
                  <c:v>0</c:v>
                </c:pt>
                <c:pt idx="5">
                  <c:v>0</c:v>
                </c:pt>
                <c:pt idx="6">
                  <c:v>0</c:v>
                </c:pt>
                <c:pt idx="7">
                  <c:v>142.5</c:v>
                </c:pt>
                <c:pt idx="8">
                  <c:v>0</c:v>
                </c:pt>
                <c:pt idx="9">
                  <c:v>0</c:v>
                </c:pt>
                <c:pt idx="10">
                  <c:v>28.55</c:v>
                </c:pt>
                <c:pt idx="11">
                  <c:v>0</c:v>
                </c:pt>
                <c:pt idx="12">
                  <c:v>182.5</c:v>
                </c:pt>
              </c:numCache>
            </c:numRef>
          </c:val>
          <c:extLst>
            <c:ext xmlns:c16="http://schemas.microsoft.com/office/drawing/2014/chart" uri="{C3380CC4-5D6E-409C-BE32-E72D297353CC}">
              <c16:uniqueId val="{00000003-AC2B-4301-850D-1716BD1319DB}"/>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4456.8999999999996</c:v>
                </c:pt>
                <c:pt idx="1">
                  <c:v>4609.7</c:v>
                </c:pt>
                <c:pt idx="2">
                  <c:v>6809.1</c:v>
                </c:pt>
                <c:pt idx="3">
                  <c:v>32112.6</c:v>
                </c:pt>
                <c:pt idx="4">
                  <c:v>6711.8</c:v>
                </c:pt>
                <c:pt idx="5">
                  <c:v>4636.2</c:v>
                </c:pt>
                <c:pt idx="6">
                  <c:v>5121.7749999999996</c:v>
                </c:pt>
                <c:pt idx="7">
                  <c:v>2187.375</c:v>
                </c:pt>
                <c:pt idx="8">
                  <c:v>2346</c:v>
                </c:pt>
                <c:pt idx="9">
                  <c:v>1324.15</c:v>
                </c:pt>
                <c:pt idx="10">
                  <c:v>797.95</c:v>
                </c:pt>
                <c:pt idx="11">
                  <c:v>1588</c:v>
                </c:pt>
                <c:pt idx="12">
                  <c:v>622.02499999999998</c:v>
                </c:pt>
              </c:numCache>
            </c:numRef>
          </c:val>
          <c:extLst>
            <c:ext xmlns:c16="http://schemas.microsoft.com/office/drawing/2014/chart" uri="{C3380CC4-5D6E-409C-BE32-E72D297353CC}">
              <c16:uniqueId val="{00000004-AC2B-4301-850D-1716BD1319DB}"/>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512.9</c:v>
                </c:pt>
                <c:pt idx="1">
                  <c:v>3501.6</c:v>
                </c:pt>
                <c:pt idx="2">
                  <c:v>9288</c:v>
                </c:pt>
                <c:pt idx="3">
                  <c:v>12956.4</c:v>
                </c:pt>
                <c:pt idx="4">
                  <c:v>2597.3000000000002</c:v>
                </c:pt>
                <c:pt idx="5">
                  <c:v>1616.4</c:v>
                </c:pt>
                <c:pt idx="6">
                  <c:v>3975.2750000000001</c:v>
                </c:pt>
                <c:pt idx="7">
                  <c:v>2081.5500000000002</c:v>
                </c:pt>
                <c:pt idx="8">
                  <c:v>203.125</c:v>
                </c:pt>
                <c:pt idx="9">
                  <c:v>335.75</c:v>
                </c:pt>
                <c:pt idx="10">
                  <c:v>543.04999999999995</c:v>
                </c:pt>
                <c:pt idx="11">
                  <c:v>2176.5500000000002</c:v>
                </c:pt>
                <c:pt idx="12">
                  <c:v>3757.2249999999999</c:v>
                </c:pt>
              </c:numCache>
            </c:numRef>
          </c:val>
          <c:extLst>
            <c:ext xmlns:c16="http://schemas.microsoft.com/office/drawing/2014/chart" uri="{C3380CC4-5D6E-409C-BE32-E72D297353CC}">
              <c16:uniqueId val="{00000005-AC2B-4301-850D-1716BD1319DB}"/>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2348.1</c:v>
                </c:pt>
                <c:pt idx="1">
                  <c:v>9496.2999999999993</c:v>
                </c:pt>
                <c:pt idx="2">
                  <c:v>8559.4</c:v>
                </c:pt>
                <c:pt idx="3">
                  <c:v>5351.7</c:v>
                </c:pt>
                <c:pt idx="4">
                  <c:v>5333.8</c:v>
                </c:pt>
                <c:pt idx="5">
                  <c:v>590.20000000000005</c:v>
                </c:pt>
                <c:pt idx="6">
                  <c:v>3512.0250000000001</c:v>
                </c:pt>
                <c:pt idx="7">
                  <c:v>1413.4749999999999</c:v>
                </c:pt>
                <c:pt idx="8">
                  <c:v>1024.3499999999999</c:v>
                </c:pt>
                <c:pt idx="9">
                  <c:v>1795.875</c:v>
                </c:pt>
                <c:pt idx="10">
                  <c:v>1039.625</c:v>
                </c:pt>
                <c:pt idx="11">
                  <c:v>5338.625</c:v>
                </c:pt>
                <c:pt idx="12">
                  <c:v>1104.5250000000001</c:v>
                </c:pt>
              </c:numCache>
            </c:numRef>
          </c:val>
          <c:extLst>
            <c:ext xmlns:c16="http://schemas.microsoft.com/office/drawing/2014/chart" uri="{C3380CC4-5D6E-409C-BE32-E72D297353CC}">
              <c16:uniqueId val="{00000006-AC2B-4301-850D-1716BD1319DB}"/>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23186.2</c:v>
                </c:pt>
                <c:pt idx="1">
                  <c:v>17699.400000000001</c:v>
                </c:pt>
                <c:pt idx="2">
                  <c:v>18495.599999999999</c:v>
                </c:pt>
                <c:pt idx="3">
                  <c:v>208879.1</c:v>
                </c:pt>
                <c:pt idx="4">
                  <c:v>56148.9</c:v>
                </c:pt>
                <c:pt idx="5">
                  <c:v>56799.5</c:v>
                </c:pt>
                <c:pt idx="6">
                  <c:v>34956.199999999997</c:v>
                </c:pt>
                <c:pt idx="7">
                  <c:v>97151.95</c:v>
                </c:pt>
                <c:pt idx="8">
                  <c:v>29674</c:v>
                </c:pt>
                <c:pt idx="9">
                  <c:v>99597.85</c:v>
                </c:pt>
                <c:pt idx="10">
                  <c:v>43719</c:v>
                </c:pt>
                <c:pt idx="11">
                  <c:v>41271.824999999997</c:v>
                </c:pt>
                <c:pt idx="12">
                  <c:v>55651.074999999997</c:v>
                </c:pt>
              </c:numCache>
            </c:numRef>
          </c:val>
          <c:extLst>
            <c:ext xmlns:c16="http://schemas.microsoft.com/office/drawing/2014/chart" uri="{C3380CC4-5D6E-409C-BE32-E72D297353CC}">
              <c16:uniqueId val="{00000007-AC2B-4301-850D-1716BD1319DB}"/>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6512</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AC2B-4301-850D-1716BD1319DB}"/>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2920.3</c:v>
                </c:pt>
                <c:pt idx="1">
                  <c:v>3843</c:v>
                </c:pt>
                <c:pt idx="2">
                  <c:v>7273.5</c:v>
                </c:pt>
                <c:pt idx="3">
                  <c:v>10545</c:v>
                </c:pt>
                <c:pt idx="4">
                  <c:v>7511.7</c:v>
                </c:pt>
                <c:pt idx="5">
                  <c:v>5732.6</c:v>
                </c:pt>
                <c:pt idx="6">
                  <c:v>3899.8249999999998</c:v>
                </c:pt>
                <c:pt idx="7">
                  <c:v>278.82499999999999</c:v>
                </c:pt>
                <c:pt idx="8">
                  <c:v>63.45</c:v>
                </c:pt>
                <c:pt idx="9">
                  <c:v>154.19999999999999</c:v>
                </c:pt>
                <c:pt idx="10">
                  <c:v>194.35</c:v>
                </c:pt>
                <c:pt idx="11">
                  <c:v>946.25</c:v>
                </c:pt>
                <c:pt idx="12">
                  <c:v>1790.2249999999999</c:v>
                </c:pt>
              </c:numCache>
            </c:numRef>
          </c:val>
          <c:extLst>
            <c:ext xmlns:c16="http://schemas.microsoft.com/office/drawing/2014/chart" uri="{C3380CC4-5D6E-409C-BE32-E72D297353CC}">
              <c16:uniqueId val="{00000009-AC2B-4301-850D-1716BD1319DB}"/>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3546</c:v>
                </c:pt>
                <c:pt idx="4">
                  <c:v>118</c:v>
                </c:pt>
                <c:pt idx="5">
                  <c:v>0</c:v>
                </c:pt>
                <c:pt idx="6">
                  <c:v>411.55</c:v>
                </c:pt>
                <c:pt idx="7">
                  <c:v>17</c:v>
                </c:pt>
                <c:pt idx="8">
                  <c:v>98</c:v>
                </c:pt>
                <c:pt idx="9">
                  <c:v>0</c:v>
                </c:pt>
                <c:pt idx="10">
                  <c:v>0</c:v>
                </c:pt>
                <c:pt idx="11">
                  <c:v>0</c:v>
                </c:pt>
                <c:pt idx="12">
                  <c:v>0</c:v>
                </c:pt>
              </c:numCache>
            </c:numRef>
          </c:val>
          <c:extLst>
            <c:ext xmlns:c16="http://schemas.microsoft.com/office/drawing/2014/chart" uri="{C3380CC4-5D6E-409C-BE32-E72D297353CC}">
              <c16:uniqueId val="{0000000A-AC2B-4301-850D-1716BD1319DB}"/>
            </c:ext>
          </c:extLst>
        </c:ser>
        <c:ser>
          <c:idx val="1"/>
          <c:order val="10"/>
          <c:tx>
            <c:strRef>
              <c:f>Dat_01!$B$161</c:f>
              <c:strCache>
                <c:ptCount val="1"/>
                <c:pt idx="0">
                  <c:v>Solar fotovoltaica</c:v>
                </c:pt>
              </c:strCache>
            </c:strRef>
          </c:tx>
          <c:spPr>
            <a:solidFill>
              <a:srgbClr val="EE6112"/>
            </a:solidFill>
            <a:ln>
              <a:noFill/>
            </a:ln>
          </c:spPr>
          <c:invertIfNegative val="0"/>
          <c:val>
            <c:numRef>
              <c:f>Dat_01!$C$161:$O$161</c:f>
              <c:numCache>
                <c:formatCode>#,##0;\(#,##0\)</c:formatCode>
                <c:ptCount val="13"/>
                <c:pt idx="0">
                  <c:v>17070.3</c:v>
                </c:pt>
                <c:pt idx="1">
                  <c:v>74426.899999999994</c:v>
                </c:pt>
                <c:pt idx="2">
                  <c:v>117687.5</c:v>
                </c:pt>
                <c:pt idx="3">
                  <c:v>774289.5</c:v>
                </c:pt>
                <c:pt idx="4">
                  <c:v>476231.7</c:v>
                </c:pt>
                <c:pt idx="5">
                  <c:v>271516.40000000002</c:v>
                </c:pt>
                <c:pt idx="6">
                  <c:v>213512.32500000001</c:v>
                </c:pt>
                <c:pt idx="7">
                  <c:v>56866.375</c:v>
                </c:pt>
                <c:pt idx="8">
                  <c:v>21074.125</c:v>
                </c:pt>
                <c:pt idx="9">
                  <c:v>26307.4</c:v>
                </c:pt>
                <c:pt idx="10">
                  <c:v>30605.775000000001</c:v>
                </c:pt>
                <c:pt idx="11">
                  <c:v>86208.574999999997</c:v>
                </c:pt>
                <c:pt idx="12">
                  <c:v>153492.85</c:v>
                </c:pt>
              </c:numCache>
            </c:numRef>
          </c:val>
          <c:extLst>
            <c:ext xmlns:c16="http://schemas.microsoft.com/office/drawing/2014/chart" uri="{C3380CC4-5D6E-409C-BE32-E72D297353CC}">
              <c16:uniqueId val="{0000000B-AC2B-4301-850D-1716BD1319DB}"/>
            </c:ext>
          </c:extLst>
        </c:ser>
        <c:ser>
          <c:idx val="10"/>
          <c:order val="11"/>
          <c:tx>
            <c:strRef>
              <c:f>Dat_01!$B$162</c:f>
              <c:strCache>
                <c:ptCount val="1"/>
                <c:pt idx="0">
                  <c:v>Solar térmica</c:v>
                </c:pt>
              </c:strCache>
            </c:strRef>
          </c:tx>
          <c:spPr>
            <a:solidFill>
              <a:srgbClr val="FF0000"/>
            </a:solidFill>
            <a:ln>
              <a:noFill/>
            </a:ln>
          </c:spPr>
          <c:invertIfNegative val="0"/>
          <c:val>
            <c:numRef>
              <c:f>Dat_01!$C$162:$O$162</c:f>
              <c:numCache>
                <c:formatCode>#,##0;\(#,##0\)</c:formatCode>
                <c:ptCount val="13"/>
                <c:pt idx="0">
                  <c:v>4704.6000000000004</c:v>
                </c:pt>
                <c:pt idx="1">
                  <c:v>35576.1</c:v>
                </c:pt>
                <c:pt idx="2">
                  <c:v>41536</c:v>
                </c:pt>
                <c:pt idx="3">
                  <c:v>120438.3</c:v>
                </c:pt>
                <c:pt idx="4">
                  <c:v>162140.4</c:v>
                </c:pt>
                <c:pt idx="5">
                  <c:v>141481</c:v>
                </c:pt>
                <c:pt idx="6">
                  <c:v>62144.5</c:v>
                </c:pt>
                <c:pt idx="7">
                  <c:v>3088</c:v>
                </c:pt>
                <c:pt idx="8">
                  <c:v>45.174999999999997</c:v>
                </c:pt>
                <c:pt idx="9">
                  <c:v>0</c:v>
                </c:pt>
                <c:pt idx="10">
                  <c:v>2614.2249999999999</c:v>
                </c:pt>
                <c:pt idx="11">
                  <c:v>13848.65</c:v>
                </c:pt>
                <c:pt idx="12">
                  <c:v>44588.7</c:v>
                </c:pt>
              </c:numCache>
            </c:numRef>
          </c:val>
          <c:extLst>
            <c:ext xmlns:c16="http://schemas.microsoft.com/office/drawing/2014/chart" uri="{C3380CC4-5D6E-409C-BE32-E72D297353CC}">
              <c16:uniqueId val="{0000000C-AC2B-4301-850D-1716BD1319DB}"/>
            </c:ext>
          </c:extLst>
        </c:ser>
        <c:ser>
          <c:idx val="12"/>
          <c:order val="12"/>
          <c:tx>
            <c:strRef>
              <c:f>Dat_01!$B$155</c:f>
              <c:strCache>
                <c:ptCount val="1"/>
                <c:pt idx="0">
                  <c:v>Turbinación bombeo</c:v>
                </c:pt>
              </c:strCache>
              <c:extLst xmlns:c15="http://schemas.microsoft.com/office/drawing/2012/chart"/>
            </c:strRef>
          </c:tx>
          <c:spPr>
            <a:solidFill>
              <a:srgbClr val="95B3D7"/>
            </a:solidFill>
          </c:spPr>
          <c:invertIfNegative val="0"/>
          <c:val>
            <c:numRef>
              <c:f>Dat_01!$C$155:$O$155</c:f>
              <c:numCache>
                <c:formatCode>#,##0;\(#,##0\)</c:formatCode>
                <c:ptCount val="13"/>
                <c:pt idx="0">
                  <c:v>0</c:v>
                </c:pt>
                <c:pt idx="1">
                  <c:v>0</c:v>
                </c:pt>
                <c:pt idx="2">
                  <c:v>0</c:v>
                </c:pt>
                <c:pt idx="3">
                  <c:v>809</c:v>
                </c:pt>
                <c:pt idx="4">
                  <c:v>2955</c:v>
                </c:pt>
                <c:pt idx="5">
                  <c:v>300</c:v>
                </c:pt>
                <c:pt idx="6">
                  <c:v>475.42500000000001</c:v>
                </c:pt>
                <c:pt idx="7">
                  <c:v>0</c:v>
                </c:pt>
                <c:pt idx="8">
                  <c:v>1120.6500000000001</c:v>
                </c:pt>
                <c:pt idx="9">
                  <c:v>7136.4750000000004</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AC2B-4301-850D-1716BD1319DB}"/>
            </c:ext>
          </c:extLst>
        </c:ser>
        <c:ser>
          <c:idx val="15"/>
          <c:order val="13"/>
          <c:tx>
            <c:strRef>
              <c:f>Dat_01!$B$158</c:f>
              <c:strCache>
                <c:ptCount val="1"/>
                <c:pt idx="0">
                  <c:v>Turbina Vapor, Gas y Fuel</c:v>
                </c:pt>
              </c:strCache>
            </c:strRef>
          </c:tx>
          <c:spPr>
            <a:solidFill>
              <a:srgbClr val="AF8E00"/>
            </a:solidFill>
            <a:ln>
              <a:noFill/>
            </a:ln>
          </c:spPr>
          <c:invertIfNegative val="0"/>
          <c:val>
            <c:numRef>
              <c:f>Dat_01!$C$158:$O$158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B632-4F80-8924-F74233068D8E}"/>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4"/>
          <c:tx>
            <c:v>Precio medio subir</c:v>
          </c:tx>
          <c:spPr>
            <a:ln>
              <a:solidFill>
                <a:srgbClr val="004563"/>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E-AC2B-4301-850D-1716BD1319DB}"/>
            </c:ext>
          </c:extLst>
        </c:ser>
        <c:ser>
          <c:idx val="9"/>
          <c:order val="15"/>
          <c:tx>
            <c:v>Precio medio bajar</c:v>
          </c:tx>
          <c:spPr>
            <a:ln>
              <a:solidFill>
                <a:srgbClr val="404040"/>
              </a:solidFill>
            </a:ln>
          </c:spPr>
          <c:marker>
            <c:symbol val="none"/>
          </c:marker>
          <c:val>
            <c:numRef>
              <c:f>Dat_01!$C$404:$O$404</c:f>
              <c:numCache>
                <c:formatCode>#,##0.00</c:formatCode>
                <c:ptCount val="13"/>
                <c:pt idx="0">
                  <c:v>15.8979225199</c:v>
                </c:pt>
                <c:pt idx="1">
                  <c:v>4.7741999187999999</c:v>
                </c:pt>
                <c:pt idx="2">
                  <c:v>59.7129545994</c:v>
                </c:pt>
                <c:pt idx="3">
                  <c:v>56.254841899299997</c:v>
                </c:pt>
                <c:pt idx="4">
                  <c:v>61.503685353400002</c:v>
                </c:pt>
                <c:pt idx="5">
                  <c:v>54.1608380053</c:v>
                </c:pt>
                <c:pt idx="6">
                  <c:v>60.675018032799997</c:v>
                </c:pt>
                <c:pt idx="7">
                  <c:v>57.152078829099999</c:v>
                </c:pt>
                <c:pt idx="8">
                  <c:v>77.8107698699</c:v>
                </c:pt>
                <c:pt idx="9">
                  <c:v>69.163489003400002</c:v>
                </c:pt>
                <c:pt idx="10">
                  <c:v>9.6432943307999999</c:v>
                </c:pt>
                <c:pt idx="11">
                  <c:v>36.377330786199998</c:v>
                </c:pt>
                <c:pt idx="12">
                  <c:v>38.8820737446</c:v>
                </c:pt>
              </c:numCache>
            </c:numRef>
          </c:val>
          <c:smooth val="0"/>
          <c:extLst>
            <c:ext xmlns:c16="http://schemas.microsoft.com/office/drawing/2014/chart" uri="{C3380CC4-5D6E-409C-BE32-E72D297353CC}">
              <c16:uniqueId val="{0000000F-AC2B-4301-850D-1716BD1319DB}"/>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36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4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25"/>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25"/>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0"/>
          <c:y val="0.81043376770216768"/>
          <c:w val="0.98025008865580032"/>
          <c:h val="0.18956628744791773"/>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Dat_01!$C$137:$O$137</c:f>
              <c:numCache>
                <c:formatCode>#,##0;\(#,##0\)</c:formatCode>
                <c:ptCount val="13"/>
                <c:pt idx="0">
                  <c:v>128080</c:v>
                </c:pt>
                <c:pt idx="1">
                  <c:v>122215</c:v>
                </c:pt>
                <c:pt idx="2">
                  <c:v>110098</c:v>
                </c:pt>
                <c:pt idx="3">
                  <c:v>71343</c:v>
                </c:pt>
                <c:pt idx="4">
                  <c:v>0</c:v>
                </c:pt>
                <c:pt idx="5">
                  <c:v>0</c:v>
                </c:pt>
                <c:pt idx="6">
                  <c:v>1113.75</c:v>
                </c:pt>
                <c:pt idx="7">
                  <c:v>1856.25</c:v>
                </c:pt>
                <c:pt idx="8">
                  <c:v>28208.75</c:v>
                </c:pt>
                <c:pt idx="9">
                  <c:v>16238.75</c:v>
                </c:pt>
                <c:pt idx="10">
                  <c:v>0</c:v>
                </c:pt>
                <c:pt idx="11">
                  <c:v>4501.25</c:v>
                </c:pt>
                <c:pt idx="12">
                  <c:v>0</c:v>
                </c:pt>
              </c:numCache>
            </c:numRef>
          </c:val>
          <c:extLst>
            <c:ext xmlns:c16="http://schemas.microsoft.com/office/drawing/2014/chart" uri="{C3380CC4-5D6E-409C-BE32-E72D297353CC}">
              <c16:uniqueId val="{00000000-19C6-4F22-91C5-9726F5E4B6D7}"/>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Dat_01!$C$139:$O$139</c:f>
              <c:numCache>
                <c:formatCode>#,##0;\(#,##0\)</c:formatCode>
                <c:ptCount val="13"/>
                <c:pt idx="0">
                  <c:v>1154419.5</c:v>
                </c:pt>
                <c:pt idx="1">
                  <c:v>2188300.1</c:v>
                </c:pt>
                <c:pt idx="2">
                  <c:v>1759263.5</c:v>
                </c:pt>
                <c:pt idx="3">
                  <c:v>1466909.1</c:v>
                </c:pt>
                <c:pt idx="4">
                  <c:v>1579291.4</c:v>
                </c:pt>
                <c:pt idx="5">
                  <c:v>1564029</c:v>
                </c:pt>
                <c:pt idx="6">
                  <c:v>1759136.875</c:v>
                </c:pt>
                <c:pt idx="7">
                  <c:v>2229306.125</c:v>
                </c:pt>
                <c:pt idx="8">
                  <c:v>2288776.85</c:v>
                </c:pt>
                <c:pt idx="9">
                  <c:v>1972270.0249999999</c:v>
                </c:pt>
                <c:pt idx="10">
                  <c:v>1802866.25</c:v>
                </c:pt>
                <c:pt idx="11">
                  <c:v>2245754.85</c:v>
                </c:pt>
                <c:pt idx="12">
                  <c:v>1767077.7</c:v>
                </c:pt>
              </c:numCache>
            </c:numRef>
          </c:val>
          <c:extLst>
            <c:ext xmlns:c16="http://schemas.microsoft.com/office/drawing/2014/chart" uri="{C3380CC4-5D6E-409C-BE32-E72D297353CC}">
              <c16:uniqueId val="{00000001-19C6-4F22-91C5-9726F5E4B6D7}"/>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Dat_01!$C$143:$O$143</c:f>
              <c:numCache>
                <c:formatCode>#,##0;\(#,##0\)</c:formatCode>
                <c:ptCount val="13"/>
                <c:pt idx="0">
                  <c:v>10370.9</c:v>
                </c:pt>
                <c:pt idx="1">
                  <c:v>17487.5</c:v>
                </c:pt>
                <c:pt idx="2">
                  <c:v>20621.599999999999</c:v>
                </c:pt>
                <c:pt idx="3">
                  <c:v>1904.1</c:v>
                </c:pt>
                <c:pt idx="4">
                  <c:v>0</c:v>
                </c:pt>
                <c:pt idx="5">
                  <c:v>3926.6</c:v>
                </c:pt>
                <c:pt idx="6">
                  <c:v>3783.1750000000002</c:v>
                </c:pt>
                <c:pt idx="7">
                  <c:v>510</c:v>
                </c:pt>
                <c:pt idx="8">
                  <c:v>1691.4</c:v>
                </c:pt>
                <c:pt idx="9">
                  <c:v>0</c:v>
                </c:pt>
                <c:pt idx="10">
                  <c:v>484.6</c:v>
                </c:pt>
                <c:pt idx="11">
                  <c:v>162.69999999999999</c:v>
                </c:pt>
                <c:pt idx="12">
                  <c:v>3580.8249999999998</c:v>
                </c:pt>
              </c:numCache>
            </c:numRef>
          </c:val>
          <c:extLst>
            <c:ext xmlns:c16="http://schemas.microsoft.com/office/drawing/2014/chart" uri="{C3380CC4-5D6E-409C-BE32-E72D297353CC}">
              <c16:uniqueId val="{00000002-19C6-4F22-91C5-9726F5E4B6D7}"/>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Dat_01!$C$146:$O$146</c:f>
              <c:numCache>
                <c:formatCode>#,##0;\(#,##0\)</c:formatCode>
                <c:ptCount val="13"/>
                <c:pt idx="0">
                  <c:v>1600</c:v>
                </c:pt>
                <c:pt idx="1">
                  <c:v>1600</c:v>
                </c:pt>
                <c:pt idx="2">
                  <c:v>936</c:v>
                </c:pt>
                <c:pt idx="3">
                  <c:v>2587.5</c:v>
                </c:pt>
                <c:pt idx="4">
                  <c:v>6601</c:v>
                </c:pt>
                <c:pt idx="5">
                  <c:v>184</c:v>
                </c:pt>
                <c:pt idx="6">
                  <c:v>42602.3</c:v>
                </c:pt>
                <c:pt idx="7">
                  <c:v>0</c:v>
                </c:pt>
                <c:pt idx="8">
                  <c:v>0</c:v>
                </c:pt>
                <c:pt idx="9">
                  <c:v>5827.6750000000002</c:v>
                </c:pt>
                <c:pt idx="10">
                  <c:v>255.75</c:v>
                </c:pt>
                <c:pt idx="11">
                  <c:v>0</c:v>
                </c:pt>
                <c:pt idx="12">
                  <c:v>1386.25</c:v>
                </c:pt>
              </c:numCache>
            </c:numRef>
          </c:val>
          <c:extLst>
            <c:ext xmlns:c16="http://schemas.microsoft.com/office/drawing/2014/chart" uri="{C3380CC4-5D6E-409C-BE32-E72D297353CC}">
              <c16:uniqueId val="{00000003-19C6-4F22-91C5-9726F5E4B6D7}"/>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9C6-4F22-91C5-9726F5E4B6D7}"/>
              </c:ext>
            </c:extLst>
          </c:dPt>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Dat_01!$C$140:$O$140</c:f>
              <c:numCache>
                <c:formatCode>#,##0;\(#,##0\)</c:formatCode>
                <c:ptCount val="13"/>
                <c:pt idx="0">
                  <c:v>1.3</c:v>
                </c:pt>
                <c:pt idx="1">
                  <c:v>0</c:v>
                </c:pt>
                <c:pt idx="2">
                  <c:v>0</c:v>
                </c:pt>
                <c:pt idx="3">
                  <c:v>0</c:v>
                </c:pt>
                <c:pt idx="4">
                  <c:v>0</c:v>
                </c:pt>
                <c:pt idx="5">
                  <c:v>0</c:v>
                </c:pt>
                <c:pt idx="6">
                  <c:v>0</c:v>
                </c:pt>
                <c:pt idx="7">
                  <c:v>0</c:v>
                </c:pt>
                <c:pt idx="8">
                  <c:v>1.95</c:v>
                </c:pt>
                <c:pt idx="9">
                  <c:v>0</c:v>
                </c:pt>
                <c:pt idx="10">
                  <c:v>45.975000000000001</c:v>
                </c:pt>
                <c:pt idx="11">
                  <c:v>0.1</c:v>
                </c:pt>
                <c:pt idx="12">
                  <c:v>7.4999999999999997E-2</c:v>
                </c:pt>
              </c:numCache>
            </c:numRef>
          </c:val>
          <c:extLst>
            <c:ext xmlns:c16="http://schemas.microsoft.com/office/drawing/2014/chart" uri="{C3380CC4-5D6E-409C-BE32-E72D297353CC}">
              <c16:uniqueId val="{00000005-19C6-4F22-91C5-9726F5E4B6D7}"/>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Dat_01!$C$134:$O$134</c:f>
              <c:numCache>
                <c:formatCode>#,##0;\(#,##0\)</c:formatCode>
                <c:ptCount val="13"/>
                <c:pt idx="0">
                  <c:v>20382.3</c:v>
                </c:pt>
                <c:pt idx="1">
                  <c:v>0</c:v>
                </c:pt>
                <c:pt idx="2">
                  <c:v>150</c:v>
                </c:pt>
                <c:pt idx="3">
                  <c:v>3396</c:v>
                </c:pt>
                <c:pt idx="4">
                  <c:v>6200</c:v>
                </c:pt>
                <c:pt idx="5">
                  <c:v>0</c:v>
                </c:pt>
                <c:pt idx="6">
                  <c:v>0</c:v>
                </c:pt>
                <c:pt idx="7">
                  <c:v>350</c:v>
                </c:pt>
                <c:pt idx="8">
                  <c:v>325</c:v>
                </c:pt>
                <c:pt idx="9">
                  <c:v>0</c:v>
                </c:pt>
                <c:pt idx="10">
                  <c:v>0</c:v>
                </c:pt>
                <c:pt idx="11">
                  <c:v>40.4</c:v>
                </c:pt>
                <c:pt idx="12">
                  <c:v>0</c:v>
                </c:pt>
              </c:numCache>
            </c:numRef>
          </c:val>
          <c:extLst>
            <c:ext xmlns:c16="http://schemas.microsoft.com/office/drawing/2014/chart" uri="{C3380CC4-5D6E-409C-BE32-E72D297353CC}">
              <c16:uniqueId val="{00000006-19C6-4F22-91C5-9726F5E4B6D7}"/>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Dat_01!$C$144:$O$144</c:f>
              <c:numCache>
                <c:formatCode>#,##0;\(#,##0\)</c:formatCode>
                <c:ptCount val="13"/>
                <c:pt idx="0">
                  <c:v>2988</c:v>
                </c:pt>
                <c:pt idx="1">
                  <c:v>3603.7</c:v>
                </c:pt>
                <c:pt idx="2">
                  <c:v>1579.6</c:v>
                </c:pt>
                <c:pt idx="3">
                  <c:v>198.7</c:v>
                </c:pt>
                <c:pt idx="4">
                  <c:v>0</c:v>
                </c:pt>
                <c:pt idx="5">
                  <c:v>0</c:v>
                </c:pt>
                <c:pt idx="6">
                  <c:v>0</c:v>
                </c:pt>
                <c:pt idx="7">
                  <c:v>122</c:v>
                </c:pt>
                <c:pt idx="8">
                  <c:v>0</c:v>
                </c:pt>
                <c:pt idx="9">
                  <c:v>0</c:v>
                </c:pt>
                <c:pt idx="10">
                  <c:v>0</c:v>
                </c:pt>
                <c:pt idx="11">
                  <c:v>0</c:v>
                </c:pt>
                <c:pt idx="12">
                  <c:v>662.6</c:v>
                </c:pt>
              </c:numCache>
            </c:numRef>
          </c:val>
          <c:extLst>
            <c:ext xmlns:c16="http://schemas.microsoft.com/office/drawing/2014/chart" uri="{C3380CC4-5D6E-409C-BE32-E72D297353CC}">
              <c16:uniqueId val="{00000007-19C6-4F22-91C5-9726F5E4B6D7}"/>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68.05</c:v>
                </c:pt>
              </c:numCache>
            </c:numRef>
          </c:val>
          <c:extLst>
            <c:ext xmlns:c16="http://schemas.microsoft.com/office/drawing/2014/chart" uri="{C3380CC4-5D6E-409C-BE32-E72D297353CC}">
              <c16:uniqueId val="{00000008-19C6-4F22-91C5-9726F5E4B6D7}"/>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Dat_01!$C$142:$O$142</c:f>
              <c:numCache>
                <c:formatCode>#,##0;\(#,##0\)</c:formatCode>
                <c:ptCount val="13"/>
                <c:pt idx="0">
                  <c:v>0</c:v>
                </c:pt>
                <c:pt idx="1">
                  <c:v>0</c:v>
                </c:pt>
                <c:pt idx="2">
                  <c:v>0</c:v>
                </c:pt>
                <c:pt idx="3">
                  <c:v>229.2</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19C6-4F22-91C5-9726F5E4B6D7}"/>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Dat_01!$C$135:$O$135</c:f>
              <c:numCache>
                <c:formatCode>#,##0;\(#,##0\)</c:formatCode>
                <c:ptCount val="13"/>
                <c:pt idx="0">
                  <c:v>0</c:v>
                </c:pt>
                <c:pt idx="1">
                  <c:v>0</c:v>
                </c:pt>
                <c:pt idx="2">
                  <c:v>60.7</c:v>
                </c:pt>
                <c:pt idx="3">
                  <c:v>700</c:v>
                </c:pt>
                <c:pt idx="4">
                  <c:v>0</c:v>
                </c:pt>
                <c:pt idx="5">
                  <c:v>0</c:v>
                </c:pt>
                <c:pt idx="6">
                  <c:v>0</c:v>
                </c:pt>
                <c:pt idx="7">
                  <c:v>4180</c:v>
                </c:pt>
                <c:pt idx="8">
                  <c:v>20</c:v>
                </c:pt>
                <c:pt idx="9">
                  <c:v>6400</c:v>
                </c:pt>
                <c:pt idx="10">
                  <c:v>0</c:v>
                </c:pt>
                <c:pt idx="11">
                  <c:v>222.5</c:v>
                </c:pt>
                <c:pt idx="12">
                  <c:v>0</c:v>
                </c:pt>
              </c:numCache>
            </c:numRef>
          </c:val>
          <c:extLst>
            <c:ext xmlns:c16="http://schemas.microsoft.com/office/drawing/2014/chart" uri="{C3380CC4-5D6E-409C-BE32-E72D297353CC}">
              <c16:uniqueId val="{0000000A-19C6-4F22-91C5-9726F5E4B6D7}"/>
            </c:ext>
          </c:extLst>
        </c:ser>
        <c:ser>
          <c:idx val="12"/>
          <c:order val="10"/>
          <c:tx>
            <c:strRef>
              <c:f>Dat_01!$B$136</c:f>
              <c:strCache>
                <c:ptCount val="1"/>
                <c:pt idx="0">
                  <c:v>Nuclear</c:v>
                </c:pt>
              </c:strCache>
            </c:strRef>
          </c:tx>
          <c:spPr>
            <a:solidFill>
              <a:srgbClr val="464394"/>
            </a:solidFill>
            <a:ln>
              <a:noFill/>
            </a:ln>
          </c:spPr>
          <c:invertIfNegative val="0"/>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Dat_01!$C$136:$O$136</c:f>
              <c:numCache>
                <c:formatCode>#,##0;\(#,##0\)</c:formatCode>
                <c:ptCount val="13"/>
                <c:pt idx="0">
                  <c:v>267559.5</c:v>
                </c:pt>
                <c:pt idx="1">
                  <c:v>363944.9</c:v>
                </c:pt>
                <c:pt idx="2">
                  <c:v>25407.8</c:v>
                </c:pt>
                <c:pt idx="3">
                  <c:v>19303.400000000001</c:v>
                </c:pt>
                <c:pt idx="4">
                  <c:v>3428.3</c:v>
                </c:pt>
                <c:pt idx="5">
                  <c:v>35476.800000000003</c:v>
                </c:pt>
                <c:pt idx="6">
                  <c:v>116112.4</c:v>
                </c:pt>
                <c:pt idx="7">
                  <c:v>47755.224999999999</c:v>
                </c:pt>
                <c:pt idx="8">
                  <c:v>22947.875</c:v>
                </c:pt>
                <c:pt idx="9">
                  <c:v>276494.25</c:v>
                </c:pt>
                <c:pt idx="10">
                  <c:v>1412402.7749999999</c:v>
                </c:pt>
                <c:pt idx="11">
                  <c:v>737126.35</c:v>
                </c:pt>
                <c:pt idx="12">
                  <c:v>389717.02500000002</c:v>
                </c:pt>
              </c:numCache>
            </c:numRef>
          </c:val>
          <c:extLst>
            <c:ext xmlns:c16="http://schemas.microsoft.com/office/drawing/2014/chart" uri="{C3380CC4-5D6E-409C-BE32-E72D297353CC}">
              <c16:uniqueId val="{0000000B-19C6-4F22-91C5-9726F5E4B6D7}"/>
            </c:ext>
          </c:extLst>
        </c:ser>
        <c:ser>
          <c:idx val="13"/>
          <c:order val="11"/>
          <c:tx>
            <c:strRef>
              <c:f>Dat_01!$B$138</c:f>
              <c:strCache>
                <c:ptCount val="1"/>
                <c:pt idx="0">
                  <c:v>Turbina Vapor, Gas y Fuel</c:v>
                </c:pt>
              </c:strCache>
            </c:strRef>
          </c:tx>
          <c:spPr>
            <a:solidFill>
              <a:srgbClr val="AF8E00"/>
            </a:solidFill>
            <a:ln>
              <a:noFill/>
            </a:ln>
          </c:spPr>
          <c:invertIfNegative val="0"/>
          <c:val>
            <c:numRef>
              <c:f>Dat_01!$C$138:$O$138</c:f>
              <c:numCache>
                <c:formatCode>#,##0;\(#,##0\)</c:formatCode>
                <c:ptCount val="13"/>
                <c:pt idx="0">
                  <c:v>0</c:v>
                </c:pt>
                <c:pt idx="1">
                  <c:v>0</c:v>
                </c:pt>
                <c:pt idx="2">
                  <c:v>0</c:v>
                </c:pt>
                <c:pt idx="3">
                  <c:v>91146</c:v>
                </c:pt>
                <c:pt idx="4">
                  <c:v>121642</c:v>
                </c:pt>
                <c:pt idx="5">
                  <c:v>152270</c:v>
                </c:pt>
                <c:pt idx="6">
                  <c:v>177310</c:v>
                </c:pt>
                <c:pt idx="7">
                  <c:v>182152.5</c:v>
                </c:pt>
                <c:pt idx="8">
                  <c:v>214170</c:v>
                </c:pt>
                <c:pt idx="9">
                  <c:v>164145</c:v>
                </c:pt>
                <c:pt idx="10">
                  <c:v>183987.5</c:v>
                </c:pt>
                <c:pt idx="11">
                  <c:v>177258</c:v>
                </c:pt>
                <c:pt idx="12">
                  <c:v>168570</c:v>
                </c:pt>
              </c:numCache>
            </c:numRef>
          </c:val>
          <c:extLst>
            <c:ext xmlns:c16="http://schemas.microsoft.com/office/drawing/2014/chart" uri="{C3380CC4-5D6E-409C-BE32-E72D297353CC}">
              <c16:uniqueId val="{00000002-6662-4BA2-AF32-E959DBF98B39}"/>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2"/>
          <c:tx>
            <c:v>Precio medio subir</c:v>
          </c:tx>
          <c:spPr>
            <a:ln>
              <a:solidFill>
                <a:srgbClr val="004563"/>
              </a:solidFill>
            </a:ln>
          </c:spPr>
          <c:marker>
            <c:symbol val="none"/>
          </c:marker>
          <c:val>
            <c:numRef>
              <c:f>Dat_01!$C$402:$O$402</c:f>
              <c:numCache>
                <c:formatCode>#,##0.00</c:formatCode>
                <c:ptCount val="13"/>
                <c:pt idx="0">
                  <c:v>144.37500321530001</c:v>
                </c:pt>
                <c:pt idx="1">
                  <c:v>155.04070517069999</c:v>
                </c:pt>
                <c:pt idx="2">
                  <c:v>165.61002641549999</c:v>
                </c:pt>
                <c:pt idx="3">
                  <c:v>150.28757834149999</c:v>
                </c:pt>
                <c:pt idx="4">
                  <c:v>157.3914054217</c:v>
                </c:pt>
                <c:pt idx="5">
                  <c:v>166.42095092229999</c:v>
                </c:pt>
                <c:pt idx="6">
                  <c:v>162.7965502049</c:v>
                </c:pt>
                <c:pt idx="7">
                  <c:v>164.47094452299999</c:v>
                </c:pt>
                <c:pt idx="8">
                  <c:v>174.62615588240001</c:v>
                </c:pt>
                <c:pt idx="9">
                  <c:v>182.37316718189999</c:v>
                </c:pt>
                <c:pt idx="10">
                  <c:v>137.02993094039999</c:v>
                </c:pt>
                <c:pt idx="11">
                  <c:v>198.52719663740001</c:v>
                </c:pt>
                <c:pt idx="12">
                  <c:v>177.1996726072</c:v>
                </c:pt>
              </c:numCache>
            </c:numRef>
          </c:val>
          <c:smooth val="0"/>
          <c:extLst>
            <c:ext xmlns:c16="http://schemas.microsoft.com/office/drawing/2014/chart" uri="{C3380CC4-5D6E-409C-BE32-E72D297353CC}">
              <c16:uniqueId val="{0000000C-19C6-4F22-91C5-9726F5E4B6D7}"/>
            </c:ext>
          </c:extLst>
        </c:ser>
        <c:ser>
          <c:idx val="9"/>
          <c:order val="13"/>
          <c:tx>
            <c:v>Precio medio bajar</c:v>
          </c:tx>
          <c:spPr>
            <a:ln>
              <a:solidFill>
                <a:srgbClr val="404040"/>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D-19C6-4F22-91C5-9726F5E4B6D7}"/>
            </c:ext>
          </c:extLst>
        </c:ser>
        <c:dLbls>
          <c:showLegendKey val="0"/>
          <c:showVal val="0"/>
          <c:showCatName val="0"/>
          <c:showSerName val="0"/>
          <c:showPercent val="0"/>
          <c:showBubbleSize val="0"/>
        </c:dLbls>
        <c:marker val="1"/>
        <c:smooth val="0"/>
        <c:axId val="403141008"/>
        <c:axId val="403140616"/>
      </c:lineChart>
      <c:valAx>
        <c:axId val="403139832"/>
        <c:scaling>
          <c:orientation val="minMax"/>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crossAx val="403140224"/>
        <c:crosses val="autoZero"/>
        <c:crossBetween val="between"/>
        <c:majorUnit val="4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25"/>
        </c:scaling>
        <c:delete val="0"/>
        <c:axPos val="r"/>
        <c:numFmt formatCode="#,##0" sourceLinked="0"/>
        <c:majorTickMark val="out"/>
        <c:minorTickMark val="none"/>
        <c:tickLblPos val="nextTo"/>
        <c:spPr>
          <a:ln>
            <a:noFill/>
          </a:ln>
        </c:spPr>
        <c:crossAx val="403141008"/>
        <c:crosses val="max"/>
        <c:crossBetween val="between"/>
        <c:majorUnit val="25"/>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Dat_01!$B$184:$N$184</c:f>
              <c:numCache>
                <c:formatCode>#,##0</c:formatCode>
                <c:ptCount val="13"/>
                <c:pt idx="0">
                  <c:v>1185.1831761006249</c:v>
                </c:pt>
                <c:pt idx="1">
                  <c:v>1194.9334677419249</c:v>
                </c:pt>
                <c:pt idx="2">
                  <c:v>1196.13055555555</c:v>
                </c:pt>
                <c:pt idx="3">
                  <c:v>1196.6243279570001</c:v>
                </c:pt>
                <c:pt idx="4">
                  <c:v>1193.9107638889</c:v>
                </c:pt>
                <c:pt idx="5">
                  <c:v>1186.19756944445</c:v>
                </c:pt>
                <c:pt idx="6">
                  <c:v>1174.1842281879251</c:v>
                </c:pt>
                <c:pt idx="7">
                  <c:v>1169.1361111111</c:v>
                </c:pt>
                <c:pt idx="8">
                  <c:v>1170.0030241935499</c:v>
                </c:pt>
                <c:pt idx="9">
                  <c:v>1185.5510752688249</c:v>
                </c:pt>
                <c:pt idx="10">
                  <c:v>1168.0904017857249</c:v>
                </c:pt>
                <c:pt idx="11">
                  <c:v>1213.781628532975</c:v>
                </c:pt>
                <c:pt idx="12">
                  <c:v>1220.96875</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A</c:v>
                </c:pt>
                <c:pt idx="1">
                  <c:v>M</c:v>
                </c:pt>
                <c:pt idx="2">
                  <c:v>J</c:v>
                </c:pt>
                <c:pt idx="3">
                  <c:v>J</c:v>
                </c:pt>
                <c:pt idx="4">
                  <c:v>A</c:v>
                </c:pt>
                <c:pt idx="5">
                  <c:v>S</c:v>
                </c:pt>
                <c:pt idx="6">
                  <c:v>O</c:v>
                </c:pt>
                <c:pt idx="7">
                  <c:v>N</c:v>
                </c:pt>
                <c:pt idx="8">
                  <c:v>D</c:v>
                </c:pt>
                <c:pt idx="9">
                  <c:v>E</c:v>
                </c:pt>
                <c:pt idx="10">
                  <c:v>F</c:v>
                </c:pt>
                <c:pt idx="11">
                  <c:v>M</c:v>
                </c:pt>
                <c:pt idx="12">
                  <c:v>A</c:v>
                </c:pt>
              </c:strCache>
            </c:strRef>
          </c:cat>
          <c:val>
            <c:numRef>
              <c:f>Dat_01!#REF!</c:f>
              <c:numCache>
                <c:formatCode>General</c:formatCode>
                <c:ptCount val="1"/>
                <c:pt idx="0">
                  <c:v>1</c:v>
                </c:pt>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Dat_01!$C$412:$O$412</c:f>
              <c:numCache>
                <c:formatCode>#,##0.00</c:formatCode>
                <c:ptCount val="13"/>
                <c:pt idx="0">
                  <c:v>21.1892065471</c:v>
                </c:pt>
                <c:pt idx="1">
                  <c:v>11.0326904909</c:v>
                </c:pt>
                <c:pt idx="2">
                  <c:v>20.297364826599999</c:v>
                </c:pt>
                <c:pt idx="3">
                  <c:v>34.1141379253</c:v>
                </c:pt>
                <c:pt idx="4">
                  <c:v>35.031649862599998</c:v>
                </c:pt>
                <c:pt idx="5">
                  <c:v>32.7380599946</c:v>
                </c:pt>
                <c:pt idx="6">
                  <c:v>36.398819601600003</c:v>
                </c:pt>
                <c:pt idx="7">
                  <c:v>25.577419348599999</c:v>
                </c:pt>
                <c:pt idx="8">
                  <c:v>19.581757195600002</c:v>
                </c:pt>
                <c:pt idx="9">
                  <c:v>23.5337400642</c:v>
                </c:pt>
                <c:pt idx="10">
                  <c:v>14.062624576599999</c:v>
                </c:pt>
                <c:pt idx="11">
                  <c:v>16.3789167664</c:v>
                </c:pt>
                <c:pt idx="12">
                  <c:v>14.070145721799999</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70"/>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0"/>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0.82534</cdr:x>
      <cdr:y>0.93164</cdr:y>
    </cdr:from>
    <cdr:to>
      <cdr:x>0.91577</cdr:x>
      <cdr:y>0.99258</cdr:y>
    </cdr:to>
    <cdr:sp macro="" textlink="">
      <cdr:nvSpPr>
        <cdr:cNvPr id="3" name="CuadroTexto 1"/>
        <cdr:cNvSpPr txBox="1"/>
      </cdr:nvSpPr>
      <cdr:spPr>
        <a:xfrm xmlns:a="http://schemas.openxmlformats.org/drawingml/2006/main">
          <a:off x="6009032" y="2679307"/>
          <a:ext cx="658390" cy="1752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dr:relSizeAnchor xmlns:cdr="http://schemas.openxmlformats.org/drawingml/2006/chartDrawing">
    <cdr:from>
      <cdr:x>0.38082</cdr:x>
      <cdr:y>0.93234</cdr:y>
    </cdr:from>
    <cdr:to>
      <cdr:x>0.46063</cdr:x>
      <cdr:y>0.9975</cdr:y>
    </cdr:to>
    <cdr:sp macro="" textlink="">
      <cdr:nvSpPr>
        <cdr:cNvPr id="4" name="CuadroTexto 1"/>
        <cdr:cNvSpPr txBox="1"/>
      </cdr:nvSpPr>
      <cdr:spPr>
        <a:xfrm xmlns:a="http://schemas.openxmlformats.org/drawingml/2006/main">
          <a:off x="2772596" y="2681321"/>
          <a:ext cx="581068" cy="1873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8</xdr:col>
      <xdr:colOff>462313</xdr:colOff>
      <xdr:row>20</xdr:row>
      <xdr:rowOff>56446</xdr:rowOff>
    </xdr:from>
    <xdr:to>
      <xdr:col>9</xdr:col>
      <xdr:colOff>89377</xdr:colOff>
      <xdr:row>21</xdr:row>
      <xdr:rowOff>55918</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6788351" y="3291352"/>
          <a:ext cx="399847" cy="16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1482665</xdr:colOff>
      <xdr:row>21</xdr:row>
      <xdr:rowOff>35944</xdr:rowOff>
    </xdr:from>
    <xdr:to>
      <xdr:col>11</xdr:col>
      <xdr:colOff>687534</xdr:colOff>
      <xdr:row>36</xdr:row>
      <xdr:rowOff>77330</xdr:rowOff>
    </xdr:to>
    <xdr:graphicFrame macro="">
      <xdr:nvGraphicFramePr>
        <xdr:cNvPr id="2" name="Chart 4">
          <a:extLst>
            <a:ext uri="{FF2B5EF4-FFF2-40B4-BE49-F238E27FC236}">
              <a16:creationId xmlns:a16="http://schemas.microsoft.com/office/drawing/2014/main" id="{954295CB-E344-43E3-820D-8D904B999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1491651</xdr:colOff>
      <xdr:row>5</xdr:row>
      <xdr:rowOff>116817</xdr:rowOff>
    </xdr:from>
    <xdr:to>
      <xdr:col>11</xdr:col>
      <xdr:colOff>696520</xdr:colOff>
      <xdr:row>21</xdr:row>
      <xdr:rowOff>27521</xdr:rowOff>
    </xdr:to>
    <xdr:graphicFrame macro="">
      <xdr:nvGraphicFramePr>
        <xdr:cNvPr id="4" name="Chart 4">
          <a:extLst>
            <a:ext uri="{FF2B5EF4-FFF2-40B4-BE49-F238E27FC236}">
              <a16:creationId xmlns:a16="http://schemas.microsoft.com/office/drawing/2014/main" id="{76801656-2EC9-49B8-A058-28E5B650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0.67882</cdr:x>
      <cdr:y>0.06583</cdr:y>
    </cdr:from>
    <cdr:to>
      <cdr:x>0.6789</cdr:x>
      <cdr:y>0.76993</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5200135" y="162440"/>
          <a:ext cx="613" cy="173741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6.xml><?xml version="1.0" encoding="utf-8"?>
<c:userShapes xmlns:c="http://schemas.openxmlformats.org/drawingml/2006/chart">
  <cdr:relSizeAnchor xmlns:cdr="http://schemas.openxmlformats.org/drawingml/2006/chartDrawing">
    <cdr:from>
      <cdr:x>0.67963</cdr:x>
      <cdr:y>0.13216</cdr:y>
    </cdr:from>
    <cdr:to>
      <cdr:x>0.68088</cdr:x>
      <cdr:y>0.84827</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5206334" y="330219"/>
          <a:ext cx="9576" cy="178929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0.42417</cdr:x>
      <cdr:y>0.93524</cdr:y>
    </cdr:from>
    <cdr:to>
      <cdr:x>0.46293</cdr:x>
      <cdr:y>0.99669</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3343120" y="2383880"/>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0.80784</cdr:x>
      <cdr:y>0.92057</cdr:y>
    </cdr:from>
    <cdr:to>
      <cdr:x>0.8466</cdr:x>
      <cdr:y>0.98202</cdr:y>
    </cdr:to>
    <cdr:sp macro="" textlink="">
      <cdr:nvSpPr>
        <cdr:cNvPr id="2" name="CuadroTexto 6">
          <a:extLst xmlns:a="http://schemas.openxmlformats.org/drawingml/2006/main">
            <a:ext uri="{FF2B5EF4-FFF2-40B4-BE49-F238E27FC236}">
              <a16:creationId xmlns:a16="http://schemas.microsoft.com/office/drawing/2014/main" id="{59477B08-3D50-33B5-1293-E4DF481CD697}"/>
            </a:ext>
          </a:extLst>
        </cdr:cNvPr>
        <cdr:cNvSpPr txBox="1"/>
      </cdr:nvSpPr>
      <cdr:spPr>
        <a:xfrm xmlns:a="http://schemas.openxmlformats.org/drawingml/2006/main">
          <a:off x="6188508" y="2300159"/>
          <a:ext cx="296923" cy="1535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0.6809</cdr:x>
      <cdr:y>0.11702</cdr:y>
    </cdr:from>
    <cdr:to>
      <cdr:x>0.68165</cdr:x>
      <cdr:y>0.81677</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V="1">
          <a:off x="5130661" y="271083"/>
          <a:ext cx="5638" cy="162108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0.41074</cdr:x>
      <cdr:y>0.88528</cdr:y>
    </cdr:from>
    <cdr:to>
      <cdr:x>0.48554</cdr:x>
      <cdr:y>0.96387</cdr:y>
    </cdr:to>
    <cdr:sp macro="" textlink="">
      <cdr:nvSpPr>
        <cdr:cNvPr id="4" name="CuadroTexto 1"/>
        <cdr:cNvSpPr txBox="1"/>
      </cdr:nvSpPr>
      <cdr:spPr>
        <a:xfrm xmlns:a="http://schemas.openxmlformats.org/drawingml/2006/main">
          <a:off x="3178675" y="2114969"/>
          <a:ext cx="578873" cy="18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0.79026</cdr:x>
      <cdr:y>0.88812</cdr:y>
    </cdr:from>
    <cdr:to>
      <cdr:x>0.86507</cdr:x>
      <cdr:y>0.96671</cdr:y>
    </cdr:to>
    <cdr:sp macro="" textlink="">
      <cdr:nvSpPr>
        <cdr:cNvPr id="5" name="CuadroTexto 1"/>
        <cdr:cNvSpPr txBox="1"/>
      </cdr:nvSpPr>
      <cdr:spPr>
        <a:xfrm xmlns:a="http://schemas.openxmlformats.org/drawingml/2006/main">
          <a:off x="5954728" y="2057460"/>
          <a:ext cx="563626" cy="1820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19.xml><?xml version="1.0" encoding="utf-8"?>
<c:userShapes xmlns:c="http://schemas.openxmlformats.org/drawingml/2006/chart">
  <cdr:relSizeAnchor xmlns:cdr="http://schemas.openxmlformats.org/drawingml/2006/chartDrawing">
    <cdr:from>
      <cdr:x>0.67639</cdr:x>
      <cdr:y>0.03797</cdr:y>
    </cdr:from>
    <cdr:to>
      <cdr:x>0.67666</cdr:x>
      <cdr:y>0.86623</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5097291" y="64803"/>
          <a:ext cx="2035" cy="141353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0.68005</cdr:x>
      <cdr:y>0.12949</cdr:y>
    </cdr:from>
    <cdr:to>
      <cdr:x>0.68023</cdr:x>
      <cdr:y>0.82892</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5099623" y="306717"/>
          <a:ext cx="1350" cy="165676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0.41652</cdr:x>
      <cdr:y>0.886</cdr:y>
    </cdr:from>
    <cdr:to>
      <cdr:x>0.49133</cdr:x>
      <cdr:y>0.96377</cdr:y>
    </cdr:to>
    <cdr:sp macro="" textlink="">
      <cdr:nvSpPr>
        <cdr:cNvPr id="4" name="CuadroTexto 1"/>
        <cdr:cNvSpPr txBox="1"/>
      </cdr:nvSpPr>
      <cdr:spPr>
        <a:xfrm xmlns:a="http://schemas.openxmlformats.org/drawingml/2006/main">
          <a:off x="3230086" y="2098701"/>
          <a:ext cx="580151" cy="1842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0.79478</cdr:x>
      <cdr:y>0.89464</cdr:y>
    </cdr:from>
    <cdr:to>
      <cdr:x>0.86957</cdr:x>
      <cdr:y>0.97242</cdr:y>
    </cdr:to>
    <cdr:sp macro="" textlink="">
      <cdr:nvSpPr>
        <cdr:cNvPr id="5" name="CuadroTexto 1"/>
        <cdr:cNvSpPr txBox="1"/>
      </cdr:nvSpPr>
      <cdr:spPr>
        <a:xfrm xmlns:a="http://schemas.openxmlformats.org/drawingml/2006/main">
          <a:off x="5960033" y="2119170"/>
          <a:ext cx="560846" cy="1842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22.xml><?xml version="1.0" encoding="utf-8"?>
<c:userShapes xmlns:c="http://schemas.openxmlformats.org/drawingml/2006/chart">
  <cdr:relSizeAnchor xmlns:cdr="http://schemas.openxmlformats.org/drawingml/2006/chartDrawing">
    <cdr:from>
      <cdr:x>0.68012</cdr:x>
      <cdr:y>0.02104</cdr:y>
    </cdr:from>
    <cdr:to>
      <cdr:x>0.68012</cdr:x>
      <cdr:y>0.87039</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5100861" y="37043"/>
          <a:ext cx="0" cy="149531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0.68461</cdr:x>
      <cdr:y>0.08301</cdr:y>
    </cdr:from>
    <cdr:to>
      <cdr:x>0.68559</cdr:x>
      <cdr:y>0.76166</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V="1">
          <a:off x="5130364" y="218776"/>
          <a:ext cx="7344" cy="178867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0.68349</cdr:x>
      <cdr:y>0.18092</cdr:y>
    </cdr:from>
    <cdr:to>
      <cdr:x>0.68417</cdr:x>
      <cdr:y>0.86408</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5121970" y="495597"/>
          <a:ext cx="5096" cy="187139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0.36965</cdr:x>
      <cdr:y>0.9267</cdr:y>
    </cdr:from>
    <cdr:to>
      <cdr:x>0.44445</cdr:x>
      <cdr:y>0.99715</cdr:y>
    </cdr:to>
    <cdr:sp macro="" textlink="">
      <cdr:nvSpPr>
        <cdr:cNvPr id="4" name="CuadroTexto 1"/>
        <cdr:cNvSpPr txBox="1"/>
      </cdr:nvSpPr>
      <cdr:spPr>
        <a:xfrm xmlns:a="http://schemas.openxmlformats.org/drawingml/2006/main">
          <a:off x="2875732" y="2529522"/>
          <a:ext cx="581911" cy="192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0.79755</cdr:x>
      <cdr:y>0.926</cdr:y>
    </cdr:from>
    <cdr:to>
      <cdr:x>0.87233</cdr:x>
      <cdr:y>0.99645</cdr:y>
    </cdr:to>
    <cdr:sp macro="" textlink="">
      <cdr:nvSpPr>
        <cdr:cNvPr id="5" name="CuadroTexto 1"/>
        <cdr:cNvSpPr txBox="1"/>
      </cdr:nvSpPr>
      <cdr:spPr>
        <a:xfrm xmlns:a="http://schemas.openxmlformats.org/drawingml/2006/main">
          <a:off x="5976653" y="2536613"/>
          <a:ext cx="560387" cy="1929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0.68095</cdr:x>
      <cdr:y>0.07672</cdr:y>
    </cdr:from>
    <cdr:to>
      <cdr:x>0.68104</cdr:x>
      <cdr:y>0.70005</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5159294" y="255497"/>
          <a:ext cx="682" cy="207576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0.68043</cdr:x>
      <cdr:y>0.09789</cdr:y>
    </cdr:from>
    <cdr:to>
      <cdr:x>0.68133</cdr:x>
      <cdr:y>0.85551</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5155391" y="258003"/>
          <a:ext cx="6819" cy="199681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0.33983</cdr:x>
      <cdr:y>0.92954</cdr:y>
    </cdr:from>
    <cdr:to>
      <cdr:x>0.41463</cdr:x>
      <cdr:y>1</cdr:y>
    </cdr:to>
    <cdr:sp macro="" textlink="">
      <cdr:nvSpPr>
        <cdr:cNvPr id="4" name="CuadroTexto 1"/>
        <cdr:cNvSpPr txBox="1"/>
      </cdr:nvSpPr>
      <cdr:spPr>
        <a:xfrm xmlns:a="http://schemas.openxmlformats.org/drawingml/2006/main">
          <a:off x="2574726" y="2449934"/>
          <a:ext cx="566732" cy="1857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0.79168</cdr:x>
      <cdr:y>0.92955</cdr:y>
    </cdr:from>
    <cdr:to>
      <cdr:x>0.86647</cdr:x>
      <cdr:y>1</cdr:y>
    </cdr:to>
    <cdr:sp macro="" textlink="">
      <cdr:nvSpPr>
        <cdr:cNvPr id="5" name="CuadroTexto 1"/>
        <cdr:cNvSpPr txBox="1"/>
      </cdr:nvSpPr>
      <cdr:spPr>
        <a:xfrm xmlns:a="http://schemas.openxmlformats.org/drawingml/2006/main">
          <a:off x="5998242" y="2449960"/>
          <a:ext cx="566656" cy="1856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7620</xdr:rowOff>
    </xdr:from>
    <xdr:to>
      <xdr:col>11</xdr:col>
      <xdr:colOff>642289</xdr:colOff>
      <xdr:row>21</xdr:row>
      <xdr:rowOff>158336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0.52199</cdr:x>
      <cdr:y>0.22329</cdr:y>
    </cdr:from>
    <cdr:to>
      <cdr:x>0.65148</cdr:x>
      <cdr:y>0.28429</cdr:y>
    </cdr:to>
    <cdr:sp macro="" textlink="">
      <cdr:nvSpPr>
        <cdr:cNvPr id="2" name="Texto 7"/>
        <cdr:cNvSpPr txBox="1">
          <a:spLocks xmlns:a="http://schemas.openxmlformats.org/drawingml/2006/main" noChangeArrowheads="1"/>
        </cdr:cNvSpPr>
      </cdr:nvSpPr>
      <cdr:spPr bwMode="auto">
        <a:xfrm xmlns:a="http://schemas.openxmlformats.org/drawingml/2006/main">
          <a:off x="3012988" y="558086"/>
          <a:ext cx="747436" cy="15246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0.45418</cdr:x>
      <cdr:y>0.79348</cdr:y>
    </cdr:from>
    <cdr:to>
      <cdr:x>0.58368</cdr:x>
      <cdr:y>0.85447</cdr:y>
    </cdr:to>
    <cdr:sp macro="" textlink="">
      <cdr:nvSpPr>
        <cdr:cNvPr id="3" name="Texto 7"/>
        <cdr:cNvSpPr txBox="1">
          <a:spLocks xmlns:a="http://schemas.openxmlformats.org/drawingml/2006/main" noChangeArrowheads="1"/>
        </cdr:cNvSpPr>
      </cdr:nvSpPr>
      <cdr:spPr bwMode="auto">
        <a:xfrm xmlns:a="http://schemas.openxmlformats.org/drawingml/2006/main">
          <a:off x="2621576" y="1983197"/>
          <a:ext cx="747493" cy="15243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0.8537</cdr:x>
      <cdr:y>0.10227</cdr:y>
    </cdr:from>
    <cdr:to>
      <cdr:x>0.85569</cdr:x>
      <cdr:y>0.86811</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6585164" y="275708"/>
          <a:ext cx="15350" cy="2064548"/>
        </a:xfrm>
        <a:prstGeom xmlns:a="http://schemas.openxmlformats.org/drawingml/2006/main" prst="line">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0.40611</cdr:x>
      <cdr:y>0.92954</cdr:y>
    </cdr:from>
    <cdr:to>
      <cdr:x>0.48183</cdr:x>
      <cdr:y>1</cdr:y>
    </cdr:to>
    <cdr:sp macro="" textlink="">
      <cdr:nvSpPr>
        <cdr:cNvPr id="4" name="CuadroTexto 1"/>
        <cdr:cNvSpPr txBox="1"/>
      </cdr:nvSpPr>
      <cdr:spPr>
        <a:xfrm xmlns:a="http://schemas.openxmlformats.org/drawingml/2006/main">
          <a:off x="3132627" y="2505850"/>
          <a:ext cx="584077" cy="1899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0.79556</cdr:x>
      <cdr:y>0.9223</cdr:y>
    </cdr:from>
    <cdr:to>
      <cdr:x>0.87127</cdr:x>
      <cdr:y>0.99275</cdr:y>
    </cdr:to>
    <cdr:sp macro="" textlink="">
      <cdr:nvSpPr>
        <cdr:cNvPr id="5" name="CuadroTexto 1"/>
        <cdr:cNvSpPr txBox="1"/>
      </cdr:nvSpPr>
      <cdr:spPr>
        <a:xfrm xmlns:a="http://schemas.openxmlformats.org/drawingml/2006/main">
          <a:off x="5974492" y="2423079"/>
          <a:ext cx="568568" cy="1850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0.67805</cdr:x>
      <cdr:y>0.02015</cdr:y>
    </cdr:from>
    <cdr:to>
      <cdr:x>0.67805</cdr:x>
      <cdr:y>0.87097</cdr:y>
    </cdr:to>
    <cdr:cxnSp macro="">
      <cdr:nvCxnSpPr>
        <cdr:cNvPr id="6" name="Conector recto 5">
          <a:extLst xmlns:a="http://schemas.openxmlformats.org/drawingml/2006/main">
            <a:ext uri="{FF2B5EF4-FFF2-40B4-BE49-F238E27FC236}">
              <a16:creationId xmlns:a16="http://schemas.microsoft.com/office/drawing/2014/main" id="{6AF240B3-E163-FE92-84F9-EDF8C2EBD2A4}"/>
            </a:ext>
          </a:extLst>
        </cdr:cNvPr>
        <cdr:cNvCxnSpPr/>
      </cdr:nvCxnSpPr>
      <cdr:spPr bwMode="auto">
        <a:xfrm xmlns:a="http://schemas.openxmlformats.org/drawingml/2006/main" flipV="1">
          <a:off x="5092039" y="52944"/>
          <a:ext cx="0" cy="223528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1.xml><?xml version="1.0" encoding="utf-8"?>
<c:userShapes xmlns:c="http://schemas.openxmlformats.org/drawingml/2006/chart">
  <cdr:relSizeAnchor xmlns:cdr="http://schemas.openxmlformats.org/drawingml/2006/chartDrawing">
    <cdr:from>
      <cdr:x>0.67636</cdr:x>
      <cdr:y>0.02688</cdr:y>
    </cdr:from>
    <cdr:to>
      <cdr:x>0.67675</cdr:x>
      <cdr:y>0.79465</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5079347" y="69333"/>
          <a:ext cx="2929" cy="198053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0.67365</cdr:x>
      <cdr:y>0.09215</cdr:y>
    </cdr:from>
    <cdr:to>
      <cdr:x>0.67393</cdr:x>
      <cdr:y>0.76536</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5031030" y="274406"/>
          <a:ext cx="2091" cy="200460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0.40727</cdr:x>
      <cdr:y>0.92954</cdr:y>
    </cdr:from>
    <cdr:to>
      <cdr:x>0.48299</cdr:x>
      <cdr:y>1</cdr:y>
    </cdr:to>
    <cdr:sp macro="" textlink="">
      <cdr:nvSpPr>
        <cdr:cNvPr id="4" name="CuadroTexto 1"/>
        <cdr:cNvSpPr txBox="1"/>
      </cdr:nvSpPr>
      <cdr:spPr>
        <a:xfrm xmlns:a="http://schemas.openxmlformats.org/drawingml/2006/main">
          <a:off x="3134203" y="2358019"/>
          <a:ext cx="582718" cy="1787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0.78646</cdr:x>
      <cdr:y>0.92736</cdr:y>
    </cdr:from>
    <cdr:to>
      <cdr:x>0.86217</cdr:x>
      <cdr:y>0.99781</cdr:y>
    </cdr:to>
    <cdr:sp macro="" textlink="">
      <cdr:nvSpPr>
        <cdr:cNvPr id="5" name="CuadroTexto 1"/>
        <cdr:cNvSpPr txBox="1"/>
      </cdr:nvSpPr>
      <cdr:spPr>
        <a:xfrm xmlns:a="http://schemas.openxmlformats.org/drawingml/2006/main">
          <a:off x="5878544" y="2392496"/>
          <a:ext cx="565906" cy="1817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0.67944</cdr:x>
      <cdr:y>0.19085</cdr:y>
    </cdr:from>
    <cdr:to>
      <cdr:x>0.67972</cdr:x>
      <cdr:y>0.86406</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5078546" y="492364"/>
          <a:ext cx="2093" cy="173680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0.68944</cdr:x>
      <cdr:y>0.1917</cdr:y>
    </cdr:from>
    <cdr:to>
      <cdr:x>0.6898</cdr:x>
      <cdr:y>0.87725</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4859379" y="586189"/>
          <a:ext cx="2537" cy="209630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0.7934</cdr:x>
      <cdr:y>0.93276</cdr:y>
    </cdr:from>
    <cdr:to>
      <cdr:x>0.87321</cdr:x>
      <cdr:y>0.99483</cdr:y>
    </cdr:to>
    <cdr:sp macro="" textlink="">
      <cdr:nvSpPr>
        <cdr:cNvPr id="5" name="CuadroTexto 1"/>
        <cdr:cNvSpPr txBox="1"/>
      </cdr:nvSpPr>
      <cdr:spPr>
        <a:xfrm xmlns:a="http://schemas.openxmlformats.org/drawingml/2006/main">
          <a:off x="5592138" y="2852238"/>
          <a:ext cx="562528" cy="189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0.38858</cdr:x>
      <cdr:y>0.93369</cdr:y>
    </cdr:from>
    <cdr:to>
      <cdr:x>0.46839</cdr:x>
      <cdr:y>0.99577</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2816664" y="2885227"/>
          <a:ext cx="578505" cy="1918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0.39419</cdr:x>
      <cdr:y>0.90162</cdr:y>
    </cdr:from>
    <cdr:to>
      <cdr:x>0.47399</cdr:x>
      <cdr:y>0.96533</cdr:y>
    </cdr:to>
    <cdr:sp macro="" textlink="">
      <cdr:nvSpPr>
        <cdr:cNvPr id="4" name="CuadroTexto 1"/>
        <cdr:cNvSpPr txBox="1"/>
      </cdr:nvSpPr>
      <cdr:spPr>
        <a:xfrm xmlns:a="http://schemas.openxmlformats.org/drawingml/2006/main">
          <a:off x="2857952" y="2735803"/>
          <a:ext cx="578569" cy="193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0.69008</cdr:x>
      <cdr:y>0.14574</cdr:y>
    </cdr:from>
    <cdr:to>
      <cdr:x>0.69064</cdr:x>
      <cdr:y>0.83068</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4860506" y="441632"/>
          <a:ext cx="3937" cy="207551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0.82705</cdr:x>
      <cdr:y>0.90327</cdr:y>
    </cdr:from>
    <cdr:to>
      <cdr:x>0.90686</cdr:x>
      <cdr:y>0.96677</cdr:y>
    </cdr:to>
    <cdr:sp macro="" textlink="">
      <cdr:nvSpPr>
        <cdr:cNvPr id="5" name="CuadroTexto 1"/>
        <cdr:cNvSpPr txBox="1"/>
      </cdr:nvSpPr>
      <cdr:spPr>
        <a:xfrm xmlns:a="http://schemas.openxmlformats.org/drawingml/2006/main">
          <a:off x="5996281" y="2740806"/>
          <a:ext cx="578642" cy="192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4796459</xdr:colOff>
      <xdr:row>10</xdr:row>
      <xdr:rowOff>92903</xdr:rowOff>
    </xdr:from>
    <xdr:to>
      <xdr:col>4</xdr:col>
      <xdr:colOff>4801305</xdr:colOff>
      <xdr:row>22</xdr:row>
      <xdr:rowOff>70009</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6665516" y="1764271"/>
          <a:ext cx="4846" cy="1918049"/>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dejon Concejal, Maria Sonsoles" id="{97FCDB15-5D3F-4A23-BBC4-64F5ED85D352}" userId="S::smadejon@redeia.com::d2e177a6-b674-4dc6-ad15-639f63b0f7a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43" dT="2026-01-07T20:12:08.62" personId="{97FCDB15-5D3F-4A23-BBC4-64F5ED85D352}" id="{515A7600-B470-428E-AF68-440336CB3E64}">
    <text>Actualizar diciembre</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1" t="s">
        <v>290</v>
      </c>
    </row>
    <row r="2" spans="1:2">
      <c r="A2" t="s">
        <v>251</v>
      </c>
    </row>
    <row r="3" spans="1:2">
      <c r="A3" t="s">
        <v>252</v>
      </c>
    </row>
    <row r="4" spans="1:2">
      <c r="A4" t="s">
        <v>228</v>
      </c>
    </row>
    <row r="5" spans="1:2">
      <c r="A5" t="s">
        <v>236</v>
      </c>
    </row>
    <row r="6" spans="1:2">
      <c r="A6" t="s">
        <v>286</v>
      </c>
    </row>
    <row r="7" spans="1:2">
      <c r="A7" t="s">
        <v>287</v>
      </c>
    </row>
    <row r="8" spans="1:2">
      <c r="A8" t="s">
        <v>230</v>
      </c>
    </row>
    <row r="9" spans="1:2">
      <c r="A9" t="s">
        <v>234</v>
      </c>
    </row>
    <row r="10" spans="1:2">
      <c r="A10" t="s">
        <v>244</v>
      </c>
    </row>
    <row r="11" spans="1:2">
      <c r="A11" t="s">
        <v>245</v>
      </c>
    </row>
    <row r="12" spans="1:2">
      <c r="A12" t="s">
        <v>232</v>
      </c>
    </row>
    <row r="13" spans="1:2">
      <c r="A13" t="s">
        <v>253</v>
      </c>
    </row>
    <row r="14" spans="1:2">
      <c r="A14" t="s">
        <v>289</v>
      </c>
    </row>
    <row r="15" spans="1:2">
      <c r="A15" t="s">
        <v>291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topLeftCell="A5" zoomScale="106" zoomScaleNormal="106" workbookViewId="0">
      <selection activeCell="O24" sqref="O24"/>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Abril 2026</v>
      </c>
    </row>
    <row r="4" spans="2:38">
      <c r="B4" s="19" t="s">
        <v>30</v>
      </c>
      <c r="P4" s="63" t="s">
        <v>13</v>
      </c>
      <c r="Q4" s="63" t="s">
        <v>5</v>
      </c>
      <c r="R4" s="63" t="s">
        <v>6</v>
      </c>
      <c r="S4" s="63" t="s">
        <v>7</v>
      </c>
      <c r="T4" s="63" t="s">
        <v>8</v>
      </c>
      <c r="U4" s="63" t="s">
        <v>7</v>
      </c>
      <c r="V4" s="63" t="s">
        <v>9</v>
      </c>
      <c r="W4" s="63" t="s">
        <v>9</v>
      </c>
      <c r="X4" s="63" t="s">
        <v>8</v>
      </c>
      <c r="Y4" s="63" t="s">
        <v>10</v>
      </c>
      <c r="Z4" s="63" t="s">
        <v>11</v>
      </c>
      <c r="AA4" s="63" t="s">
        <v>12</v>
      </c>
      <c r="AB4" s="63" t="s">
        <v>13</v>
      </c>
    </row>
    <row r="5" spans="2:38" s="31" customFormat="1"/>
    <row r="6" spans="2:38" s="31" customFormat="1"/>
    <row r="7" spans="2:38" ht="12.75" customHeight="1">
      <c r="B7" s="218" t="s">
        <v>35</v>
      </c>
      <c r="F7" s="32"/>
      <c r="G7" s="32"/>
      <c r="H7" s="33"/>
      <c r="I7" s="33"/>
      <c r="J7" s="33"/>
      <c r="K7" s="33"/>
      <c r="L7" s="33"/>
      <c r="M7" s="33"/>
      <c r="AC7" s="33"/>
      <c r="AD7" s="33"/>
      <c r="AE7" s="33"/>
      <c r="AF7" s="33"/>
      <c r="AG7" s="33"/>
      <c r="AH7" s="33"/>
      <c r="AI7" s="33"/>
      <c r="AJ7" s="33"/>
      <c r="AK7" s="33"/>
      <c r="AL7" s="33"/>
    </row>
    <row r="8" spans="2:38">
      <c r="B8" s="218"/>
      <c r="F8" s="32"/>
      <c r="G8" s="32"/>
      <c r="H8" s="33"/>
      <c r="I8" s="33"/>
      <c r="J8" s="33"/>
      <c r="K8" s="33"/>
      <c r="L8" s="33"/>
      <c r="M8" s="33"/>
      <c r="AC8" s="33"/>
      <c r="AD8" s="33"/>
      <c r="AE8" s="33"/>
      <c r="AF8" s="33"/>
      <c r="AG8" s="33"/>
      <c r="AH8" s="33"/>
      <c r="AI8" s="33"/>
      <c r="AJ8" s="33"/>
      <c r="AK8" s="33"/>
      <c r="AL8" s="33"/>
    </row>
    <row r="9" spans="2:38">
      <c r="B9" s="47" t="s">
        <v>43</v>
      </c>
      <c r="F9" s="32"/>
      <c r="G9" s="32"/>
    </row>
    <row r="10" spans="2:38">
      <c r="B10" s="218"/>
      <c r="F10" s="32"/>
      <c r="G10" s="32"/>
    </row>
    <row r="11" spans="2:38">
      <c r="B11" s="218"/>
      <c r="F11" s="32"/>
      <c r="G11" s="32"/>
    </row>
    <row r="12" spans="2:38" s="31" customFormat="1">
      <c r="B12" s="218"/>
      <c r="F12" s="32"/>
      <c r="G12" s="32"/>
    </row>
    <row r="13" spans="2:38">
      <c r="B13" s="218"/>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Q19" sqref="Q19"/>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Abril 2026</v>
      </c>
    </row>
    <row r="4" spans="2:37">
      <c r="B4" s="19" t="s">
        <v>30</v>
      </c>
      <c r="O4" s="63" t="s">
        <v>9</v>
      </c>
      <c r="P4" s="63" t="s">
        <v>13</v>
      </c>
      <c r="Q4" s="63" t="s">
        <v>5</v>
      </c>
      <c r="R4" s="63" t="s">
        <v>6</v>
      </c>
      <c r="S4" s="63" t="s">
        <v>7</v>
      </c>
      <c r="T4" s="63" t="s">
        <v>8</v>
      </c>
      <c r="U4" s="63" t="s">
        <v>7</v>
      </c>
      <c r="V4" s="63" t="s">
        <v>9</v>
      </c>
      <c r="W4" s="63" t="s">
        <v>9</v>
      </c>
      <c r="X4" s="63" t="s">
        <v>8</v>
      </c>
      <c r="Y4" s="63" t="s">
        <v>10</v>
      </c>
      <c r="Z4" s="63" t="s">
        <v>11</v>
      </c>
      <c r="AA4" s="63" t="s">
        <v>12</v>
      </c>
    </row>
    <row r="5" spans="2:37" s="31" customFormat="1"/>
    <row r="6" spans="2:37" s="31" customFormat="1"/>
    <row r="7" spans="2:37" ht="12.75" customHeight="1">
      <c r="B7" s="218" t="s">
        <v>205</v>
      </c>
      <c r="F7" s="32"/>
      <c r="G7" s="32"/>
      <c r="H7" s="33"/>
      <c r="I7" s="33"/>
      <c r="J7" s="33"/>
      <c r="K7" s="33"/>
      <c r="L7" s="33"/>
      <c r="M7" s="33"/>
      <c r="AB7" s="33"/>
      <c r="AC7" s="33"/>
      <c r="AD7" s="33"/>
      <c r="AE7" s="33"/>
      <c r="AF7" s="33"/>
      <c r="AG7" s="33"/>
      <c r="AH7" s="33"/>
      <c r="AI7" s="33"/>
      <c r="AJ7" s="33"/>
      <c r="AK7" s="33"/>
    </row>
    <row r="8" spans="2:37">
      <c r="B8" s="218"/>
      <c r="F8" s="32"/>
      <c r="G8" s="32"/>
      <c r="H8" s="33"/>
      <c r="I8" s="33"/>
      <c r="J8" s="33"/>
      <c r="K8" s="33"/>
      <c r="L8" s="33"/>
      <c r="M8" s="33"/>
      <c r="AB8" s="33"/>
      <c r="AC8" s="33"/>
      <c r="AD8" s="33"/>
      <c r="AE8" s="33"/>
      <c r="AF8" s="33"/>
      <c r="AG8" s="33"/>
      <c r="AH8" s="33"/>
      <c r="AI8" s="33"/>
      <c r="AJ8" s="33"/>
      <c r="AK8" s="33"/>
    </row>
    <row r="9" spans="2:37">
      <c r="B9" s="47" t="s">
        <v>130</v>
      </c>
      <c r="F9" s="32"/>
      <c r="G9" s="32"/>
    </row>
    <row r="10" spans="2:37">
      <c r="B10" s="218"/>
      <c r="F10" s="32"/>
      <c r="G10" s="32"/>
    </row>
    <row r="11" spans="2:37" s="31" customFormat="1">
      <c r="B11" s="218"/>
      <c r="F11" s="32"/>
      <c r="G11" s="32"/>
    </row>
    <row r="12" spans="2:37">
      <c r="B12" s="218"/>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3" zoomScaleNormal="93" workbookViewId="0">
      <selection activeCell="R19" sqref="R19"/>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Abril 2026</v>
      </c>
    </row>
    <row r="4" spans="2:37">
      <c r="B4" s="19" t="s">
        <v>30</v>
      </c>
      <c r="O4" s="63" t="s">
        <v>13</v>
      </c>
      <c r="P4" s="63" t="s">
        <v>5</v>
      </c>
      <c r="Q4" s="63" t="s">
        <v>6</v>
      </c>
      <c r="R4" s="63" t="s">
        <v>7</v>
      </c>
      <c r="S4" s="63" t="s">
        <v>8</v>
      </c>
      <c r="T4" s="63" t="s">
        <v>7</v>
      </c>
      <c r="U4" s="63" t="s">
        <v>9</v>
      </c>
      <c r="V4" s="63" t="s">
        <v>9</v>
      </c>
      <c r="W4" s="63" t="s">
        <v>8</v>
      </c>
      <c r="X4" s="63" t="s">
        <v>10</v>
      </c>
      <c r="Y4" s="63" t="s">
        <v>11</v>
      </c>
      <c r="Z4" s="63" t="s">
        <v>12</v>
      </c>
      <c r="AA4" s="63" t="s">
        <v>13</v>
      </c>
    </row>
    <row r="5" spans="2:37" s="31" customFormat="1"/>
    <row r="6" spans="2:37" s="31" customFormat="1"/>
    <row r="7" spans="2:37" ht="12.75" customHeight="1">
      <c r="B7" s="218" t="s">
        <v>64</v>
      </c>
      <c r="F7" s="32"/>
      <c r="G7" s="32"/>
      <c r="H7" s="33"/>
      <c r="I7" s="33"/>
      <c r="J7" s="33"/>
      <c r="K7" s="33"/>
      <c r="L7" s="33"/>
      <c r="M7" s="33"/>
      <c r="AB7" s="33"/>
      <c r="AC7" s="33"/>
      <c r="AD7" s="33"/>
      <c r="AE7" s="33"/>
      <c r="AF7" s="33"/>
      <c r="AG7" s="33"/>
      <c r="AH7" s="33"/>
      <c r="AI7" s="33"/>
      <c r="AJ7" s="33"/>
      <c r="AK7" s="33"/>
    </row>
    <row r="8" spans="2:37">
      <c r="B8" s="218"/>
      <c r="F8" s="32"/>
      <c r="G8" s="32"/>
      <c r="H8" s="33"/>
      <c r="I8" s="33"/>
      <c r="J8" s="33"/>
      <c r="K8" s="33"/>
      <c r="L8" s="33"/>
      <c r="M8" s="33"/>
      <c r="AB8" s="33"/>
      <c r="AC8" s="33"/>
      <c r="AD8" s="33"/>
      <c r="AE8" s="33"/>
      <c r="AF8" s="33"/>
      <c r="AG8" s="33"/>
      <c r="AH8" s="33"/>
      <c r="AI8" s="33"/>
      <c r="AJ8" s="33"/>
      <c r="AK8" s="33"/>
    </row>
    <row r="9" spans="2:37">
      <c r="B9" s="47" t="s">
        <v>43</v>
      </c>
      <c r="F9" s="32"/>
      <c r="G9" s="32"/>
    </row>
    <row r="10" spans="2:37">
      <c r="B10" s="218"/>
      <c r="F10" s="32"/>
      <c r="G10" s="32"/>
    </row>
    <row r="11" spans="2:37" s="31" customFormat="1">
      <c r="B11" s="218"/>
      <c r="F11" s="32"/>
      <c r="G11" s="32"/>
    </row>
    <row r="12" spans="2:37">
      <c r="B12" s="218"/>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68"/>
    </row>
    <row r="21" spans="6:14">
      <c r="F21" s="32"/>
      <c r="G21" s="32"/>
      <c r="N21" s="67"/>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8" zoomScaleNormal="98" workbookViewId="0">
      <selection activeCell="Q27" sqref="Q27"/>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Abril 2026</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43</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18"/>
      <c r="F10" s="32"/>
      <c r="G10" s="32"/>
    </row>
    <row r="11" spans="2:38" s="31" customFormat="1" ht="12.75" customHeight="1">
      <c r="B11" s="218"/>
      <c r="F11" s="32"/>
      <c r="G11" s="32"/>
    </row>
    <row r="12" spans="2:38" ht="12.75" customHeight="1">
      <c r="B12" s="218"/>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98" zoomScaleNormal="98" workbookViewId="0">
      <selection activeCell="P21" sqref="P21"/>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Abril 2026</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218" t="s">
        <v>145</v>
      </c>
      <c r="F7" s="32"/>
      <c r="G7" s="32"/>
      <c r="H7" s="33"/>
      <c r="I7" s="33"/>
      <c r="J7" s="33"/>
      <c r="K7" s="33"/>
      <c r="L7" s="33"/>
      <c r="M7" s="33"/>
      <c r="AC7" s="33"/>
      <c r="AD7" s="33"/>
      <c r="AE7" s="33"/>
      <c r="AF7" s="33"/>
      <c r="AG7" s="33"/>
      <c r="AH7" s="33"/>
      <c r="AI7" s="33"/>
      <c r="AJ7" s="33"/>
      <c r="AK7" s="33"/>
      <c r="AL7" s="33"/>
    </row>
    <row r="8" spans="2:38">
      <c r="B8" s="218"/>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18"/>
      <c r="F10" s="32"/>
      <c r="G10" s="32"/>
    </row>
    <row r="11" spans="2:38" s="31" customFormat="1" ht="12.75" customHeight="1">
      <c r="B11" s="218"/>
      <c r="F11" s="32"/>
      <c r="G11" s="32"/>
    </row>
    <row r="12" spans="2:38" ht="12.75" customHeight="1">
      <c r="B12" s="218"/>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4"/>
      <c r="O35" s="64"/>
      <c r="P35" s="65"/>
      <c r="Q35" s="65"/>
      <c r="R35" s="65"/>
      <c r="S35" s="65"/>
      <c r="T35" s="65"/>
      <c r="U35" s="65"/>
      <c r="V35" s="65"/>
      <c r="W35" s="65"/>
      <c r="X35" s="65"/>
      <c r="Y35" s="65"/>
      <c r="Z35" s="65"/>
      <c r="AA35" s="65"/>
      <c r="AB35" s="65"/>
    </row>
    <row r="36" spans="1:28" ht="12.75" customHeight="1">
      <c r="N36" s="64"/>
    </row>
    <row r="37" spans="1:28" ht="15">
      <c r="N37" s="64"/>
      <c r="Z37" s="64"/>
      <c r="AA37" s="64"/>
      <c r="AB37" s="71"/>
    </row>
    <row r="38" spans="1:28" s="20" customFormat="1" ht="15">
      <c r="A38" s="28"/>
      <c r="B38" s="28"/>
      <c r="N38" s="64"/>
      <c r="O38" s="28"/>
      <c r="P38" s="28"/>
      <c r="Q38" s="28"/>
      <c r="R38" s="28"/>
      <c r="S38" s="28"/>
      <c r="T38" s="28"/>
      <c r="U38" s="28"/>
      <c r="V38" s="28"/>
      <c r="W38" s="28"/>
      <c r="X38" s="28"/>
      <c r="Y38" s="28"/>
      <c r="Z38" s="64"/>
      <c r="AA38" s="64"/>
      <c r="AB38" s="69"/>
    </row>
    <row r="39" spans="1:28" s="20" customFormat="1" ht="15">
      <c r="A39" s="28"/>
      <c r="B39" s="28"/>
      <c r="N39" s="64"/>
      <c r="O39" s="28"/>
      <c r="P39" s="28"/>
      <c r="Q39" s="28"/>
      <c r="R39" s="28"/>
      <c r="S39" s="28"/>
      <c r="T39" s="28"/>
      <c r="U39" s="28"/>
      <c r="V39" s="28"/>
      <c r="W39" s="28"/>
      <c r="X39" s="28"/>
      <c r="Y39" s="28"/>
      <c r="Z39" s="64"/>
      <c r="AA39" s="64"/>
      <c r="AB39" s="69"/>
    </row>
    <row r="40" spans="1:28" s="20" customFormat="1" ht="15">
      <c r="A40" s="28"/>
      <c r="B40" s="28"/>
      <c r="N40" s="64"/>
      <c r="O40" s="28"/>
      <c r="P40" s="28"/>
      <c r="Q40" s="28"/>
      <c r="R40" s="28"/>
      <c r="S40" s="28"/>
      <c r="T40" s="28"/>
      <c r="U40" s="28"/>
      <c r="V40" s="28"/>
      <c r="W40" s="28"/>
      <c r="X40" s="28"/>
      <c r="Y40" s="28"/>
      <c r="Z40" s="64"/>
      <c r="AA40" s="64"/>
      <c r="AB40" s="69"/>
    </row>
    <row r="41" spans="1:28" ht="14.85" customHeight="1">
      <c r="C41" s="221" t="s">
        <v>149</v>
      </c>
      <c r="D41" s="221"/>
      <c r="E41" s="221"/>
      <c r="F41" s="221"/>
      <c r="G41" s="221"/>
      <c r="H41" s="221"/>
      <c r="I41" s="221"/>
      <c r="J41" s="221"/>
      <c r="K41" s="221"/>
      <c r="L41" s="221"/>
      <c r="N41" s="64"/>
      <c r="Z41" s="64"/>
      <c r="AA41" s="64"/>
      <c r="AB41" s="69"/>
    </row>
    <row r="42" spans="1:28" ht="15">
      <c r="C42" s="221"/>
      <c r="D42" s="221"/>
      <c r="E42" s="221"/>
      <c r="F42" s="221"/>
      <c r="G42" s="221"/>
      <c r="H42" s="221"/>
      <c r="I42" s="221"/>
      <c r="J42" s="221"/>
      <c r="K42" s="221"/>
      <c r="L42" s="221"/>
      <c r="N42" s="64"/>
      <c r="Z42" s="64"/>
      <c r="AA42" s="64"/>
      <c r="AB42" s="69"/>
    </row>
    <row r="43" spans="1:28" ht="15">
      <c r="C43" s="132"/>
      <c r="D43" s="132"/>
      <c r="E43" s="132"/>
      <c r="F43" s="132"/>
      <c r="G43" s="132"/>
      <c r="H43" s="132"/>
      <c r="I43" s="132"/>
      <c r="J43" s="132"/>
      <c r="K43" s="132"/>
      <c r="L43" s="132"/>
      <c r="N43" s="64"/>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zoomScaleNormal="100" workbookViewId="0">
      <selection activeCell="P23" sqref="P23"/>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Abril 2026</v>
      </c>
    </row>
    <row r="4" spans="2:37">
      <c r="B4" s="19" t="s">
        <v>30</v>
      </c>
      <c r="O4" s="63" t="s">
        <v>6</v>
      </c>
      <c r="P4" s="63" t="s">
        <v>7</v>
      </c>
      <c r="Q4" s="63" t="s">
        <v>8</v>
      </c>
      <c r="R4" s="63" t="s">
        <v>7</v>
      </c>
      <c r="S4" s="63" t="s">
        <v>9</v>
      </c>
      <c r="T4" s="63" t="s">
        <v>9</v>
      </c>
      <c r="U4" s="63" t="s">
        <v>8</v>
      </c>
      <c r="V4" s="63" t="s">
        <v>10</v>
      </c>
      <c r="W4" s="63" t="s">
        <v>11</v>
      </c>
      <c r="X4" s="63" t="s">
        <v>12</v>
      </c>
      <c r="Y4" s="63" t="s">
        <v>13</v>
      </c>
      <c r="Z4" s="63" t="s">
        <v>5</v>
      </c>
      <c r="AA4" s="63" t="s">
        <v>6</v>
      </c>
    </row>
    <row r="5" spans="2:37" s="31" customFormat="1"/>
    <row r="6" spans="2:37" s="31" customFormat="1"/>
    <row r="7" spans="2:37" ht="12.75" customHeight="1">
      <c r="B7" s="218" t="s">
        <v>146</v>
      </c>
      <c r="F7" s="32"/>
      <c r="G7" s="32"/>
      <c r="H7" s="33"/>
      <c r="I7" s="33"/>
      <c r="J7" s="33"/>
      <c r="K7" s="33"/>
      <c r="L7" s="33"/>
      <c r="M7" s="33"/>
      <c r="AB7" s="33"/>
      <c r="AC7" s="33"/>
      <c r="AD7" s="33"/>
      <c r="AE7" s="33"/>
      <c r="AF7" s="33"/>
      <c r="AG7" s="33"/>
      <c r="AH7" s="33"/>
      <c r="AI7" s="33"/>
      <c r="AJ7" s="33"/>
      <c r="AK7" s="33"/>
    </row>
    <row r="8" spans="2:37">
      <c r="B8" s="218"/>
      <c r="F8" s="32"/>
      <c r="G8" s="32"/>
      <c r="H8" s="33"/>
      <c r="I8" s="33"/>
      <c r="J8" s="33"/>
      <c r="K8" s="33"/>
      <c r="L8" s="33"/>
      <c r="M8" s="33"/>
      <c r="AB8" s="33"/>
      <c r="AC8" s="33"/>
      <c r="AD8" s="33"/>
      <c r="AE8" s="33"/>
      <c r="AF8" s="33"/>
      <c r="AG8" s="33"/>
      <c r="AH8" s="33"/>
      <c r="AI8" s="33"/>
      <c r="AJ8" s="33"/>
      <c r="AK8" s="33"/>
    </row>
    <row r="9" spans="2:37">
      <c r="B9" s="218"/>
      <c r="F9" s="32"/>
      <c r="G9" s="32"/>
    </row>
    <row r="10" spans="2:37" ht="16.5" customHeight="1">
      <c r="B10" s="218"/>
      <c r="F10" s="32"/>
      <c r="G10" s="32"/>
    </row>
    <row r="11" spans="2:37" s="31" customFormat="1">
      <c r="B11" s="47" t="s">
        <v>144</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2"/>
      <c r="P25" s="62"/>
      <c r="Q25" s="62"/>
      <c r="R25" s="62"/>
      <c r="S25" s="62"/>
      <c r="T25" s="62"/>
      <c r="U25" s="62"/>
      <c r="V25" s="62"/>
      <c r="W25" s="62"/>
      <c r="X25" s="62"/>
      <c r="Y25" s="62"/>
      <c r="Z25" s="62"/>
      <c r="AA25" s="62"/>
    </row>
    <row r="26" spans="6:27">
      <c r="F26" s="32"/>
      <c r="G26" s="32"/>
    </row>
    <row r="27" spans="6:27">
      <c r="F27" s="32"/>
      <c r="G27" s="32"/>
    </row>
    <row r="28" spans="6:27">
      <c r="F28" s="32"/>
      <c r="G28" s="32"/>
      <c r="P28" s="66"/>
    </row>
    <row r="29" spans="6:27">
      <c r="F29" s="32"/>
      <c r="G29" s="32"/>
      <c r="P29" s="66"/>
    </row>
    <row r="30" spans="6:27">
      <c r="F30" s="32"/>
      <c r="G30" s="32"/>
      <c r="P30" s="66"/>
    </row>
    <row r="31" spans="6:27">
      <c r="F31" s="32"/>
      <c r="G31" s="32"/>
      <c r="P31" s="66"/>
    </row>
    <row r="32" spans="6:27">
      <c r="F32" s="32"/>
      <c r="G32" s="32"/>
      <c r="P32" s="66"/>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topLeftCell="A5" zoomScale="106" zoomScaleNormal="106" workbookViewId="0">
      <selection activeCell="O32" sqref="O32"/>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Abril 2026</v>
      </c>
    </row>
    <row r="4" spans="2:38">
      <c r="B4" s="19" t="s">
        <v>30</v>
      </c>
      <c r="P4" s="63"/>
      <c r="Q4" s="63"/>
      <c r="R4" s="63"/>
      <c r="S4" s="63"/>
      <c r="T4" s="63"/>
      <c r="U4" s="63"/>
      <c r="V4" s="63"/>
      <c r="W4" s="63"/>
      <c r="X4" s="63"/>
      <c r="Y4" s="63"/>
      <c r="Z4" s="63"/>
      <c r="AA4" s="63"/>
    </row>
    <row r="5" spans="2:38" s="31" customFormat="1"/>
    <row r="6" spans="2:38" s="31" customFormat="1"/>
    <row r="7" spans="2:38" ht="12.75" customHeight="1">
      <c r="B7" s="218" t="s">
        <v>24</v>
      </c>
      <c r="F7" s="32"/>
      <c r="G7" s="32"/>
      <c r="H7" s="33"/>
      <c r="I7" s="33"/>
      <c r="J7" s="33"/>
      <c r="K7" s="33"/>
      <c r="L7" s="33"/>
      <c r="M7" s="33"/>
      <c r="AC7" s="33"/>
      <c r="AD7" s="33"/>
      <c r="AE7" s="33"/>
      <c r="AF7" s="33"/>
      <c r="AG7" s="33"/>
      <c r="AH7" s="33"/>
      <c r="AI7" s="33"/>
      <c r="AJ7" s="33"/>
      <c r="AK7" s="33"/>
      <c r="AL7" s="33"/>
    </row>
    <row r="8" spans="2:38">
      <c r="B8" s="218"/>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18"/>
      <c r="F10" s="32"/>
      <c r="G10" s="32"/>
    </row>
    <row r="11" spans="2:38" s="31" customFormat="1" ht="12.75" customHeight="1">
      <c r="B11" s="218"/>
      <c r="F11" s="32"/>
      <c r="G11" s="32"/>
    </row>
    <row r="12" spans="2:38" ht="12.75" customHeight="1">
      <c r="B12" s="218"/>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4"/>
      <c r="AA48" s="64"/>
      <c r="AB48" s="69"/>
    </row>
    <row r="49" spans="10:28" ht="15">
      <c r="Z49" s="64"/>
      <c r="AA49" s="64"/>
      <c r="AB49" s="69"/>
    </row>
    <row r="50" spans="10:28" ht="15">
      <c r="Z50" s="64"/>
      <c r="AA50" s="64"/>
      <c r="AB50" s="69"/>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0"/>
  <sheetViews>
    <sheetView tabSelected="1" topLeftCell="S1" zoomScale="85" zoomScaleNormal="85" workbookViewId="0">
      <selection activeCell="AI8" sqref="AI8"/>
    </sheetView>
  </sheetViews>
  <sheetFormatPr baseColWidth="10" defaultColWidth="16.28515625" defaultRowHeight="12.75"/>
  <cols>
    <col min="1" max="15" width="15.7109375" customWidth="1"/>
    <col min="16" max="16" width="10.7109375" bestFit="1" customWidth="1"/>
    <col min="17" max="17" width="4.85546875" bestFit="1" customWidth="1"/>
    <col min="18" max="18" width="5.7109375" bestFit="1" customWidth="1"/>
    <col min="19" max="21" width="4.85546875" bestFit="1" customWidth="1"/>
    <col min="22" max="25" width="5.7109375" bestFit="1" customWidth="1"/>
    <col min="26" max="26" width="6.85546875" bestFit="1" customWidth="1"/>
    <col min="27" max="27" width="7.140625" bestFit="1" customWidth="1"/>
    <col min="28" max="28" width="8.7109375" bestFit="1" customWidth="1"/>
    <col min="29" max="29" width="8.85546875" bestFit="1" customWidth="1"/>
    <col min="30" max="30" width="21.140625" bestFit="1" customWidth="1"/>
    <col min="31" max="32" width="7" bestFit="1" customWidth="1"/>
    <col min="33" max="33" width="31.85546875" bestFit="1" customWidth="1"/>
    <col min="35" max="35" width="19.5703125" bestFit="1" customWidth="1"/>
    <col min="37" max="37" width="32.7109375" bestFit="1" customWidth="1"/>
    <col min="39" max="39" width="20.140625" bestFit="1" customWidth="1"/>
    <col min="40" max="40" width="7.5703125" bestFit="1" customWidth="1"/>
    <col min="43" max="43" width="3" bestFit="1" customWidth="1"/>
  </cols>
  <sheetData>
    <row r="1" spans="1:43" ht="14.25">
      <c r="A1" s="112" t="s">
        <v>122</v>
      </c>
    </row>
    <row r="2" spans="1:43" ht="14.25">
      <c r="A2" s="116" t="str">
        <f>MID(B5,6,LEN(B5))&amp;" "&amp;MID(B5,1,4)</f>
        <v>Abril 2026</v>
      </c>
      <c r="D2" s="62"/>
    </row>
    <row r="4" spans="1:43">
      <c r="A4" s="121" t="s">
        <v>27</v>
      </c>
      <c r="B4" s="224" t="s">
        <v>87</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row>
    <row r="5" spans="1:43">
      <c r="A5" s="121" t="s">
        <v>86</v>
      </c>
      <c r="B5" s="247" t="s">
        <v>285</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row>
    <row r="6" spans="1:43">
      <c r="A6" s="121" t="s">
        <v>114</v>
      </c>
      <c r="B6" s="144" t="s">
        <v>90</v>
      </c>
      <c r="C6" s="144" t="s">
        <v>91</v>
      </c>
      <c r="D6" s="144" t="s">
        <v>92</v>
      </c>
      <c r="E6" s="144" t="s">
        <v>93</v>
      </c>
      <c r="F6" s="144" t="s">
        <v>94</v>
      </c>
      <c r="G6" s="144" t="s">
        <v>95</v>
      </c>
      <c r="H6" s="144" t="s">
        <v>96</v>
      </c>
      <c r="I6" s="144" t="s">
        <v>97</v>
      </c>
      <c r="J6" s="144" t="s">
        <v>98</v>
      </c>
      <c r="K6" s="144" t="s">
        <v>99</v>
      </c>
      <c r="L6" s="144" t="s">
        <v>100</v>
      </c>
      <c r="M6" s="144" t="s">
        <v>101</v>
      </c>
      <c r="N6" s="144" t="s">
        <v>102</v>
      </c>
      <c r="O6" s="144" t="s">
        <v>103</v>
      </c>
      <c r="P6" s="144" t="s">
        <v>104</v>
      </c>
      <c r="Q6" s="144" t="s">
        <v>105</v>
      </c>
      <c r="R6" s="144" t="s">
        <v>106</v>
      </c>
      <c r="S6" s="144" t="s">
        <v>107</v>
      </c>
      <c r="T6" s="144" t="s">
        <v>108</v>
      </c>
      <c r="U6" s="144" t="s">
        <v>109</v>
      </c>
      <c r="V6" s="144" t="s">
        <v>110</v>
      </c>
      <c r="W6" s="144" t="s">
        <v>111</v>
      </c>
      <c r="X6" s="144" t="s">
        <v>112</v>
      </c>
      <c r="Y6" s="144" t="s">
        <v>113</v>
      </c>
      <c r="Z6" s="209">
        <v>25</v>
      </c>
      <c r="AA6" s="209" t="s">
        <v>88</v>
      </c>
      <c r="AB6" s="209" t="s">
        <v>89</v>
      </c>
      <c r="AC6" s="209" t="s">
        <v>187</v>
      </c>
    </row>
    <row r="7" spans="1:43">
      <c r="A7" s="121" t="s">
        <v>123</v>
      </c>
      <c r="B7" s="142"/>
      <c r="C7" s="142"/>
      <c r="D7" s="142"/>
      <c r="E7" s="142"/>
      <c r="F7" s="142"/>
      <c r="G7" s="142"/>
      <c r="H7" s="142"/>
      <c r="I7" s="142"/>
      <c r="J7" s="142"/>
      <c r="K7" s="142"/>
      <c r="L7" s="142"/>
      <c r="M7" s="142"/>
      <c r="N7" s="142"/>
      <c r="O7" s="142"/>
      <c r="P7" s="142"/>
      <c r="Q7" s="142"/>
      <c r="R7" s="142"/>
      <c r="S7" s="142"/>
      <c r="T7" s="142"/>
      <c r="U7" s="142"/>
      <c r="V7" s="142"/>
      <c r="W7" s="142"/>
      <c r="X7" s="142"/>
      <c r="Y7" s="142"/>
      <c r="Z7" s="210"/>
      <c r="AA7" s="210"/>
      <c r="AB7" s="210"/>
      <c r="AC7" s="210"/>
      <c r="AD7" t="s">
        <v>167</v>
      </c>
      <c r="AG7" t="s">
        <v>176</v>
      </c>
      <c r="AI7" t="s">
        <v>177</v>
      </c>
      <c r="AK7" t="s">
        <v>180</v>
      </c>
      <c r="AM7" t="s">
        <v>181</v>
      </c>
      <c r="AN7" t="s">
        <v>218</v>
      </c>
    </row>
    <row r="8" spans="1:43">
      <c r="A8" s="123" t="s">
        <v>255</v>
      </c>
      <c r="B8" s="211">
        <v>7.3460346631000002</v>
      </c>
      <c r="C8" s="211">
        <v>5.2039047245000001</v>
      </c>
      <c r="D8" s="211">
        <v>5.3086596128999997</v>
      </c>
      <c r="E8" s="211">
        <v>5.41</v>
      </c>
      <c r="F8" s="211">
        <v>4.9354503330000004</v>
      </c>
      <c r="G8" s="211">
        <v>5.4559782586000001</v>
      </c>
      <c r="H8" s="211">
        <v>7.0805670547000004</v>
      </c>
      <c r="I8" s="211">
        <v>13.1010880765</v>
      </c>
      <c r="J8" s="211">
        <v>6.7969016361000003</v>
      </c>
      <c r="K8" s="211">
        <v>1.6137356643</v>
      </c>
      <c r="L8" s="211">
        <v>-0.67747757549999998</v>
      </c>
      <c r="M8" s="211">
        <v>-2.0045522938000002</v>
      </c>
      <c r="N8" s="211">
        <v>-2.1</v>
      </c>
      <c r="O8" s="211">
        <v>-2.4922364141000002</v>
      </c>
      <c r="P8" s="211">
        <v>-3.8746176010000002</v>
      </c>
      <c r="Q8" s="211">
        <v>-4</v>
      </c>
      <c r="R8" s="211">
        <v>-4</v>
      </c>
      <c r="S8" s="211">
        <v>-2.3222723409000001</v>
      </c>
      <c r="T8" s="211">
        <v>-0.49356711110000001</v>
      </c>
      <c r="U8" s="211">
        <v>3.1139878125</v>
      </c>
      <c r="V8" s="211">
        <v>17.655764233100001</v>
      </c>
      <c r="W8" s="182">
        <v>35.017484680800003</v>
      </c>
      <c r="X8" s="211">
        <v>18.464722477599999</v>
      </c>
      <c r="Y8" s="211">
        <v>9.2709266786000004</v>
      </c>
      <c r="Z8" s="215"/>
      <c r="AA8" s="212">
        <v>-4</v>
      </c>
      <c r="AB8" s="212">
        <v>35.017484680800003</v>
      </c>
      <c r="AC8" s="212">
        <v>5.0207399844999996</v>
      </c>
      <c r="AD8" s="157">
        <v>42.444170833299999</v>
      </c>
      <c r="AE8" s="170"/>
      <c r="AF8" s="168"/>
      <c r="AG8" s="164">
        <v>26.809138888888892</v>
      </c>
      <c r="AI8" s="168">
        <f>AD8/AG8-1</f>
        <v>0.58319784194527347</v>
      </c>
      <c r="AK8" s="164">
        <v>41.766621803500001</v>
      </c>
      <c r="AM8" s="168">
        <f>AD8/AK8-1</f>
        <v>1.6222260756152851E-2</v>
      </c>
      <c r="AN8" s="62">
        <f>AB8-AA8</f>
        <v>39.017484680800003</v>
      </c>
      <c r="AQ8" s="118">
        <v>1</v>
      </c>
    </row>
    <row r="9" spans="1:43">
      <c r="A9" s="123" t="s">
        <v>256</v>
      </c>
      <c r="B9" s="211">
        <v>10.2409263166</v>
      </c>
      <c r="C9" s="211">
        <v>7.2675227724000004</v>
      </c>
      <c r="D9" s="211">
        <v>5.4556972075000001</v>
      </c>
      <c r="E9" s="211">
        <v>5.5007489667999998</v>
      </c>
      <c r="F9" s="211">
        <v>5.4552716137999999</v>
      </c>
      <c r="G9" s="211">
        <v>5.6486067474999997</v>
      </c>
      <c r="H9" s="211">
        <v>5.8776030260000001</v>
      </c>
      <c r="I9" s="211">
        <v>8.6647468643999996</v>
      </c>
      <c r="J9" s="211">
        <v>4.4340095841</v>
      </c>
      <c r="K9" s="211">
        <v>0.2502120779</v>
      </c>
      <c r="L9" s="211">
        <v>-0.78634061639999997</v>
      </c>
      <c r="M9" s="211">
        <v>-2.0747650375000002</v>
      </c>
      <c r="N9" s="211">
        <v>-2.8025829621999998</v>
      </c>
      <c r="O9" s="211">
        <v>-3.4248190654999999</v>
      </c>
      <c r="P9" s="211">
        <v>-4</v>
      </c>
      <c r="Q9" s="211">
        <v>-5</v>
      </c>
      <c r="R9" s="211">
        <v>-5</v>
      </c>
      <c r="S9" s="211">
        <v>-3.9976334025</v>
      </c>
      <c r="T9" s="211">
        <v>-0.73439012329999998</v>
      </c>
      <c r="U9" s="211">
        <v>1.2620799973000001</v>
      </c>
      <c r="V9" s="211">
        <v>15.8484093889</v>
      </c>
      <c r="W9" s="182">
        <v>35.012524333499996</v>
      </c>
      <c r="X9" s="182">
        <v>25.966137068799998</v>
      </c>
      <c r="Y9" s="211">
        <v>11.232030098299999</v>
      </c>
      <c r="Z9" s="215"/>
      <c r="AA9" s="212">
        <v>-5</v>
      </c>
      <c r="AB9" s="212">
        <v>35.012524333499996</v>
      </c>
      <c r="AC9" s="212">
        <v>4.8619201326999999</v>
      </c>
      <c r="AD9" s="62"/>
      <c r="AN9" s="62">
        <f t="shared" ref="AN9:AN37" si="0">AB9-AA9</f>
        <v>40.012524333499996</v>
      </c>
      <c r="AQ9" s="118">
        <v>2</v>
      </c>
    </row>
    <row r="10" spans="1:43">
      <c r="A10" s="123" t="s">
        <v>257</v>
      </c>
      <c r="B10" s="211">
        <v>13.919076905400001</v>
      </c>
      <c r="C10" s="211">
        <v>11.881440699000001</v>
      </c>
      <c r="D10" s="211">
        <v>11.2203033724</v>
      </c>
      <c r="E10" s="211">
        <v>12.1155799572</v>
      </c>
      <c r="F10" s="211">
        <v>11.9397320533</v>
      </c>
      <c r="G10" s="211">
        <v>12.573976464199999</v>
      </c>
      <c r="H10" s="211">
        <v>13.120331915</v>
      </c>
      <c r="I10" s="211">
        <v>15.5864805998</v>
      </c>
      <c r="J10" s="211">
        <v>6.9626079492999997</v>
      </c>
      <c r="K10" s="211">
        <v>0.16430626370000001</v>
      </c>
      <c r="L10" s="211">
        <v>-1.3385093373000001</v>
      </c>
      <c r="M10" s="211">
        <v>-2.3236543653999999</v>
      </c>
      <c r="N10" s="211">
        <v>-4</v>
      </c>
      <c r="O10" s="211">
        <v>-4</v>
      </c>
      <c r="P10" s="211">
        <v>-4.6224709893</v>
      </c>
      <c r="Q10" s="211">
        <v>-5</v>
      </c>
      <c r="R10" s="211">
        <v>-5</v>
      </c>
      <c r="S10" s="211">
        <v>-3.4533503591999999</v>
      </c>
      <c r="T10" s="211">
        <v>-0.56741652220000005</v>
      </c>
      <c r="U10" s="211">
        <v>5.4591952927999996</v>
      </c>
      <c r="V10" s="213">
        <v>49.734063155000001</v>
      </c>
      <c r="W10" s="213">
        <v>80.679461737400004</v>
      </c>
      <c r="X10" s="213">
        <v>78.081813741299996</v>
      </c>
      <c r="Y10" s="213">
        <v>54.007824124300001</v>
      </c>
      <c r="Z10" s="215"/>
      <c r="AA10" s="212">
        <v>-5</v>
      </c>
      <c r="AB10" s="212">
        <v>80.679461737400004</v>
      </c>
      <c r="AC10" s="212">
        <v>13.9716100624</v>
      </c>
      <c r="AN10" s="62">
        <f t="shared" si="0"/>
        <v>85.679461737400004</v>
      </c>
      <c r="AQ10" s="118">
        <v>3</v>
      </c>
    </row>
    <row r="11" spans="1:43">
      <c r="A11" s="123" t="s">
        <v>258</v>
      </c>
      <c r="B11" s="182">
        <v>28.947223021399999</v>
      </c>
      <c r="C11" s="211">
        <v>23.189933353699999</v>
      </c>
      <c r="D11" s="182">
        <v>27.549488715599999</v>
      </c>
      <c r="E11" s="182">
        <v>28.124914088099999</v>
      </c>
      <c r="F11" s="182">
        <v>29.708420296500002</v>
      </c>
      <c r="G11" s="182">
        <v>30.452796814100001</v>
      </c>
      <c r="H11" s="182">
        <v>33.845939400600003</v>
      </c>
      <c r="I11" s="182">
        <v>35.0075597007</v>
      </c>
      <c r="J11" s="182">
        <v>30.2866584997</v>
      </c>
      <c r="K11" s="211">
        <v>9.4344510022999994</v>
      </c>
      <c r="L11" s="211">
        <v>-0.41112739840000001</v>
      </c>
      <c r="M11" s="211">
        <v>-1.7747254587000001</v>
      </c>
      <c r="N11" s="211">
        <v>-2.1</v>
      </c>
      <c r="O11" s="211">
        <v>-2.1</v>
      </c>
      <c r="P11" s="211">
        <v>-2.1</v>
      </c>
      <c r="Q11" s="211">
        <v>-2.1</v>
      </c>
      <c r="R11" s="211">
        <v>-2.5002260834999999</v>
      </c>
      <c r="S11" s="211">
        <v>-1.0242567755</v>
      </c>
      <c r="T11" s="211">
        <v>0.33187793469999999</v>
      </c>
      <c r="U11" s="211">
        <v>23.084255318699999</v>
      </c>
      <c r="V11" s="182">
        <v>41.9565629242</v>
      </c>
      <c r="W11" s="213">
        <v>77.021509246899996</v>
      </c>
      <c r="X11" s="213">
        <v>60.101480884899999</v>
      </c>
      <c r="Y11" s="182">
        <v>43.196664653100001</v>
      </c>
      <c r="Z11" s="215"/>
      <c r="AA11" s="212">
        <v>-2.5002260834999999</v>
      </c>
      <c r="AB11" s="212">
        <v>77.021509246899996</v>
      </c>
      <c r="AC11" s="212">
        <v>18.912148481999999</v>
      </c>
      <c r="AN11" s="62">
        <f t="shared" si="0"/>
        <v>79.521735330399991</v>
      </c>
      <c r="AQ11" s="118">
        <v>4</v>
      </c>
    </row>
    <row r="12" spans="1:43">
      <c r="A12" s="123" t="s">
        <v>259</v>
      </c>
      <c r="B12" s="182">
        <v>44.930586606699997</v>
      </c>
      <c r="C12" s="182">
        <v>35.015139974900002</v>
      </c>
      <c r="D12" s="182">
        <v>35.005079587899999</v>
      </c>
      <c r="E12" s="182">
        <v>35.007531767400003</v>
      </c>
      <c r="F12" s="182">
        <v>35</v>
      </c>
      <c r="G12" s="182">
        <v>35</v>
      </c>
      <c r="H12" s="182">
        <v>35.005069544900003</v>
      </c>
      <c r="I12" s="182">
        <v>35.01</v>
      </c>
      <c r="J12" s="182">
        <v>29.615833515599999</v>
      </c>
      <c r="K12" s="211">
        <v>1.8001443938999999</v>
      </c>
      <c r="L12" s="211">
        <v>-1.8036201538000001</v>
      </c>
      <c r="M12" s="211">
        <v>-3.5315769824999999</v>
      </c>
      <c r="N12" s="211">
        <v>-5.7271858888000002</v>
      </c>
      <c r="O12" s="211">
        <v>-5.6140024173</v>
      </c>
      <c r="P12" s="211">
        <v>-6.2455013946999998</v>
      </c>
      <c r="Q12" s="211">
        <v>-7.51</v>
      </c>
      <c r="R12" s="211">
        <v>-7.51</v>
      </c>
      <c r="S12" s="211">
        <v>-4.2700003065000001</v>
      </c>
      <c r="T12" s="211">
        <v>-0.67936164499999996</v>
      </c>
      <c r="U12" s="211">
        <v>14.4380934203</v>
      </c>
      <c r="V12" s="213">
        <v>53.706049757999999</v>
      </c>
      <c r="W12" s="213">
        <v>75.384138289800006</v>
      </c>
      <c r="X12" s="213">
        <v>75.979473099200007</v>
      </c>
      <c r="Y12" s="213">
        <v>55.6877349807</v>
      </c>
      <c r="Z12" s="215"/>
      <c r="AA12" s="212">
        <v>-7.51</v>
      </c>
      <c r="AB12" s="212">
        <v>75.979473099200007</v>
      </c>
      <c r="AC12" s="212">
        <v>20.797058466500001</v>
      </c>
      <c r="AN12" s="62">
        <f t="shared" si="0"/>
        <v>83.489473099200012</v>
      </c>
      <c r="AQ12" s="118">
        <v>5</v>
      </c>
    </row>
    <row r="13" spans="1:43">
      <c r="A13" s="123" t="s">
        <v>260</v>
      </c>
      <c r="B13" s="213">
        <v>45.575733976899997</v>
      </c>
      <c r="C13" s="182">
        <v>38.610081131699999</v>
      </c>
      <c r="D13" s="182">
        <v>35.579525604200001</v>
      </c>
      <c r="E13" s="182">
        <v>34.931118356299997</v>
      </c>
      <c r="F13" s="182">
        <v>33.891776095300003</v>
      </c>
      <c r="G13" s="182">
        <v>34.500011592699998</v>
      </c>
      <c r="H13" s="182">
        <v>35.010242639300003</v>
      </c>
      <c r="I13" s="182">
        <v>35.017483565600003</v>
      </c>
      <c r="J13" s="182">
        <v>28.293789888300001</v>
      </c>
      <c r="K13" s="211">
        <v>5.7209590196000004</v>
      </c>
      <c r="L13" s="211">
        <v>-1.7033476701000001</v>
      </c>
      <c r="M13" s="211">
        <v>-4.2494148814999999</v>
      </c>
      <c r="N13" s="211">
        <v>-6</v>
      </c>
      <c r="O13" s="211">
        <v>-6</v>
      </c>
      <c r="P13" s="211">
        <v>-6</v>
      </c>
      <c r="Q13" s="211">
        <v>-6</v>
      </c>
      <c r="R13" s="211">
        <v>-5.7475016416000004</v>
      </c>
      <c r="S13" s="211">
        <v>-2.7026853750000002</v>
      </c>
      <c r="T13" s="211">
        <v>0.2397441729</v>
      </c>
      <c r="U13" s="211">
        <v>19.257162335899999</v>
      </c>
      <c r="V13" s="182">
        <v>40.362893310700002</v>
      </c>
      <c r="W13" s="213">
        <v>45.138706201300003</v>
      </c>
      <c r="X13" s="182">
        <v>36.900176850599998</v>
      </c>
      <c r="Y13" s="182">
        <v>35.1365819906</v>
      </c>
      <c r="Z13" s="215"/>
      <c r="AA13" s="212">
        <v>-6</v>
      </c>
      <c r="AB13" s="212">
        <v>45.575733976899997</v>
      </c>
      <c r="AC13" s="212">
        <v>17.756290558100002</v>
      </c>
      <c r="AN13" s="62">
        <f t="shared" si="0"/>
        <v>51.575733976899997</v>
      </c>
      <c r="AQ13" s="118">
        <v>6</v>
      </c>
    </row>
    <row r="14" spans="1:43">
      <c r="A14" s="123" t="s">
        <v>261</v>
      </c>
      <c r="B14" s="182">
        <v>32.390635621500003</v>
      </c>
      <c r="C14" s="182">
        <v>29.1956765324</v>
      </c>
      <c r="D14" s="211">
        <v>23.558957805199999</v>
      </c>
      <c r="E14" s="211">
        <v>22.594530602700001</v>
      </c>
      <c r="F14" s="211">
        <v>23.424878281600002</v>
      </c>
      <c r="G14" s="182">
        <v>30.9731808477</v>
      </c>
      <c r="H14" s="182">
        <v>43.054160413200002</v>
      </c>
      <c r="I14" s="213">
        <v>63.657196842200001</v>
      </c>
      <c r="J14" s="182">
        <v>39.364267910800002</v>
      </c>
      <c r="K14" s="182">
        <v>29.471196843600001</v>
      </c>
      <c r="L14" s="211">
        <v>5.2510411808999997</v>
      </c>
      <c r="M14" s="211">
        <v>0.69043697550000005</v>
      </c>
      <c r="N14" s="214">
        <v>0</v>
      </c>
      <c r="O14" s="214">
        <v>0</v>
      </c>
      <c r="P14" s="214">
        <v>0</v>
      </c>
      <c r="Q14" s="214">
        <v>0</v>
      </c>
      <c r="R14" s="211">
        <v>0.27732520859999998</v>
      </c>
      <c r="S14" s="211">
        <v>3.8070094021999998</v>
      </c>
      <c r="T14" s="182">
        <v>26.916027751400001</v>
      </c>
      <c r="U14" s="213">
        <v>50.025167722399999</v>
      </c>
      <c r="V14" s="213">
        <v>91.679706677400006</v>
      </c>
      <c r="W14" s="213">
        <v>118.20572718610001</v>
      </c>
      <c r="X14" s="213">
        <v>89.300497447799998</v>
      </c>
      <c r="Y14" s="213">
        <v>79.435572530100004</v>
      </c>
      <c r="Z14" s="215"/>
      <c r="AA14" s="212">
        <v>0</v>
      </c>
      <c r="AB14" s="212">
        <v>118.20572718610001</v>
      </c>
      <c r="AC14" s="212">
        <v>30.4609241858</v>
      </c>
      <c r="AN14" s="62">
        <f t="shared" si="0"/>
        <v>118.20572718610001</v>
      </c>
      <c r="AQ14" s="118">
        <v>7</v>
      </c>
    </row>
    <row r="15" spans="1:43">
      <c r="A15" s="123" t="s">
        <v>262</v>
      </c>
      <c r="B15" s="213">
        <v>70.185319340299998</v>
      </c>
      <c r="C15" s="213">
        <v>60.707369418399999</v>
      </c>
      <c r="D15" s="213">
        <v>61.395337970500002</v>
      </c>
      <c r="E15" s="213">
        <v>58.964304006500001</v>
      </c>
      <c r="F15" s="213">
        <v>59.316014882499999</v>
      </c>
      <c r="G15" s="213">
        <v>63.346849984099997</v>
      </c>
      <c r="H15" s="213">
        <v>85.187329825700004</v>
      </c>
      <c r="I15" s="213">
        <v>109.2983029989</v>
      </c>
      <c r="J15" s="213">
        <v>123.6669223486</v>
      </c>
      <c r="K15" s="213">
        <v>85.482561513299999</v>
      </c>
      <c r="L15" s="213">
        <v>56.396770997099999</v>
      </c>
      <c r="M15" s="182">
        <v>29.041948919500001</v>
      </c>
      <c r="N15" s="211">
        <v>12.563495359199999</v>
      </c>
      <c r="O15" s="211">
        <v>4.4451529356000004</v>
      </c>
      <c r="P15" s="211">
        <v>3.0249597603999998</v>
      </c>
      <c r="Q15" s="211">
        <v>2.1176302719</v>
      </c>
      <c r="R15" s="211">
        <v>3.2211180008000002</v>
      </c>
      <c r="S15" s="211">
        <v>13.8532129508</v>
      </c>
      <c r="T15" s="213">
        <v>46.6966593008</v>
      </c>
      <c r="U15" s="213">
        <v>90.144676016800005</v>
      </c>
      <c r="V15" s="213">
        <v>129.13827032949999</v>
      </c>
      <c r="W15" s="213">
        <v>136.36904443419999</v>
      </c>
      <c r="X15" s="213">
        <v>114.30825480350001</v>
      </c>
      <c r="Y15" s="213">
        <v>96.307850704399996</v>
      </c>
      <c r="Z15" s="215"/>
      <c r="AA15" s="212">
        <v>2.1176302719</v>
      </c>
      <c r="AB15" s="212">
        <v>136.36904443419999</v>
      </c>
      <c r="AC15" s="212">
        <v>56.461479758199999</v>
      </c>
      <c r="AN15" s="62">
        <f t="shared" si="0"/>
        <v>134.25141416229999</v>
      </c>
      <c r="AQ15" s="118">
        <v>8</v>
      </c>
    </row>
    <row r="16" spans="1:43">
      <c r="A16" s="123" t="s">
        <v>263</v>
      </c>
      <c r="B16" s="213">
        <v>95.343236538699998</v>
      </c>
      <c r="C16" s="213">
        <v>90.844617400199994</v>
      </c>
      <c r="D16" s="213">
        <v>80.694306870999995</v>
      </c>
      <c r="E16" s="213">
        <v>75.937522542300002</v>
      </c>
      <c r="F16" s="213">
        <v>74.172348789300003</v>
      </c>
      <c r="G16" s="213">
        <v>76.245912649299996</v>
      </c>
      <c r="H16" s="213">
        <v>93.934193035800007</v>
      </c>
      <c r="I16" s="213">
        <v>129.79297789899999</v>
      </c>
      <c r="J16" s="213">
        <v>99.308647281500001</v>
      </c>
      <c r="K16" s="213">
        <v>73.556340142899998</v>
      </c>
      <c r="L16" s="211">
        <v>24.380080794800001</v>
      </c>
      <c r="M16" s="211">
        <v>0.74677428170000004</v>
      </c>
      <c r="N16" s="211">
        <v>-6.4118813699999999E-2</v>
      </c>
      <c r="O16" s="211">
        <v>-0.62646389869999997</v>
      </c>
      <c r="P16" s="211">
        <v>-0.82</v>
      </c>
      <c r="Q16" s="211">
        <v>-0.84793480269999999</v>
      </c>
      <c r="R16" s="211">
        <v>-0.20588903080000001</v>
      </c>
      <c r="S16" s="211">
        <v>-2.2367070000000001E-3</v>
      </c>
      <c r="T16" s="211">
        <v>11.938163534999999</v>
      </c>
      <c r="U16" s="213">
        <v>57.083117528499997</v>
      </c>
      <c r="V16" s="213">
        <v>78.0814892872</v>
      </c>
      <c r="W16" s="213">
        <v>83.905231815999997</v>
      </c>
      <c r="X16" s="213">
        <v>69.598329430999996</v>
      </c>
      <c r="Y16" s="213">
        <v>62.167658245600002</v>
      </c>
      <c r="Z16" s="215"/>
      <c r="AA16" s="212">
        <v>-0.84793480269999999</v>
      </c>
      <c r="AB16" s="212">
        <v>129.79297789899999</v>
      </c>
      <c r="AC16" s="212">
        <v>46.156333531500003</v>
      </c>
      <c r="AN16" s="62">
        <f t="shared" si="0"/>
        <v>130.64091270169999</v>
      </c>
      <c r="AQ16" s="118">
        <v>9</v>
      </c>
    </row>
    <row r="17" spans="1:43">
      <c r="A17" s="123" t="s">
        <v>264</v>
      </c>
      <c r="B17" s="213">
        <v>48.140788159700001</v>
      </c>
      <c r="C17" s="182">
        <v>39.487997071899997</v>
      </c>
      <c r="D17" s="182">
        <v>39.800276905600001</v>
      </c>
      <c r="E17" s="182">
        <v>39.799720663999999</v>
      </c>
      <c r="F17" s="182">
        <v>39.862968648299997</v>
      </c>
      <c r="G17" s="182">
        <v>42.536787607599997</v>
      </c>
      <c r="H17" s="213">
        <v>61.7682674331</v>
      </c>
      <c r="I17" s="213">
        <v>85.970247744700004</v>
      </c>
      <c r="J17" s="213">
        <v>85.904336718099998</v>
      </c>
      <c r="K17" s="213">
        <v>61.294984215699998</v>
      </c>
      <c r="L17" s="211">
        <v>17.855418582599999</v>
      </c>
      <c r="M17" s="211">
        <v>1.8088982924000001</v>
      </c>
      <c r="N17" s="211">
        <v>0.2887930917</v>
      </c>
      <c r="O17" s="211">
        <v>2.5289315000000001E-3</v>
      </c>
      <c r="P17" s="211">
        <v>2.5191142999999999E-3</v>
      </c>
      <c r="Q17" s="211">
        <v>4.9965855999999998E-3</v>
      </c>
      <c r="R17" s="211">
        <v>0.2159143365</v>
      </c>
      <c r="S17" s="211">
        <v>5.9493699501000004</v>
      </c>
      <c r="T17" s="182">
        <v>36.178265826900002</v>
      </c>
      <c r="U17" s="213">
        <v>71.431254416399995</v>
      </c>
      <c r="V17" s="213">
        <v>104.74748170559999</v>
      </c>
      <c r="W17" s="213">
        <v>104.6911020709</v>
      </c>
      <c r="X17" s="213">
        <v>93.308523080000001</v>
      </c>
      <c r="Y17" s="213">
        <v>84.486437784499998</v>
      </c>
      <c r="Z17" s="215"/>
      <c r="AA17" s="212">
        <v>2.5191142999999999E-3</v>
      </c>
      <c r="AB17" s="212">
        <v>104.74748170559999</v>
      </c>
      <c r="AC17" s="212">
        <v>38.641392030200002</v>
      </c>
      <c r="AN17" s="62">
        <f t="shared" si="0"/>
        <v>104.74496259129999</v>
      </c>
      <c r="AQ17" s="118">
        <v>10</v>
      </c>
    </row>
    <row r="18" spans="1:43">
      <c r="A18" s="123" t="s">
        <v>265</v>
      </c>
      <c r="B18" s="213">
        <v>81.9767236303</v>
      </c>
      <c r="C18" s="213">
        <v>61.608532288799999</v>
      </c>
      <c r="D18" s="213">
        <v>51.422992255700002</v>
      </c>
      <c r="E18" s="213">
        <v>48.810105799699997</v>
      </c>
      <c r="F18" s="182">
        <v>43.430026018699998</v>
      </c>
      <c r="G18" s="213">
        <v>50.049391494600002</v>
      </c>
      <c r="H18" s="213">
        <v>63.400701323900002</v>
      </c>
      <c r="I18" s="213">
        <v>63.894653326899999</v>
      </c>
      <c r="J18" s="213">
        <v>58.146253572500001</v>
      </c>
      <c r="K18" s="182">
        <v>31.050506825199999</v>
      </c>
      <c r="L18" s="211">
        <v>8.5486264049000003</v>
      </c>
      <c r="M18" s="211">
        <v>0.86429884430000004</v>
      </c>
      <c r="N18" s="214">
        <v>0</v>
      </c>
      <c r="O18" s="211">
        <v>-0.1612411406</v>
      </c>
      <c r="P18" s="211">
        <v>-0.75654053880000005</v>
      </c>
      <c r="Q18" s="211">
        <v>-1.4331632084999999</v>
      </c>
      <c r="R18" s="211">
        <v>-1.2253706370999999</v>
      </c>
      <c r="S18" s="211">
        <v>-0.18628210240000001</v>
      </c>
      <c r="T18" s="211">
        <v>2.1119387122000002</v>
      </c>
      <c r="U18" s="211">
        <v>13.271533589500001</v>
      </c>
      <c r="V18" s="182">
        <v>26.761400900400002</v>
      </c>
      <c r="W18" s="182">
        <v>34.651478146000002</v>
      </c>
      <c r="X18" s="182">
        <v>31.8361656788</v>
      </c>
      <c r="Y18" s="211">
        <v>24.418327561000002</v>
      </c>
      <c r="Z18" s="215"/>
      <c r="AA18" s="212">
        <v>-1.4331632084999999</v>
      </c>
      <c r="AB18" s="212">
        <v>81.9767236303</v>
      </c>
      <c r="AC18" s="212">
        <v>23.975591469099999</v>
      </c>
      <c r="AN18" s="62">
        <f t="shared" si="0"/>
        <v>83.409886838800006</v>
      </c>
      <c r="AQ18" s="118">
        <v>11</v>
      </c>
    </row>
    <row r="19" spans="1:43">
      <c r="A19" s="123" t="s">
        <v>266</v>
      </c>
      <c r="B19" s="211">
        <v>15.1501365641</v>
      </c>
      <c r="C19" s="211">
        <v>11.0637719308</v>
      </c>
      <c r="D19" s="211">
        <v>9.4433875249000003</v>
      </c>
      <c r="E19" s="211">
        <v>10.948157197800001</v>
      </c>
      <c r="F19" s="211">
        <v>10.5281791724</v>
      </c>
      <c r="G19" s="211">
        <v>10.818662466199999</v>
      </c>
      <c r="H19" s="211">
        <v>11.8077656045</v>
      </c>
      <c r="I19" s="211">
        <v>10.5064752169</v>
      </c>
      <c r="J19" s="211">
        <v>12.0514635785</v>
      </c>
      <c r="K19" s="211">
        <v>10.6890830369</v>
      </c>
      <c r="L19" s="211">
        <v>2.5065529054</v>
      </c>
      <c r="M19" s="211">
        <v>0.26301503580000002</v>
      </c>
      <c r="N19" s="214">
        <v>0</v>
      </c>
      <c r="O19" s="214">
        <v>0</v>
      </c>
      <c r="P19" s="211">
        <v>-4.9631157000000004E-3</v>
      </c>
      <c r="Q19" s="211">
        <v>-0.4253191134</v>
      </c>
      <c r="R19" s="211">
        <v>-0.81</v>
      </c>
      <c r="S19" s="211">
        <v>-0.71607912309999999</v>
      </c>
      <c r="T19" s="211">
        <v>-1.45357991E-2</v>
      </c>
      <c r="U19" s="211">
        <v>8.8543753726999999</v>
      </c>
      <c r="V19" s="182">
        <v>36.143307528599998</v>
      </c>
      <c r="W19" s="213">
        <v>71.683662587100002</v>
      </c>
      <c r="X19" s="213">
        <v>53.696225323199997</v>
      </c>
      <c r="Y19" s="182">
        <v>35.015119766600002</v>
      </c>
      <c r="Z19" s="215"/>
      <c r="AA19" s="212">
        <v>-0.81</v>
      </c>
      <c r="AB19" s="212">
        <v>71.683662587100002</v>
      </c>
      <c r="AC19" s="212">
        <v>13.1443235111</v>
      </c>
      <c r="AN19" s="62">
        <f t="shared" si="0"/>
        <v>72.493662587100005</v>
      </c>
      <c r="AQ19" s="118">
        <v>12</v>
      </c>
    </row>
    <row r="20" spans="1:43">
      <c r="A20" s="123" t="s">
        <v>267</v>
      </c>
      <c r="B20" s="182">
        <v>30.221768587900002</v>
      </c>
      <c r="C20" s="211">
        <v>18.892719365600001</v>
      </c>
      <c r="D20" s="211">
        <v>14.5030859628</v>
      </c>
      <c r="E20" s="211">
        <v>10.3871435592</v>
      </c>
      <c r="F20" s="211">
        <v>7.7949362787999998</v>
      </c>
      <c r="G20" s="211">
        <v>13.0946646188</v>
      </c>
      <c r="H20" s="211">
        <v>21.008933642199999</v>
      </c>
      <c r="I20" s="213">
        <v>52.510961086199998</v>
      </c>
      <c r="J20" s="182">
        <v>25.888731327199999</v>
      </c>
      <c r="K20" s="211">
        <v>4.7723469593000001</v>
      </c>
      <c r="L20" s="211">
        <v>0.21160912870000001</v>
      </c>
      <c r="M20" s="211">
        <v>-7.4719423999999998E-3</v>
      </c>
      <c r="N20" s="211">
        <v>-2.74803458E-2</v>
      </c>
      <c r="O20" s="211">
        <v>-0.02</v>
      </c>
      <c r="P20" s="211">
        <v>-4.00511848E-2</v>
      </c>
      <c r="Q20" s="211">
        <v>-1.4991066900000001E-2</v>
      </c>
      <c r="R20" s="211">
        <v>-0.01</v>
      </c>
      <c r="S20" s="211">
        <v>2.5194452E-3</v>
      </c>
      <c r="T20" s="211">
        <v>4.6219783350999997</v>
      </c>
      <c r="U20" s="182">
        <v>26.001207154799999</v>
      </c>
      <c r="V20" s="213">
        <v>80.965525510099994</v>
      </c>
      <c r="W20" s="213">
        <v>99.955796448000001</v>
      </c>
      <c r="X20" s="213">
        <v>89.870457110399997</v>
      </c>
      <c r="Y20" s="213">
        <v>68.759021539299994</v>
      </c>
      <c r="Z20" s="215"/>
      <c r="AA20" s="212">
        <v>-4.00511848E-2</v>
      </c>
      <c r="AB20" s="212">
        <v>99.955796448000001</v>
      </c>
      <c r="AC20" s="212">
        <v>20.670538945800001</v>
      </c>
      <c r="AN20" s="62">
        <f t="shared" si="0"/>
        <v>99.995847632800007</v>
      </c>
      <c r="AQ20" s="118">
        <v>13</v>
      </c>
    </row>
    <row r="21" spans="1:43">
      <c r="A21" s="123" t="s">
        <v>268</v>
      </c>
      <c r="B21" s="213">
        <v>65.540401814999996</v>
      </c>
      <c r="C21" s="213">
        <v>62.126534073400002</v>
      </c>
      <c r="D21" s="213">
        <v>63.587020585700003</v>
      </c>
      <c r="E21" s="213">
        <v>59.125309457100002</v>
      </c>
      <c r="F21" s="213">
        <v>57.250608052799997</v>
      </c>
      <c r="G21" s="213">
        <v>60.780142671999997</v>
      </c>
      <c r="H21" s="213">
        <v>72.998333355499994</v>
      </c>
      <c r="I21" s="213">
        <v>94.482553560900001</v>
      </c>
      <c r="J21" s="213">
        <v>80.082385483400003</v>
      </c>
      <c r="K21" s="211">
        <v>24.668593830300001</v>
      </c>
      <c r="L21" s="211">
        <v>0.67634250939999996</v>
      </c>
      <c r="M21" s="211">
        <v>-0.13088895959999999</v>
      </c>
      <c r="N21" s="211">
        <v>-0.6</v>
      </c>
      <c r="O21" s="211">
        <v>-0.6</v>
      </c>
      <c r="P21" s="211">
        <v>-0.28238818830000001</v>
      </c>
      <c r="Q21" s="211">
        <v>-0.5</v>
      </c>
      <c r="R21" s="211">
        <v>-0.25588205069999997</v>
      </c>
      <c r="S21" s="211">
        <v>7.2166111969522602E-5</v>
      </c>
      <c r="T21" s="211">
        <v>3.7848552576999999</v>
      </c>
      <c r="U21" s="213">
        <v>52.917886105800001</v>
      </c>
      <c r="V21" s="213">
        <v>97.049544960999995</v>
      </c>
      <c r="W21" s="213">
        <v>114.8657157242</v>
      </c>
      <c r="X21" s="213">
        <v>98.941271742599994</v>
      </c>
      <c r="Y21" s="213">
        <v>92.981216684100005</v>
      </c>
      <c r="Z21" s="215"/>
      <c r="AA21" s="212">
        <v>-0.6</v>
      </c>
      <c r="AB21" s="212">
        <v>114.8657157242</v>
      </c>
      <c r="AC21" s="212">
        <v>37.765489372399998</v>
      </c>
      <c r="AN21" s="62">
        <f t="shared" si="0"/>
        <v>115.4657157242</v>
      </c>
      <c r="AQ21" s="118">
        <v>14</v>
      </c>
    </row>
    <row r="22" spans="1:43">
      <c r="A22" s="123" t="s">
        <v>269</v>
      </c>
      <c r="B22" s="213">
        <v>103.9052984808</v>
      </c>
      <c r="C22" s="213">
        <v>91.682797965299997</v>
      </c>
      <c r="D22" s="213">
        <v>84.236389770000002</v>
      </c>
      <c r="E22" s="213">
        <v>74.492561673500006</v>
      </c>
      <c r="F22" s="213">
        <v>74.501057783799993</v>
      </c>
      <c r="G22" s="213">
        <v>77.448068807200002</v>
      </c>
      <c r="H22" s="213">
        <v>92.849769321099998</v>
      </c>
      <c r="I22" s="213">
        <v>117.6557969417</v>
      </c>
      <c r="J22" s="213">
        <v>99.484442766399994</v>
      </c>
      <c r="K22" s="213">
        <v>45.462986896899999</v>
      </c>
      <c r="L22" s="211">
        <v>1.7562139204</v>
      </c>
      <c r="M22" s="211">
        <v>-2.4641781000000001E-3</v>
      </c>
      <c r="N22" s="211">
        <v>-9.7013726699999997E-2</v>
      </c>
      <c r="O22" s="211">
        <v>-0.3597223028</v>
      </c>
      <c r="P22" s="211">
        <v>-0.5</v>
      </c>
      <c r="Q22" s="211">
        <v>-0.81</v>
      </c>
      <c r="R22" s="211">
        <v>-0.53905958050000002</v>
      </c>
      <c r="S22" s="211">
        <v>-4.9185119999999999E-3</v>
      </c>
      <c r="T22" s="211">
        <v>5.0187494995000002</v>
      </c>
      <c r="U22" s="213">
        <v>74.635177310399996</v>
      </c>
      <c r="V22" s="213">
        <v>128.44594142579999</v>
      </c>
      <c r="W22" s="213">
        <v>134.69673837409999</v>
      </c>
      <c r="X22" s="213">
        <v>121.17556967989999</v>
      </c>
      <c r="Y22" s="213">
        <v>108.6902242786</v>
      </c>
      <c r="Z22" s="215"/>
      <c r="AA22" s="212">
        <v>-0.81</v>
      </c>
      <c r="AB22" s="212">
        <v>134.69673837409999</v>
      </c>
      <c r="AC22" s="212">
        <v>49.651402209700002</v>
      </c>
      <c r="AN22" s="62">
        <f t="shared" si="0"/>
        <v>135.5067383741</v>
      </c>
      <c r="AQ22" s="118">
        <v>15</v>
      </c>
    </row>
    <row r="23" spans="1:43">
      <c r="A23" s="123" t="s">
        <v>270</v>
      </c>
      <c r="B23" s="213">
        <v>94.769660639799994</v>
      </c>
      <c r="C23" s="213">
        <v>89.664644126599995</v>
      </c>
      <c r="D23" s="213">
        <v>89.2346689269</v>
      </c>
      <c r="E23" s="213">
        <v>89.267489132999998</v>
      </c>
      <c r="F23" s="213">
        <v>90.210663634799999</v>
      </c>
      <c r="G23" s="213">
        <v>92.509150650199999</v>
      </c>
      <c r="H23" s="213">
        <v>103.7597740522</v>
      </c>
      <c r="I23" s="213">
        <v>121.2399674902</v>
      </c>
      <c r="J23" s="213">
        <v>124.21092491100001</v>
      </c>
      <c r="K23" s="213">
        <v>98.173055389300004</v>
      </c>
      <c r="L23" s="182">
        <v>32.561556755799998</v>
      </c>
      <c r="M23" s="211">
        <v>0.53610438120000004</v>
      </c>
      <c r="N23" s="214">
        <v>0</v>
      </c>
      <c r="O23" s="214">
        <v>0</v>
      </c>
      <c r="P23" s="214">
        <v>0</v>
      </c>
      <c r="Q23" s="214">
        <v>0</v>
      </c>
      <c r="R23" s="211">
        <v>-4.9504136000000001E-3</v>
      </c>
      <c r="S23" s="211">
        <v>1.1765344867</v>
      </c>
      <c r="T23" s="182">
        <v>39.372288876500001</v>
      </c>
      <c r="U23" s="213">
        <v>95.422931475799999</v>
      </c>
      <c r="V23" s="213">
        <v>121.7516466375</v>
      </c>
      <c r="W23" s="213">
        <v>134.67661228099999</v>
      </c>
      <c r="X23" s="213">
        <v>128.54616340090001</v>
      </c>
      <c r="Y23" s="213">
        <v>114.1759483814</v>
      </c>
      <c r="Z23" s="215"/>
      <c r="AA23" s="212">
        <v>-4.9504136000000001E-3</v>
      </c>
      <c r="AB23" s="212">
        <v>134.67661228099999</v>
      </c>
      <c r="AC23" s="212">
        <v>58.585668806500003</v>
      </c>
      <c r="AN23" s="62">
        <f t="shared" si="0"/>
        <v>134.68156269459999</v>
      </c>
      <c r="AQ23" s="118">
        <v>16</v>
      </c>
    </row>
    <row r="24" spans="1:43">
      <c r="A24" s="123" t="s">
        <v>271</v>
      </c>
      <c r="B24" s="213">
        <v>119.9848864401</v>
      </c>
      <c r="C24" s="213">
        <v>114.92687597770001</v>
      </c>
      <c r="D24" s="213">
        <v>112.5377989899</v>
      </c>
      <c r="E24" s="213">
        <v>106.02801901399999</v>
      </c>
      <c r="F24" s="213">
        <v>104.5782410413</v>
      </c>
      <c r="G24" s="213">
        <v>109.3886501371</v>
      </c>
      <c r="H24" s="213">
        <v>111.2651411527</v>
      </c>
      <c r="I24" s="213">
        <v>116.4998932493</v>
      </c>
      <c r="J24" s="213">
        <v>112.009352451</v>
      </c>
      <c r="K24" s="213">
        <v>81.119987942799995</v>
      </c>
      <c r="L24" s="211">
        <v>21.080457061499999</v>
      </c>
      <c r="M24" s="211">
        <v>0.92017372959999999</v>
      </c>
      <c r="N24" s="211">
        <v>2.4955244E-3</v>
      </c>
      <c r="O24" s="214">
        <v>0</v>
      </c>
      <c r="P24" s="214">
        <v>0</v>
      </c>
      <c r="Q24" s="214">
        <v>0</v>
      </c>
      <c r="R24" s="214">
        <v>0</v>
      </c>
      <c r="S24" s="211">
        <v>1.0225374924999999</v>
      </c>
      <c r="T24" s="182">
        <v>43.3247136058</v>
      </c>
      <c r="U24" s="213">
        <v>87.251323477599996</v>
      </c>
      <c r="V24" s="213">
        <v>115.81839575879999</v>
      </c>
      <c r="W24" s="213">
        <v>122.9884316144</v>
      </c>
      <c r="X24" s="213">
        <v>114.29245569139999</v>
      </c>
      <c r="Y24" s="213">
        <v>103.3000843901</v>
      </c>
      <c r="Z24" s="215"/>
      <c r="AA24" s="212">
        <v>0</v>
      </c>
      <c r="AB24" s="212">
        <v>122.9884316144</v>
      </c>
      <c r="AC24" s="212">
        <v>58.783249548299999</v>
      </c>
      <c r="AN24" s="62">
        <f t="shared" si="0"/>
        <v>122.9884316144</v>
      </c>
      <c r="AQ24" s="118">
        <v>17</v>
      </c>
    </row>
    <row r="25" spans="1:43">
      <c r="A25" s="123" t="s">
        <v>272</v>
      </c>
      <c r="B25" s="213">
        <v>96.724326343100003</v>
      </c>
      <c r="C25" s="213">
        <v>91.012097290300005</v>
      </c>
      <c r="D25" s="213">
        <v>83.296869714500005</v>
      </c>
      <c r="E25" s="213">
        <v>77.246001198499997</v>
      </c>
      <c r="F25" s="213">
        <v>75.040092634999993</v>
      </c>
      <c r="G25" s="213">
        <v>76.695515246900001</v>
      </c>
      <c r="H25" s="213">
        <v>83.275577421400001</v>
      </c>
      <c r="I25" s="213">
        <v>84.964614710800006</v>
      </c>
      <c r="J25" s="213">
        <v>61.195212231600003</v>
      </c>
      <c r="K25" s="211">
        <v>19.399330646300001</v>
      </c>
      <c r="L25" s="211">
        <v>1.8234547173</v>
      </c>
      <c r="M25" s="211">
        <v>-0.69613926510000002</v>
      </c>
      <c r="N25" s="211">
        <v>-1.0329919328999999</v>
      </c>
      <c r="O25" s="211">
        <v>-2.0526668132000001</v>
      </c>
      <c r="P25" s="211">
        <v>-2.0780044915999998</v>
      </c>
      <c r="Q25" s="211">
        <v>-1.3253765718999999</v>
      </c>
      <c r="R25" s="211">
        <v>-0.90718158869999999</v>
      </c>
      <c r="S25" s="211">
        <v>-0.1024581635</v>
      </c>
      <c r="T25" s="211">
        <v>3.6027054725999998</v>
      </c>
      <c r="U25" s="182">
        <v>39.272294290300003</v>
      </c>
      <c r="V25" s="213">
        <v>79.600744382399995</v>
      </c>
      <c r="W25" s="213">
        <v>83.876628113999999</v>
      </c>
      <c r="X25" s="213">
        <v>81.656724718700005</v>
      </c>
      <c r="Y25" s="213">
        <v>81.655583881400005</v>
      </c>
      <c r="Z25" s="215"/>
      <c r="AA25" s="212">
        <v>-2.0780044915999998</v>
      </c>
      <c r="AB25" s="212">
        <v>96.724326343100003</v>
      </c>
      <c r="AC25" s="212">
        <v>37.9926280874</v>
      </c>
      <c r="AN25" s="62">
        <f t="shared" si="0"/>
        <v>98.802330834700001</v>
      </c>
      <c r="AQ25" s="118">
        <v>18</v>
      </c>
    </row>
    <row r="26" spans="1:43">
      <c r="A26" s="123" t="s">
        <v>273</v>
      </c>
      <c r="B26" s="213">
        <v>69.565538579999995</v>
      </c>
      <c r="C26" s="213">
        <v>60.472746975600003</v>
      </c>
      <c r="D26" s="213">
        <v>54.102182606</v>
      </c>
      <c r="E26" s="213">
        <v>48.957518891200003</v>
      </c>
      <c r="F26" s="213">
        <v>45.652511302999997</v>
      </c>
      <c r="G26" s="213">
        <v>58.1759441799</v>
      </c>
      <c r="H26" s="213">
        <v>65.8455765044</v>
      </c>
      <c r="I26" s="213">
        <v>70.753655251799998</v>
      </c>
      <c r="J26" s="182">
        <v>34.841390894</v>
      </c>
      <c r="K26" s="211">
        <v>2.3743688238999998</v>
      </c>
      <c r="L26" s="211">
        <v>-0.58050743640000002</v>
      </c>
      <c r="M26" s="211">
        <v>-1.9798505462</v>
      </c>
      <c r="N26" s="211">
        <v>-2.1</v>
      </c>
      <c r="O26" s="211">
        <v>-2.1</v>
      </c>
      <c r="P26" s="211">
        <v>-2.9935807642999999</v>
      </c>
      <c r="Q26" s="211">
        <v>-3.0021327965000002</v>
      </c>
      <c r="R26" s="211">
        <v>-4.2598951208000004</v>
      </c>
      <c r="S26" s="211">
        <v>-1.2762577623</v>
      </c>
      <c r="T26" s="211">
        <v>0.53014407460000001</v>
      </c>
      <c r="U26" s="182">
        <v>32.063115906599997</v>
      </c>
      <c r="V26" s="213">
        <v>78.094783057200004</v>
      </c>
      <c r="W26" s="213">
        <v>87.632992902599995</v>
      </c>
      <c r="X26" s="213">
        <v>86.728100247499995</v>
      </c>
      <c r="Y26" s="213">
        <v>85.554571984899994</v>
      </c>
      <c r="Z26" s="215"/>
      <c r="AA26" s="212">
        <v>-4.2598951208000004</v>
      </c>
      <c r="AB26" s="212">
        <v>87.632992902599995</v>
      </c>
      <c r="AC26" s="212">
        <v>30.7603178512</v>
      </c>
      <c r="AN26" s="62">
        <f t="shared" si="0"/>
        <v>91.892888023399991</v>
      </c>
      <c r="AQ26" s="118">
        <v>19</v>
      </c>
    </row>
    <row r="27" spans="1:43">
      <c r="A27" s="123" t="s">
        <v>274</v>
      </c>
      <c r="B27" s="213">
        <v>81.068395861300004</v>
      </c>
      <c r="C27" s="213">
        <v>75.926301149799997</v>
      </c>
      <c r="D27" s="213">
        <v>74.716676566700002</v>
      </c>
      <c r="E27" s="213">
        <v>72.78</v>
      </c>
      <c r="F27" s="213">
        <v>74.124265206100006</v>
      </c>
      <c r="G27" s="213">
        <v>76.654384350900003</v>
      </c>
      <c r="H27" s="213">
        <v>79.614412420799994</v>
      </c>
      <c r="I27" s="213">
        <v>91.835848223499994</v>
      </c>
      <c r="J27" s="213">
        <v>80.690246259399999</v>
      </c>
      <c r="K27" s="213">
        <v>49.351225116599998</v>
      </c>
      <c r="L27" s="211">
        <v>4.3501528561000002</v>
      </c>
      <c r="M27" s="211">
        <v>0.13952716849999999</v>
      </c>
      <c r="N27" s="211">
        <v>0.15225894449999999</v>
      </c>
      <c r="O27" s="211">
        <v>2.5286038999999998E-3</v>
      </c>
      <c r="P27" s="214">
        <v>0</v>
      </c>
      <c r="Q27" s="214">
        <v>0</v>
      </c>
      <c r="R27" s="211">
        <v>2.5211875E-3</v>
      </c>
      <c r="S27" s="211">
        <v>2.6284202671000001</v>
      </c>
      <c r="T27" s="211">
        <v>22.862686362200002</v>
      </c>
      <c r="U27" s="213">
        <v>54.840016634199998</v>
      </c>
      <c r="V27" s="213">
        <v>91.421947459099997</v>
      </c>
      <c r="W27" s="213">
        <v>109.54837175350001</v>
      </c>
      <c r="X27" s="213">
        <v>92.933389882399993</v>
      </c>
      <c r="Y27" s="213">
        <v>82.278747102200001</v>
      </c>
      <c r="Z27" s="215"/>
      <c r="AA27" s="212">
        <v>0</v>
      </c>
      <c r="AB27" s="212">
        <v>109.54837175350001</v>
      </c>
      <c r="AC27" s="212">
        <v>41.402004620500001</v>
      </c>
      <c r="AN27" s="62">
        <f t="shared" si="0"/>
        <v>109.54837175350001</v>
      </c>
      <c r="AQ27" s="118">
        <v>20</v>
      </c>
    </row>
    <row r="28" spans="1:43">
      <c r="A28" s="123" t="s">
        <v>275</v>
      </c>
      <c r="B28" s="213">
        <v>87.895551766300002</v>
      </c>
      <c r="C28" s="213">
        <v>79.957762681099993</v>
      </c>
      <c r="D28" s="213">
        <v>76.343813451299994</v>
      </c>
      <c r="E28" s="213">
        <v>74.291385800100002</v>
      </c>
      <c r="F28" s="213">
        <v>72.28</v>
      </c>
      <c r="G28" s="213">
        <v>73.115505576399997</v>
      </c>
      <c r="H28" s="213">
        <v>74.991974271399997</v>
      </c>
      <c r="I28" s="213">
        <v>81.588742675700004</v>
      </c>
      <c r="J28" s="213">
        <v>70.372841928400007</v>
      </c>
      <c r="K28" s="182">
        <v>33.700387340799999</v>
      </c>
      <c r="L28" s="211">
        <v>4.2657336099999998</v>
      </c>
      <c r="M28" s="211">
        <v>0.21540789699999999</v>
      </c>
      <c r="N28" s="211">
        <v>-2.4852269E-3</v>
      </c>
      <c r="O28" s="211">
        <v>-3.7142257900000003E-2</v>
      </c>
      <c r="P28" s="211">
        <v>-0.1049712631</v>
      </c>
      <c r="Q28" s="211">
        <v>-0.10751815570000001</v>
      </c>
      <c r="R28" s="211">
        <v>-6.7071618999999999E-2</v>
      </c>
      <c r="S28" s="211">
        <v>0.21699550940000001</v>
      </c>
      <c r="T28" s="211">
        <v>5.0978172395000003</v>
      </c>
      <c r="U28" s="182">
        <v>35.134747396400002</v>
      </c>
      <c r="V28" s="213">
        <v>75.901075931099996</v>
      </c>
      <c r="W28" s="213">
        <v>83.853243409599997</v>
      </c>
      <c r="X28" s="213">
        <v>77.963121194500005</v>
      </c>
      <c r="Y28" s="213">
        <v>75.818341411700004</v>
      </c>
      <c r="Z28" s="215"/>
      <c r="AA28" s="212">
        <v>-0.10751815570000001</v>
      </c>
      <c r="AB28" s="212">
        <v>87.895551766300002</v>
      </c>
      <c r="AC28" s="212">
        <v>36.633628119900003</v>
      </c>
      <c r="AN28" s="62">
        <f t="shared" si="0"/>
        <v>88.003069922000009</v>
      </c>
      <c r="AQ28" s="118">
        <v>21</v>
      </c>
    </row>
    <row r="29" spans="1:43">
      <c r="A29" s="123" t="s">
        <v>276</v>
      </c>
      <c r="B29" s="213">
        <v>83.771279762099994</v>
      </c>
      <c r="C29" s="213">
        <v>76.508747190600005</v>
      </c>
      <c r="D29" s="213">
        <v>73.280119806200005</v>
      </c>
      <c r="E29" s="213">
        <v>73.887901205999995</v>
      </c>
      <c r="F29" s="213">
        <v>72.666042218900003</v>
      </c>
      <c r="G29" s="213">
        <v>73.256166758899994</v>
      </c>
      <c r="H29" s="213">
        <v>77.048959784800005</v>
      </c>
      <c r="I29" s="213">
        <v>92.600166645599998</v>
      </c>
      <c r="J29" s="213">
        <v>81.739202865999999</v>
      </c>
      <c r="K29" s="182">
        <v>44.602214810100001</v>
      </c>
      <c r="L29" s="211">
        <v>3.3730465517999999</v>
      </c>
      <c r="M29" s="211">
        <v>6.8715480199999998E-2</v>
      </c>
      <c r="N29" s="211">
        <v>-0.1293253047</v>
      </c>
      <c r="O29" s="211">
        <v>-0.57687059600000001</v>
      </c>
      <c r="P29" s="211">
        <v>-0.85479608770000004</v>
      </c>
      <c r="Q29" s="211">
        <v>-0.95291471800000005</v>
      </c>
      <c r="R29" s="211">
        <v>-0.29337945399999998</v>
      </c>
      <c r="S29" s="211">
        <v>-1.8088303000000001E-3</v>
      </c>
      <c r="T29" s="211">
        <v>5.6394326768000003</v>
      </c>
      <c r="U29" s="182">
        <v>43.817489213599998</v>
      </c>
      <c r="V29" s="213">
        <v>86.018086367699993</v>
      </c>
      <c r="W29" s="213">
        <v>108.27974784529999</v>
      </c>
      <c r="X29" s="213">
        <v>94.061135350300006</v>
      </c>
      <c r="Y29" s="213">
        <v>83.491422553299998</v>
      </c>
      <c r="Z29" s="215"/>
      <c r="AA29" s="212">
        <v>-0.95291471800000005</v>
      </c>
      <c r="AB29" s="212">
        <v>108.27974784529999</v>
      </c>
      <c r="AC29" s="212">
        <v>40.3660955657</v>
      </c>
      <c r="AN29" s="62">
        <f t="shared" si="0"/>
        <v>109.2326625633</v>
      </c>
      <c r="AQ29" s="118">
        <v>22</v>
      </c>
    </row>
    <row r="30" spans="1:43">
      <c r="A30" s="123" t="s">
        <v>277</v>
      </c>
      <c r="B30" s="213">
        <v>89.057039078399995</v>
      </c>
      <c r="C30" s="213">
        <v>81.3360686969</v>
      </c>
      <c r="D30" s="213">
        <v>81.980649295500001</v>
      </c>
      <c r="E30" s="213">
        <v>81.130759910699993</v>
      </c>
      <c r="F30" s="213">
        <v>80.850124376699995</v>
      </c>
      <c r="G30" s="213">
        <v>80.868957333899999</v>
      </c>
      <c r="H30" s="213">
        <v>82.169827777899997</v>
      </c>
      <c r="I30" s="213">
        <v>89.080466755299994</v>
      </c>
      <c r="J30" s="213">
        <v>85.029690465100003</v>
      </c>
      <c r="K30" s="182">
        <v>36.598854385400003</v>
      </c>
      <c r="L30" s="211">
        <v>3.9260272677999999</v>
      </c>
      <c r="M30" s="211">
        <v>8.7546033524809995E-5</v>
      </c>
      <c r="N30" s="211">
        <v>-0.30413690170000002</v>
      </c>
      <c r="O30" s="211">
        <v>-0.52741163849999995</v>
      </c>
      <c r="P30" s="211">
        <v>-0.7168315005</v>
      </c>
      <c r="Q30" s="211">
        <v>-0.81</v>
      </c>
      <c r="R30" s="211">
        <v>-0.37114448950000001</v>
      </c>
      <c r="S30" s="211">
        <v>0.76548215139999998</v>
      </c>
      <c r="T30" s="211">
        <v>12.3554291452</v>
      </c>
      <c r="U30" s="213">
        <v>46.446155569399998</v>
      </c>
      <c r="V30" s="213">
        <v>75.7893239478</v>
      </c>
      <c r="W30" s="213">
        <v>89.485836575899995</v>
      </c>
      <c r="X30" s="213">
        <v>80.9236857681</v>
      </c>
      <c r="Y30" s="213">
        <v>78.8210063394</v>
      </c>
      <c r="Z30" s="215"/>
      <c r="AA30" s="212">
        <v>-0.81</v>
      </c>
      <c r="AB30" s="212">
        <v>89.485836575899995</v>
      </c>
      <c r="AC30" s="212">
        <v>39.836886733</v>
      </c>
      <c r="AN30" s="62">
        <f t="shared" si="0"/>
        <v>90.295836575899997</v>
      </c>
      <c r="AQ30" s="118">
        <v>23</v>
      </c>
    </row>
    <row r="31" spans="1:43">
      <c r="A31" s="123" t="s">
        <v>278</v>
      </c>
      <c r="B31" s="213">
        <v>84.193088521799993</v>
      </c>
      <c r="C31" s="213">
        <v>82.9218655552</v>
      </c>
      <c r="D31" s="213">
        <v>81.78</v>
      </c>
      <c r="E31" s="213">
        <v>81.719540432200006</v>
      </c>
      <c r="F31" s="213">
        <v>82.021223723999995</v>
      </c>
      <c r="G31" s="213">
        <v>84.489123355999993</v>
      </c>
      <c r="H31" s="213">
        <v>93.953446507699994</v>
      </c>
      <c r="I31" s="213">
        <v>105.13629919500001</v>
      </c>
      <c r="J31" s="213">
        <v>101.0322550435</v>
      </c>
      <c r="K31" s="213">
        <v>90.715388121700002</v>
      </c>
      <c r="L31" s="213">
        <v>79.593379391900001</v>
      </c>
      <c r="M31" s="213">
        <v>51.337655855400001</v>
      </c>
      <c r="N31" s="182">
        <v>25.319090139499998</v>
      </c>
      <c r="O31" s="211">
        <v>20.499011872400001</v>
      </c>
      <c r="P31" s="211">
        <v>15.5190362208</v>
      </c>
      <c r="Q31" s="211">
        <v>14.704546862300001</v>
      </c>
      <c r="R31" s="211">
        <v>20.255741885300001</v>
      </c>
      <c r="S31" s="182">
        <v>42.565427036000003</v>
      </c>
      <c r="T31" s="213">
        <v>75.433973331600001</v>
      </c>
      <c r="U31" s="213">
        <v>95.306472110100003</v>
      </c>
      <c r="V31" s="213">
        <v>103.45810254040001</v>
      </c>
      <c r="W31" s="213">
        <v>112.8716801257</v>
      </c>
      <c r="X31" s="213">
        <v>103.4230155979</v>
      </c>
      <c r="Y31" s="213">
        <v>94.243504545799993</v>
      </c>
      <c r="Z31" s="215"/>
      <c r="AA31" s="212">
        <v>14.704546862300001</v>
      </c>
      <c r="AB31" s="212">
        <v>112.8716801257</v>
      </c>
      <c r="AC31" s="212">
        <v>66.366312100599998</v>
      </c>
      <c r="AN31" s="62">
        <f t="shared" si="0"/>
        <v>98.16713326339999</v>
      </c>
      <c r="AQ31" s="118">
        <v>24</v>
      </c>
    </row>
    <row r="32" spans="1:43">
      <c r="A32" s="123" t="s">
        <v>279</v>
      </c>
      <c r="B32" s="213">
        <v>92.429767461200001</v>
      </c>
      <c r="C32" s="213">
        <v>89.568072978199993</v>
      </c>
      <c r="D32" s="213">
        <v>88.8354286454</v>
      </c>
      <c r="E32" s="213">
        <v>89.214423695099995</v>
      </c>
      <c r="F32" s="213">
        <v>89.007659885500004</v>
      </c>
      <c r="G32" s="213">
        <v>88.655391412900002</v>
      </c>
      <c r="H32" s="213">
        <v>88.919998040300001</v>
      </c>
      <c r="I32" s="213">
        <v>88.068261439899999</v>
      </c>
      <c r="J32" s="213">
        <v>70.874597883000007</v>
      </c>
      <c r="K32" s="211">
        <v>20.5600402084</v>
      </c>
      <c r="L32" s="211">
        <v>3.0878430199000002</v>
      </c>
      <c r="M32" s="211">
        <v>0.34163970179999997</v>
      </c>
      <c r="N32" s="211">
        <v>-2.4859778000000002E-3</v>
      </c>
      <c r="O32" s="211">
        <v>-2.4915059000000001E-3</v>
      </c>
      <c r="P32" s="211">
        <v>-0.01</v>
      </c>
      <c r="Q32" s="211">
        <v>-0.01</v>
      </c>
      <c r="R32" s="211">
        <v>-4.9976418E-3</v>
      </c>
      <c r="S32" s="211">
        <v>0.95000873500000005</v>
      </c>
      <c r="T32" s="211">
        <v>14.472306677800001</v>
      </c>
      <c r="U32" s="213">
        <v>51.308073562899999</v>
      </c>
      <c r="V32" s="213">
        <v>72.807627653200001</v>
      </c>
      <c r="W32" s="213">
        <v>89.634337510799995</v>
      </c>
      <c r="X32" s="213">
        <v>87.740014558799999</v>
      </c>
      <c r="Y32" s="213">
        <v>86.731817773399996</v>
      </c>
      <c r="Z32" s="215"/>
      <c r="AA32" s="212">
        <v>-0.01</v>
      </c>
      <c r="AB32" s="212">
        <v>92.429767461200001</v>
      </c>
      <c r="AC32" s="212">
        <v>40.792687625399999</v>
      </c>
      <c r="AN32" s="62">
        <f t="shared" si="0"/>
        <v>92.439767461200006</v>
      </c>
      <c r="AQ32" s="118">
        <v>25</v>
      </c>
    </row>
    <row r="33" spans="1:43">
      <c r="A33" s="123" t="s">
        <v>280</v>
      </c>
      <c r="B33" s="213">
        <v>77.578840553600003</v>
      </c>
      <c r="C33" s="213">
        <v>60.957710762799998</v>
      </c>
      <c r="D33" s="213">
        <v>55.241569757299999</v>
      </c>
      <c r="E33" s="213">
        <v>49.499415084699997</v>
      </c>
      <c r="F33" s="213">
        <v>50</v>
      </c>
      <c r="G33" s="213">
        <v>53.518275247299997</v>
      </c>
      <c r="H33" s="213">
        <v>64.582645215200003</v>
      </c>
      <c r="I33" s="213">
        <v>65.269684439399995</v>
      </c>
      <c r="J33" s="211">
        <v>23.065391418400001</v>
      </c>
      <c r="K33" s="211">
        <v>0.1060171206</v>
      </c>
      <c r="L33" s="211">
        <v>-2.0750287775</v>
      </c>
      <c r="M33" s="211">
        <v>-4.2498550219000002</v>
      </c>
      <c r="N33" s="211">
        <v>-5</v>
      </c>
      <c r="O33" s="211">
        <v>-5</v>
      </c>
      <c r="P33" s="211">
        <v>-5</v>
      </c>
      <c r="Q33" s="211">
        <v>-5.1146825743999997</v>
      </c>
      <c r="R33" s="211">
        <v>-4.5027785632999997</v>
      </c>
      <c r="S33" s="211">
        <v>-0.50719570069999997</v>
      </c>
      <c r="T33" s="211">
        <v>3.0157271671000001</v>
      </c>
      <c r="U33" s="182">
        <v>29.658767531599999</v>
      </c>
      <c r="V33" s="213">
        <v>71.800109557100001</v>
      </c>
      <c r="W33" s="213">
        <v>93.149387425599997</v>
      </c>
      <c r="X33" s="213">
        <v>95.108359808200007</v>
      </c>
      <c r="Y33" s="213">
        <v>81.857688605299998</v>
      </c>
      <c r="Z33" s="215"/>
      <c r="AA33" s="212">
        <v>-5.1146825743999997</v>
      </c>
      <c r="AB33" s="212">
        <v>95.108359808200007</v>
      </c>
      <c r="AC33" s="212">
        <v>29.091922515899999</v>
      </c>
      <c r="AN33" s="62">
        <f t="shared" si="0"/>
        <v>100.2230423826</v>
      </c>
      <c r="AQ33" s="118">
        <v>26</v>
      </c>
    </row>
    <row r="34" spans="1:43">
      <c r="A34" s="123" t="s">
        <v>281</v>
      </c>
      <c r="B34" s="213">
        <v>81.778490211100006</v>
      </c>
      <c r="C34" s="213">
        <v>77.927750633800002</v>
      </c>
      <c r="D34" s="213">
        <v>63.860775650000001</v>
      </c>
      <c r="E34" s="213">
        <v>58.767549682199999</v>
      </c>
      <c r="F34" s="213">
        <v>54.956373250699997</v>
      </c>
      <c r="G34" s="213">
        <v>69.608356127999997</v>
      </c>
      <c r="H34" s="213">
        <v>89.537192752300001</v>
      </c>
      <c r="I34" s="213">
        <v>99.963117058199998</v>
      </c>
      <c r="J34" s="213">
        <v>80.134649332500004</v>
      </c>
      <c r="K34" s="211">
        <v>23.875466172399999</v>
      </c>
      <c r="L34" s="211">
        <v>1.0496670361</v>
      </c>
      <c r="M34" s="211">
        <v>-7.3928088999999997E-3</v>
      </c>
      <c r="N34" s="211">
        <v>-9.6941512899999999E-2</v>
      </c>
      <c r="O34" s="211">
        <v>-0.82904595240000001</v>
      </c>
      <c r="P34" s="211">
        <v>-0.4974800224</v>
      </c>
      <c r="Q34" s="211">
        <v>-0.35941644560000002</v>
      </c>
      <c r="R34" s="211">
        <v>-3.4586952099999999E-2</v>
      </c>
      <c r="S34" s="211">
        <v>0.41445792510000001</v>
      </c>
      <c r="T34" s="211">
        <v>9.6312968184999992</v>
      </c>
      <c r="U34" s="213">
        <v>62.489875592300002</v>
      </c>
      <c r="V34" s="213">
        <v>86.479272935699996</v>
      </c>
      <c r="W34" s="213">
        <v>97.164310868300007</v>
      </c>
      <c r="X34" s="213">
        <v>85.763992237300002</v>
      </c>
      <c r="Y34" s="213">
        <v>81.554272486800002</v>
      </c>
      <c r="Z34" s="215"/>
      <c r="AA34" s="212">
        <v>-0.82904595240000001</v>
      </c>
      <c r="AB34" s="212">
        <v>99.963117058199998</v>
      </c>
      <c r="AC34" s="212">
        <v>38.2807661903</v>
      </c>
      <c r="AN34" s="62">
        <f t="shared" si="0"/>
        <v>100.79216301059999</v>
      </c>
      <c r="AQ34" s="118">
        <v>27</v>
      </c>
    </row>
    <row r="35" spans="1:43">
      <c r="A35" s="123" t="s">
        <v>282</v>
      </c>
      <c r="B35" s="213">
        <v>84.004290170399997</v>
      </c>
      <c r="C35" s="213">
        <v>79.656810545400006</v>
      </c>
      <c r="D35" s="213">
        <v>76.567351780500005</v>
      </c>
      <c r="E35" s="213">
        <v>74.500323344500003</v>
      </c>
      <c r="F35" s="213">
        <v>74.325422442800004</v>
      </c>
      <c r="G35" s="213">
        <v>77.710452997700003</v>
      </c>
      <c r="H35" s="213">
        <v>84.298701592499995</v>
      </c>
      <c r="I35" s="213">
        <v>93.913804421600005</v>
      </c>
      <c r="J35" s="213">
        <v>88.678220675199995</v>
      </c>
      <c r="K35" s="213">
        <v>57.447142520200003</v>
      </c>
      <c r="L35" s="211">
        <v>11.1057846281</v>
      </c>
      <c r="M35" s="211">
        <v>1.0464548659999999</v>
      </c>
      <c r="N35" s="211">
        <v>0.46504864800000001</v>
      </c>
      <c r="O35" s="211">
        <v>0.01</v>
      </c>
      <c r="P35" s="211">
        <v>7.4915038999999999E-3</v>
      </c>
      <c r="Q35" s="211">
        <v>0.13469419830000001</v>
      </c>
      <c r="R35" s="211">
        <v>0.98301732090000005</v>
      </c>
      <c r="S35" s="211">
        <v>7.7996183025999999</v>
      </c>
      <c r="T35" s="182">
        <v>40.942834470800001</v>
      </c>
      <c r="U35" s="213">
        <v>81.726465127300003</v>
      </c>
      <c r="V35" s="213">
        <v>98.122040574899998</v>
      </c>
      <c r="W35" s="213">
        <v>109.4747173569</v>
      </c>
      <c r="X35" s="213">
        <v>99.382044988499999</v>
      </c>
      <c r="Y35" s="213">
        <v>91.236414308199997</v>
      </c>
      <c r="Z35" s="215"/>
      <c r="AA35" s="212">
        <v>7.4915038999999999E-3</v>
      </c>
      <c r="AB35" s="212">
        <v>109.4747173569</v>
      </c>
      <c r="AC35" s="212">
        <v>47.031230454300001</v>
      </c>
      <c r="AE35" s="62"/>
      <c r="AN35" s="62">
        <f t="shared" si="0"/>
        <v>109.467225853</v>
      </c>
      <c r="AQ35" s="118">
        <v>28</v>
      </c>
    </row>
    <row r="36" spans="1:43">
      <c r="A36" s="123" t="s">
        <v>283</v>
      </c>
      <c r="B36" s="213">
        <v>98.581035197099993</v>
      </c>
      <c r="C36" s="213">
        <v>92.611544544400004</v>
      </c>
      <c r="D36" s="213">
        <v>89.751292963500006</v>
      </c>
      <c r="E36" s="213">
        <v>89.340343771899995</v>
      </c>
      <c r="F36" s="213">
        <v>89.137828416299996</v>
      </c>
      <c r="G36" s="213">
        <v>91.494618918900002</v>
      </c>
      <c r="H36" s="213">
        <v>106.20083815389999</v>
      </c>
      <c r="I36" s="213">
        <v>108.3300975082</v>
      </c>
      <c r="J36" s="213">
        <v>105.11526194149999</v>
      </c>
      <c r="K36" s="213">
        <v>97.629340268999997</v>
      </c>
      <c r="L36" s="213">
        <v>93.627190736399996</v>
      </c>
      <c r="M36" s="213">
        <v>64.150795935000005</v>
      </c>
      <c r="N36" s="182">
        <v>42.245195687600003</v>
      </c>
      <c r="O36" s="182">
        <v>29.208295004899998</v>
      </c>
      <c r="P36" s="211">
        <v>21.866850351499998</v>
      </c>
      <c r="Q36" s="211">
        <v>14.225936255500001</v>
      </c>
      <c r="R36" s="211">
        <v>17.715787829300002</v>
      </c>
      <c r="S36" s="182">
        <v>29.206083733700002</v>
      </c>
      <c r="T36" s="182">
        <v>39.596000774399997</v>
      </c>
      <c r="U36" s="213">
        <v>77.920701345300003</v>
      </c>
      <c r="V36" s="213">
        <v>101.622131733</v>
      </c>
      <c r="W36" s="213">
        <v>112.0674771554</v>
      </c>
      <c r="X36" s="213">
        <v>102.9344900289</v>
      </c>
      <c r="Y36" s="213">
        <v>101.39186051670001</v>
      </c>
      <c r="Z36" s="215"/>
      <c r="AA36" s="212">
        <v>14.225936255500001</v>
      </c>
      <c r="AB36" s="212">
        <v>112.0674771554</v>
      </c>
      <c r="AC36" s="212">
        <v>69.011276204400005</v>
      </c>
      <c r="AN36" s="62">
        <f t="shared" si="0"/>
        <v>97.841540899899996</v>
      </c>
      <c r="AQ36" s="118">
        <v>29</v>
      </c>
    </row>
    <row r="37" spans="1:43">
      <c r="A37" s="123" t="s">
        <v>284</v>
      </c>
      <c r="B37" s="213">
        <v>99.927664431699995</v>
      </c>
      <c r="C37" s="213">
        <v>100.4797271275</v>
      </c>
      <c r="D37" s="213">
        <v>96.128353728199997</v>
      </c>
      <c r="E37" s="213">
        <v>95.216541918700003</v>
      </c>
      <c r="F37" s="213">
        <v>97.609232994500005</v>
      </c>
      <c r="G37" s="213">
        <v>96.728614355600001</v>
      </c>
      <c r="H37" s="213">
        <v>100.77861742410001</v>
      </c>
      <c r="I37" s="213">
        <v>111.17557256889999</v>
      </c>
      <c r="J37" s="213">
        <v>97.928503811900001</v>
      </c>
      <c r="K37" s="213">
        <v>63.241936775399999</v>
      </c>
      <c r="L37" s="211">
        <v>11.535014046700001</v>
      </c>
      <c r="M37" s="211">
        <v>0.87746862420000005</v>
      </c>
      <c r="N37" s="211">
        <v>5.0157626999999998E-3</v>
      </c>
      <c r="O37" s="214">
        <v>0</v>
      </c>
      <c r="P37" s="214">
        <v>0</v>
      </c>
      <c r="Q37" s="214">
        <v>0</v>
      </c>
      <c r="R37" s="211">
        <v>0.51887719190000003</v>
      </c>
      <c r="S37" s="211">
        <v>3.4938337088</v>
      </c>
      <c r="T37" s="182">
        <v>26.671711532</v>
      </c>
      <c r="U37" s="213">
        <v>77.678541994</v>
      </c>
      <c r="V37" s="213">
        <v>113.09584937149999</v>
      </c>
      <c r="W37" s="213">
        <v>125.4059201181</v>
      </c>
      <c r="X37" s="213">
        <v>115.88603770820001</v>
      </c>
      <c r="Y37" s="213">
        <v>107.53268671470001</v>
      </c>
      <c r="Z37" s="215"/>
      <c r="AA37" s="212">
        <v>0</v>
      </c>
      <c r="AB37" s="212">
        <v>125.4059201181</v>
      </c>
      <c r="AC37" s="212">
        <v>52.5150128095</v>
      </c>
      <c r="AN37" s="62">
        <f t="shared" si="0"/>
        <v>125.4059201181</v>
      </c>
      <c r="AQ37" s="118">
        <v>30</v>
      </c>
    </row>
    <row r="38" spans="1:43">
      <c r="AN38" s="62">
        <f>AB38-AA38</f>
        <v>0</v>
      </c>
      <c r="AQ38" s="118">
        <v>31</v>
      </c>
    </row>
    <row r="41" spans="1:43">
      <c r="A41" s="121" t="s">
        <v>27</v>
      </c>
      <c r="B41" s="224" t="s">
        <v>45</v>
      </c>
      <c r="C41" s="225"/>
      <c r="D41" s="225"/>
      <c r="E41" s="225"/>
      <c r="F41" s="225"/>
      <c r="G41" s="225"/>
      <c r="H41" s="225"/>
      <c r="I41" s="225"/>
      <c r="J41" s="225"/>
      <c r="K41" s="225"/>
      <c r="L41" s="225"/>
      <c r="M41" s="225"/>
      <c r="N41" s="225"/>
    </row>
    <row r="42" spans="1:43">
      <c r="A42" s="121" t="s">
        <v>115</v>
      </c>
      <c r="B42" s="142">
        <v>202504</v>
      </c>
      <c r="C42" s="142">
        <v>202505</v>
      </c>
      <c r="D42" s="142">
        <v>202506</v>
      </c>
      <c r="E42" s="142">
        <v>202507</v>
      </c>
      <c r="F42" s="142">
        <v>202508</v>
      </c>
      <c r="G42" s="142">
        <v>202509</v>
      </c>
      <c r="H42" s="142">
        <v>202510</v>
      </c>
      <c r="I42" s="142">
        <v>202511</v>
      </c>
      <c r="J42" s="142">
        <v>202512</v>
      </c>
      <c r="K42" s="142">
        <v>202601</v>
      </c>
      <c r="L42" s="142">
        <v>202602</v>
      </c>
      <c r="M42" s="142">
        <v>202603</v>
      </c>
      <c r="N42" s="142">
        <v>202604</v>
      </c>
    </row>
    <row r="43" spans="1:43">
      <c r="A43" s="121" t="s">
        <v>86</v>
      </c>
      <c r="B43" s="144" t="s">
        <v>216</v>
      </c>
      <c r="C43" s="144" t="s">
        <v>219</v>
      </c>
      <c r="D43" s="144" t="s">
        <v>221</v>
      </c>
      <c r="E43" s="144" t="s">
        <v>223</v>
      </c>
      <c r="F43" s="144" t="s">
        <v>226</v>
      </c>
      <c r="G43" s="144" t="s">
        <v>229</v>
      </c>
      <c r="H43" s="144" t="s">
        <v>233</v>
      </c>
      <c r="I43" s="144" t="s">
        <v>238</v>
      </c>
      <c r="J43" s="144" t="s">
        <v>241</v>
      </c>
      <c r="K43" s="144" t="s">
        <v>243</v>
      </c>
      <c r="L43" s="144" t="s">
        <v>247</v>
      </c>
      <c r="M43" s="144" t="s">
        <v>250</v>
      </c>
      <c r="N43" s="144" t="s">
        <v>285</v>
      </c>
    </row>
    <row r="44" spans="1:43">
      <c r="A44" s="121" t="s">
        <v>116</v>
      </c>
      <c r="B44" s="142"/>
      <c r="C44" s="142"/>
      <c r="D44" s="142"/>
      <c r="E44" s="142"/>
      <c r="F44" s="142"/>
      <c r="G44" s="142"/>
      <c r="H44" s="142"/>
      <c r="I44" s="142"/>
      <c r="J44" s="142"/>
      <c r="K44" s="142"/>
      <c r="L44" s="142"/>
      <c r="M44" s="142"/>
      <c r="N44" s="142"/>
    </row>
    <row r="45" spans="1:43">
      <c r="A45" s="123" t="s">
        <v>46</v>
      </c>
      <c r="B45" s="192">
        <v>17848004.853999998</v>
      </c>
      <c r="C45" s="192">
        <v>18602738.697999999</v>
      </c>
      <c r="D45" s="192">
        <v>20734401.002</v>
      </c>
      <c r="E45" s="192">
        <v>22211148.853</v>
      </c>
      <c r="F45" s="192">
        <v>20983429.715999998</v>
      </c>
      <c r="G45" s="192">
        <v>19609999.136999998</v>
      </c>
      <c r="H45" s="192">
        <v>19196589.440000001</v>
      </c>
      <c r="I45" s="192">
        <v>19892075.153000001</v>
      </c>
      <c r="J45" s="192">
        <v>21396364.585999999</v>
      </c>
      <c r="K45" s="192">
        <v>22790441.230999999</v>
      </c>
      <c r="L45" s="192">
        <v>19587221.914000001</v>
      </c>
      <c r="M45" s="192">
        <v>20284271.482000001</v>
      </c>
      <c r="N45" s="192">
        <v>17877538.103</v>
      </c>
      <c r="O45" s="62"/>
      <c r="P45" s="186"/>
      <c r="Q45" s="123"/>
    </row>
    <row r="46" spans="1:43">
      <c r="A46" s="123" t="s">
        <v>47</v>
      </c>
      <c r="B46" s="197">
        <v>100</v>
      </c>
      <c r="C46" s="197">
        <v>100</v>
      </c>
      <c r="D46" s="197">
        <v>100</v>
      </c>
      <c r="E46" s="197">
        <v>100</v>
      </c>
      <c r="F46" s="197">
        <v>100</v>
      </c>
      <c r="G46" s="197">
        <v>100</v>
      </c>
      <c r="H46" s="197">
        <v>100</v>
      </c>
      <c r="I46" s="197">
        <v>100</v>
      </c>
      <c r="J46" s="197">
        <v>100</v>
      </c>
      <c r="K46" s="197">
        <v>100</v>
      </c>
      <c r="L46" s="197">
        <v>100</v>
      </c>
      <c r="M46" s="197">
        <v>100</v>
      </c>
      <c r="N46" s="197">
        <v>100</v>
      </c>
      <c r="Q46" s="123"/>
    </row>
    <row r="47" spans="1:43">
      <c r="A47" s="123" t="s">
        <v>48</v>
      </c>
      <c r="B47" s="198">
        <v>27.66</v>
      </c>
      <c r="C47" s="198">
        <v>17.43</v>
      </c>
      <c r="D47" s="198">
        <v>72.459999999999994</v>
      </c>
      <c r="E47" s="198">
        <v>70.442999999999998</v>
      </c>
      <c r="F47" s="198">
        <v>67.97</v>
      </c>
      <c r="G47" s="198">
        <v>60.85</v>
      </c>
      <c r="H47" s="198">
        <v>76.650000000000006</v>
      </c>
      <c r="I47" s="198">
        <v>60.523000000000003</v>
      </c>
      <c r="J47" s="198">
        <v>80.186000000000007</v>
      </c>
      <c r="K47" s="198">
        <v>73.48</v>
      </c>
      <c r="L47" s="198">
        <v>17.940000000000001</v>
      </c>
      <c r="M47" s="198">
        <v>44.6</v>
      </c>
      <c r="N47" s="198">
        <v>43.793999999999997</v>
      </c>
      <c r="Q47" s="177"/>
    </row>
    <row r="48" spans="1:43">
      <c r="A48" s="123" t="s">
        <v>49</v>
      </c>
      <c r="B48" s="198">
        <v>11.26</v>
      </c>
      <c r="C48" s="198">
        <v>21.57</v>
      </c>
      <c r="D48" s="198">
        <v>9.69</v>
      </c>
      <c r="E48" s="198">
        <v>8.4209999999999994</v>
      </c>
      <c r="F48" s="198">
        <v>8.32</v>
      </c>
      <c r="G48" s="198">
        <v>10.02</v>
      </c>
      <c r="H48" s="198">
        <v>11.09</v>
      </c>
      <c r="I48" s="198">
        <v>13.153</v>
      </c>
      <c r="J48" s="198">
        <v>11.436</v>
      </c>
      <c r="K48" s="198">
        <v>11.965999999999999</v>
      </c>
      <c r="L48" s="198">
        <v>21.63</v>
      </c>
      <c r="M48" s="198">
        <v>24.96</v>
      </c>
      <c r="N48" s="198">
        <v>17.884</v>
      </c>
      <c r="Q48" s="123"/>
    </row>
    <row r="49" spans="1:17">
      <c r="A49" s="123" t="s">
        <v>50</v>
      </c>
      <c r="B49" s="198">
        <v>4.2830000000000004</v>
      </c>
      <c r="C49" s="198">
        <v>2.88</v>
      </c>
      <c r="D49" s="198">
        <v>4.5199999999999996</v>
      </c>
      <c r="E49" s="198">
        <v>4.8019999999999996</v>
      </c>
      <c r="F49" s="198">
        <v>3.03</v>
      </c>
      <c r="G49" s="198">
        <v>4.4400000000000004</v>
      </c>
      <c r="H49" s="198">
        <v>4.79</v>
      </c>
      <c r="I49" s="198">
        <v>1.27</v>
      </c>
      <c r="J49" s="198">
        <v>1.26</v>
      </c>
      <c r="K49" s="198">
        <v>1.86</v>
      </c>
      <c r="L49" s="198">
        <v>1.44</v>
      </c>
      <c r="M49" s="198">
        <v>1.93</v>
      </c>
      <c r="N49" s="198">
        <v>2.5139999999999998</v>
      </c>
      <c r="Q49" s="177"/>
    </row>
    <row r="50" spans="1:17">
      <c r="A50" s="123" t="s">
        <v>51</v>
      </c>
      <c r="B50" s="198">
        <v>-0.01</v>
      </c>
      <c r="C50" s="198">
        <v>-7.0000000000000007E-2</v>
      </c>
      <c r="D50" s="198">
        <v>-0.13400000000000001</v>
      </c>
      <c r="E50" s="198">
        <v>-0.15</v>
      </c>
      <c r="F50" s="198">
        <v>-0.1</v>
      </c>
      <c r="G50" s="198">
        <v>-0.14000000000000001</v>
      </c>
      <c r="H50" s="198">
        <v>-0.21</v>
      </c>
      <c r="I50" s="198">
        <v>-0.21</v>
      </c>
      <c r="J50" s="198">
        <v>-0.2</v>
      </c>
      <c r="K50" s="198">
        <v>-0.13</v>
      </c>
      <c r="L50" s="198">
        <v>-0.17</v>
      </c>
      <c r="M50" s="198">
        <v>-0.14000000000000001</v>
      </c>
      <c r="N50" s="198">
        <v>-0.09</v>
      </c>
      <c r="Q50" s="123"/>
    </row>
    <row r="51" spans="1:17">
      <c r="A51" s="123" t="s">
        <v>52</v>
      </c>
      <c r="B51" s="198">
        <v>0</v>
      </c>
      <c r="C51" s="198">
        <v>0</v>
      </c>
      <c r="D51" s="198"/>
      <c r="E51" s="198"/>
      <c r="F51" s="198"/>
      <c r="G51" s="198"/>
      <c r="H51" s="198">
        <v>0</v>
      </c>
      <c r="I51" s="198">
        <v>0</v>
      </c>
      <c r="J51" s="198">
        <v>0</v>
      </c>
      <c r="K51" s="206"/>
      <c r="L51" s="206"/>
      <c r="M51" s="206"/>
      <c r="N51" s="206"/>
      <c r="Q51" s="177"/>
    </row>
    <row r="52" spans="1:17">
      <c r="A52" s="123" t="s">
        <v>53</v>
      </c>
      <c r="B52" s="198">
        <v>0</v>
      </c>
      <c r="C52" s="198">
        <v>0</v>
      </c>
      <c r="D52" s="198"/>
      <c r="E52" s="198"/>
      <c r="F52" s="198"/>
      <c r="G52" s="198"/>
      <c r="H52" s="198">
        <v>0</v>
      </c>
      <c r="I52" s="198">
        <v>0</v>
      </c>
      <c r="J52" s="198">
        <v>0</v>
      </c>
      <c r="K52" s="206"/>
      <c r="L52" s="206"/>
      <c r="M52" s="206"/>
      <c r="N52" s="206"/>
      <c r="Q52" s="123"/>
    </row>
    <row r="53" spans="1:17">
      <c r="A53" s="87" t="s">
        <v>249</v>
      </c>
      <c r="B53" s="198">
        <v>2.79</v>
      </c>
      <c r="C53" s="198">
        <v>2.46</v>
      </c>
      <c r="D53" s="198">
        <v>2.34</v>
      </c>
      <c r="E53" s="198">
        <v>2.85</v>
      </c>
      <c r="F53" s="198">
        <v>3.12</v>
      </c>
      <c r="G53" s="198">
        <v>3.49</v>
      </c>
      <c r="H53" s="198">
        <v>3.5159999999999996</v>
      </c>
      <c r="I53" s="198">
        <v>2.85</v>
      </c>
      <c r="J53" s="198">
        <v>2.1800000000000002</v>
      </c>
      <c r="K53" s="198">
        <v>2.91</v>
      </c>
      <c r="L53" s="198">
        <v>3.01</v>
      </c>
      <c r="M53" s="198">
        <v>3.16</v>
      </c>
      <c r="N53" s="198">
        <v>3.484</v>
      </c>
      <c r="Q53" s="177"/>
    </row>
    <row r="54" spans="1:17">
      <c r="A54" s="123" t="s">
        <v>54</v>
      </c>
      <c r="B54" s="198">
        <v>-0.42</v>
      </c>
      <c r="C54" s="198">
        <v>-0.19</v>
      </c>
      <c r="D54" s="198">
        <v>-0.49299999999999999</v>
      </c>
      <c r="E54" s="198">
        <v>-0.39</v>
      </c>
      <c r="F54" s="198">
        <v>-0.4</v>
      </c>
      <c r="G54" s="198">
        <v>-0.39</v>
      </c>
      <c r="H54" s="198">
        <v>-0.42</v>
      </c>
      <c r="I54" s="198">
        <v>-0.26</v>
      </c>
      <c r="J54" s="198">
        <v>-0.28000000000000003</v>
      </c>
      <c r="K54" s="198">
        <v>-0.36</v>
      </c>
      <c r="L54" s="198">
        <v>-0.16</v>
      </c>
      <c r="M54" s="198">
        <v>-0.27</v>
      </c>
      <c r="N54" s="198">
        <v>-0.38</v>
      </c>
      <c r="Q54" s="202"/>
    </row>
    <row r="55" spans="1:17">
      <c r="A55" s="123" t="s">
        <v>55</v>
      </c>
      <c r="B55" s="198">
        <v>0.48299999999999998</v>
      </c>
      <c r="C55" s="198">
        <v>0.3</v>
      </c>
      <c r="D55" s="198">
        <v>0.43</v>
      </c>
      <c r="E55" s="198">
        <v>0.49</v>
      </c>
      <c r="F55" s="198">
        <v>0.37</v>
      </c>
      <c r="G55" s="198">
        <v>0.41</v>
      </c>
      <c r="H55" s="198">
        <v>0.26</v>
      </c>
      <c r="I55" s="198">
        <v>0.37</v>
      </c>
      <c r="J55" s="198">
        <v>0.25</v>
      </c>
      <c r="K55" s="198">
        <v>0.41</v>
      </c>
      <c r="L55" s="198">
        <v>0.41</v>
      </c>
      <c r="M55" s="198">
        <v>0.57999999999999996</v>
      </c>
      <c r="N55" s="198">
        <v>0.56399999999999995</v>
      </c>
      <c r="Q55" s="123"/>
    </row>
    <row r="56" spans="1:17">
      <c r="A56" s="123" t="s">
        <v>56</v>
      </c>
      <c r="B56" s="198">
        <v>0.11</v>
      </c>
      <c r="C56" s="198">
        <v>-0.3</v>
      </c>
      <c r="D56" s="198">
        <v>-0.62</v>
      </c>
      <c r="E56" s="198">
        <v>-0.57999999999999996</v>
      </c>
      <c r="F56" s="198">
        <v>-0.3</v>
      </c>
      <c r="G56" s="198">
        <v>-0.33</v>
      </c>
      <c r="H56" s="198">
        <v>-0.52</v>
      </c>
      <c r="I56" s="198">
        <v>-0.25</v>
      </c>
      <c r="J56" s="198">
        <v>-0.24</v>
      </c>
      <c r="K56" s="198">
        <v>-0.64400000000000002</v>
      </c>
      <c r="L56" s="198">
        <v>-0.4</v>
      </c>
      <c r="M56" s="198">
        <v>-0.38</v>
      </c>
      <c r="N56" s="198">
        <v>-0.61</v>
      </c>
      <c r="Q56" s="177"/>
    </row>
    <row r="57" spans="1:17">
      <c r="A57" s="123" t="s">
        <v>22</v>
      </c>
      <c r="B57" s="198">
        <v>-0.11</v>
      </c>
      <c r="C57" s="198">
        <v>-0.11</v>
      </c>
      <c r="D57" s="198">
        <v>-0.09</v>
      </c>
      <c r="E57" s="198">
        <v>-0.09</v>
      </c>
      <c r="F57" s="198">
        <v>-0.09</v>
      </c>
      <c r="G57" s="198">
        <v>-0.11</v>
      </c>
      <c r="H57" s="198">
        <v>-0.1</v>
      </c>
      <c r="I57" s="198">
        <v>-0.02</v>
      </c>
      <c r="J57" s="198">
        <v>-0.02</v>
      </c>
      <c r="K57" s="198">
        <v>-1.4E-2</v>
      </c>
      <c r="L57" s="198">
        <v>-0.01</v>
      </c>
      <c r="M57" s="198">
        <v>-0.01</v>
      </c>
      <c r="N57" s="198">
        <v>-0.01</v>
      </c>
      <c r="Q57" s="123"/>
    </row>
    <row r="58" spans="1:17">
      <c r="A58" s="123" t="s">
        <v>57</v>
      </c>
      <c r="B58" s="198">
        <v>0.14000000000000001</v>
      </c>
      <c r="C58" s="198">
        <v>0.13</v>
      </c>
      <c r="D58" s="198">
        <v>0.15</v>
      </c>
      <c r="E58" s="198">
        <v>0.28000000000000003</v>
      </c>
      <c r="F58" s="198">
        <v>0.14000000000000001</v>
      </c>
      <c r="G58" s="198">
        <v>0.15</v>
      </c>
      <c r="H58" s="198">
        <v>0.14000000000000001</v>
      </c>
      <c r="I58" s="198">
        <v>0.18</v>
      </c>
      <c r="J58" s="198">
        <v>0.27</v>
      </c>
      <c r="K58" s="198">
        <v>0.24</v>
      </c>
      <c r="L58" s="198">
        <v>0.26</v>
      </c>
      <c r="M58" s="198">
        <v>0.17</v>
      </c>
      <c r="N58" s="198">
        <v>0.13</v>
      </c>
      <c r="Q58" s="177"/>
    </row>
    <row r="59" spans="1:17">
      <c r="A59" s="123" t="s">
        <v>196</v>
      </c>
      <c r="B59" s="198">
        <v>0</v>
      </c>
      <c r="C59" s="198">
        <v>0</v>
      </c>
      <c r="D59" s="198">
        <v>0</v>
      </c>
      <c r="E59" s="198">
        <v>0</v>
      </c>
      <c r="F59" s="198">
        <v>0</v>
      </c>
      <c r="G59" s="198">
        <v>0</v>
      </c>
      <c r="H59" s="198">
        <v>0</v>
      </c>
      <c r="I59" s="198">
        <v>0</v>
      </c>
      <c r="J59" s="198">
        <v>0</v>
      </c>
      <c r="K59" s="206"/>
      <c r="L59" s="206"/>
      <c r="M59" s="206"/>
      <c r="N59" s="206"/>
      <c r="Q59" s="123"/>
    </row>
    <row r="60" spans="1:17">
      <c r="A60" s="123" t="s">
        <v>58</v>
      </c>
      <c r="B60" s="198">
        <v>0.04</v>
      </c>
      <c r="C60" s="198">
        <v>0.04</v>
      </c>
      <c r="D60" s="198">
        <v>0.05</v>
      </c>
      <c r="E60" s="198">
        <v>0.04</v>
      </c>
      <c r="F60" s="198">
        <v>0.05</v>
      </c>
      <c r="G60" s="198">
        <v>0.05</v>
      </c>
      <c r="H60" s="198">
        <v>0.06</v>
      </c>
      <c r="I60" s="198">
        <v>0.04</v>
      </c>
      <c r="J60" s="198">
        <v>0.05</v>
      </c>
      <c r="K60" s="198">
        <v>0.05</v>
      </c>
      <c r="L60" s="198">
        <v>0.05</v>
      </c>
      <c r="M60" s="198">
        <v>7.0000000000000007E-2</v>
      </c>
      <c r="N60" s="198">
        <v>0.14000000000000001</v>
      </c>
      <c r="Q60" s="177"/>
    </row>
    <row r="61" spans="1:17">
      <c r="A61" s="123" t="s">
        <v>194</v>
      </c>
      <c r="B61" s="198">
        <v>0</v>
      </c>
      <c r="C61" s="198">
        <v>0</v>
      </c>
      <c r="D61" s="198">
        <v>0</v>
      </c>
      <c r="E61" s="198">
        <v>0</v>
      </c>
      <c r="F61" s="198">
        <v>0</v>
      </c>
      <c r="G61" s="198">
        <v>0</v>
      </c>
      <c r="H61" s="198">
        <v>0</v>
      </c>
      <c r="I61" s="198">
        <v>0</v>
      </c>
      <c r="J61" s="198">
        <v>0</v>
      </c>
      <c r="K61" s="206"/>
      <c r="L61" s="206"/>
      <c r="M61" s="206"/>
      <c r="N61" s="206"/>
      <c r="Q61" s="123"/>
    </row>
    <row r="62" spans="1:17">
      <c r="A62" s="123" t="s">
        <v>182</v>
      </c>
      <c r="B62" s="182">
        <v>0</v>
      </c>
      <c r="C62" s="182">
        <v>0</v>
      </c>
      <c r="D62" s="199">
        <v>0</v>
      </c>
      <c r="E62" s="198">
        <v>0</v>
      </c>
      <c r="F62" s="198">
        <v>0</v>
      </c>
      <c r="G62" s="198">
        <v>0</v>
      </c>
      <c r="H62" s="182">
        <v>0</v>
      </c>
      <c r="I62" s="182">
        <v>0</v>
      </c>
      <c r="J62" s="201">
        <v>0</v>
      </c>
      <c r="K62" s="201"/>
      <c r="L62" s="201"/>
      <c r="M62" s="201"/>
      <c r="N62" s="201"/>
      <c r="Q62" s="177"/>
    </row>
    <row r="63" spans="1:17">
      <c r="A63" s="123" t="s">
        <v>183</v>
      </c>
      <c r="B63" s="182">
        <v>0</v>
      </c>
      <c r="C63" s="182">
        <v>0</v>
      </c>
      <c r="D63" s="199">
        <v>0</v>
      </c>
      <c r="E63" s="198">
        <v>0</v>
      </c>
      <c r="F63" s="198">
        <v>0</v>
      </c>
      <c r="G63" s="198">
        <v>0</v>
      </c>
      <c r="H63" s="182">
        <v>0</v>
      </c>
      <c r="I63" s="182">
        <v>0</v>
      </c>
      <c r="J63" s="201">
        <v>0</v>
      </c>
      <c r="K63" s="201"/>
      <c r="L63" s="201"/>
      <c r="M63" s="201"/>
      <c r="N63" s="201"/>
      <c r="Q63" s="177"/>
    </row>
    <row r="64" spans="1:17">
      <c r="A64" s="123" t="s">
        <v>184</v>
      </c>
      <c r="B64" s="182">
        <v>0</v>
      </c>
      <c r="C64" s="182">
        <v>0</v>
      </c>
      <c r="D64" s="199">
        <v>0</v>
      </c>
      <c r="E64" s="198">
        <v>0</v>
      </c>
      <c r="F64" s="198">
        <v>0</v>
      </c>
      <c r="G64" s="198">
        <v>0</v>
      </c>
      <c r="H64" s="182">
        <v>0</v>
      </c>
      <c r="I64" s="182">
        <v>0</v>
      </c>
      <c r="J64" s="201">
        <v>0</v>
      </c>
      <c r="K64" s="201"/>
      <c r="L64" s="201"/>
      <c r="M64" s="201"/>
      <c r="N64" s="201"/>
      <c r="O64" s="138">
        <f>(N67/M67-1)</f>
        <v>-0.10142127777011167</v>
      </c>
      <c r="P64" s="138">
        <f>(N67/B67-1)</f>
        <v>0.44550499445061065</v>
      </c>
      <c r="Q64" s="177"/>
    </row>
    <row r="65" spans="1:17">
      <c r="A65" s="123" t="s">
        <v>185</v>
      </c>
      <c r="B65" s="198">
        <v>-1.17</v>
      </c>
      <c r="C65" s="198">
        <v>-1.26</v>
      </c>
      <c r="D65" s="198">
        <v>-1.0999999999999999</v>
      </c>
      <c r="E65" s="198">
        <v>-1.08</v>
      </c>
      <c r="F65" s="198">
        <v>-1.03</v>
      </c>
      <c r="G65" s="198">
        <v>-1.2</v>
      </c>
      <c r="H65" s="198">
        <v>-1.29</v>
      </c>
      <c r="I65" s="198">
        <v>-1.1200000000000001</v>
      </c>
      <c r="J65" s="198">
        <v>-0.96</v>
      </c>
      <c r="K65" s="198">
        <v>-1.8340000000000001</v>
      </c>
      <c r="L65" s="198">
        <v>-2.0499999999999998</v>
      </c>
      <c r="M65" s="198">
        <v>-2.19</v>
      </c>
      <c r="N65" s="198">
        <v>-2.29</v>
      </c>
      <c r="Q65" s="177"/>
    </row>
    <row r="66" spans="1:17">
      <c r="A66" s="123" t="s">
        <v>237</v>
      </c>
      <c r="B66" s="200">
        <v>-0.01</v>
      </c>
      <c r="C66" s="200">
        <v>-0.01</v>
      </c>
      <c r="D66" s="200">
        <v>0</v>
      </c>
      <c r="E66" s="198">
        <v>-0.01</v>
      </c>
      <c r="F66" s="198">
        <v>-0.01</v>
      </c>
      <c r="G66" s="198">
        <v>-0.01</v>
      </c>
      <c r="H66" s="198">
        <v>-0.01</v>
      </c>
      <c r="I66" s="198">
        <v>-0.01</v>
      </c>
      <c r="J66" s="198">
        <v>-0.01</v>
      </c>
      <c r="K66" s="206">
        <v>-0.01</v>
      </c>
      <c r="L66" s="206">
        <v>-0.01</v>
      </c>
      <c r="M66" s="206">
        <v>-0.01</v>
      </c>
      <c r="N66" s="206">
        <v>-0.01</v>
      </c>
      <c r="Q66" s="177"/>
    </row>
    <row r="67" spans="1:17">
      <c r="A67" s="196" t="s">
        <v>59</v>
      </c>
      <c r="B67" s="207">
        <v>45.05</v>
      </c>
      <c r="C67" s="207">
        <v>42.87</v>
      </c>
      <c r="D67" s="207">
        <v>87.2</v>
      </c>
      <c r="E67" s="207">
        <v>85.03</v>
      </c>
      <c r="F67" s="207">
        <v>81.069999999999993</v>
      </c>
      <c r="G67" s="207">
        <v>77.23</v>
      </c>
      <c r="H67" s="207">
        <v>93.96</v>
      </c>
      <c r="I67" s="207">
        <v>76.516000000000005</v>
      </c>
      <c r="J67" s="207">
        <v>93.92</v>
      </c>
      <c r="K67" s="207">
        <v>87.92</v>
      </c>
      <c r="L67" s="207">
        <v>41.94</v>
      </c>
      <c r="M67" s="207">
        <v>72.47</v>
      </c>
      <c r="N67" s="207">
        <v>65.12</v>
      </c>
    </row>
    <row r="68" spans="1:17">
      <c r="A68" s="62"/>
      <c r="B68" s="62"/>
      <c r="D68" s="62"/>
      <c r="E68" s="62"/>
      <c r="F68" s="62"/>
      <c r="G68" s="62"/>
      <c r="H68" s="62"/>
      <c r="I68" s="62"/>
      <c r="J68" s="62"/>
      <c r="K68" s="62"/>
      <c r="L68" s="62"/>
      <c r="M68" s="62"/>
      <c r="N68" s="62"/>
    </row>
    <row r="69" spans="1:17">
      <c r="B69">
        <v>45.05</v>
      </c>
      <c r="C69" s="208">
        <v>42.87</v>
      </c>
      <c r="D69">
        <v>87.2</v>
      </c>
      <c r="E69">
        <v>85.03</v>
      </c>
      <c r="F69" s="126">
        <v>81.069999999999993</v>
      </c>
      <c r="G69">
        <v>77.23</v>
      </c>
      <c r="H69">
        <v>93.96</v>
      </c>
      <c r="I69">
        <v>76.516000000000005</v>
      </c>
      <c r="J69">
        <v>93.92</v>
      </c>
      <c r="K69" s="126">
        <v>87.92</v>
      </c>
      <c r="L69">
        <v>41.94</v>
      </c>
      <c r="M69">
        <v>72.47</v>
      </c>
      <c r="N69">
        <v>65.12</v>
      </c>
    </row>
    <row r="70" spans="1:17">
      <c r="D70" s="62"/>
      <c r="N70" s="138"/>
    </row>
    <row r="71" spans="1:17">
      <c r="D71" s="62"/>
      <c r="L71">
        <f>SUMPRODUCT(L67:N67,L45:N45)/SUM(L45:N45)</f>
        <v>59.839523416092263</v>
      </c>
      <c r="N71" s="138"/>
    </row>
    <row r="72" spans="1:17">
      <c r="D72" s="62"/>
      <c r="N72" s="138"/>
    </row>
    <row r="73" spans="1:17">
      <c r="N73" s="138"/>
    </row>
    <row r="74" spans="1:17">
      <c r="N74" s="138">
        <f>N67/B67-1</f>
        <v>0.44550499445061065</v>
      </c>
    </row>
    <row r="75" spans="1:17">
      <c r="M75" s="62"/>
      <c r="N75" s="62"/>
    </row>
    <row r="80" spans="1:17">
      <c r="A80" s="176" t="s">
        <v>18</v>
      </c>
      <c r="B80" s="176"/>
      <c r="C80" s="176"/>
      <c r="D80" s="89"/>
      <c r="E80" s="90"/>
      <c r="F80" s="90"/>
      <c r="G80" s="90"/>
      <c r="H80" s="90"/>
      <c r="I80" s="90"/>
      <c r="J80" s="90"/>
      <c r="K80" s="90"/>
      <c r="L80" s="90"/>
      <c r="M80" s="90"/>
      <c r="N80" s="90"/>
    </row>
    <row r="81" spans="1:16">
      <c r="A81" s="86"/>
      <c r="B81" s="91" t="str">
        <f t="shared" ref="B81:N81" si="1">MID(B43,6,1)</f>
        <v>A</v>
      </c>
      <c r="C81" s="91" t="str">
        <f t="shared" si="1"/>
        <v>M</v>
      </c>
      <c r="D81" s="91" t="str">
        <f t="shared" si="1"/>
        <v>J</v>
      </c>
      <c r="E81" s="91" t="str">
        <f t="shared" si="1"/>
        <v>J</v>
      </c>
      <c r="F81" s="91" t="str">
        <f t="shared" si="1"/>
        <v>A</v>
      </c>
      <c r="G81" s="91" t="str">
        <f t="shared" si="1"/>
        <v>S</v>
      </c>
      <c r="H81" s="91" t="str">
        <f t="shared" si="1"/>
        <v>O</v>
      </c>
      <c r="I81" s="91" t="str">
        <f t="shared" si="1"/>
        <v>N</v>
      </c>
      <c r="J81" s="91" t="str">
        <f t="shared" si="1"/>
        <v>D</v>
      </c>
      <c r="K81" s="91" t="str">
        <f t="shared" si="1"/>
        <v>E</v>
      </c>
      <c r="L81" s="91" t="str">
        <f t="shared" si="1"/>
        <v>F</v>
      </c>
      <c r="M81" s="91" t="str">
        <f t="shared" si="1"/>
        <v>M</v>
      </c>
      <c r="N81" s="91" t="str">
        <f t="shared" si="1"/>
        <v>A</v>
      </c>
    </row>
    <row r="82" spans="1:16">
      <c r="A82" s="87" t="s">
        <v>20</v>
      </c>
      <c r="B82" s="92">
        <f>VLOOKUP("Restricciones PBF",$A$45:$N$67,2,FALSE)</f>
        <v>11.26</v>
      </c>
      <c r="C82" s="92">
        <f>VLOOKUP("Restricciones PBF",$A$45:$N$67,3,FALSE)</f>
        <v>21.57</v>
      </c>
      <c r="D82" s="92">
        <f>VLOOKUP("Restricciones PBF",$A$45:$N$67,4,FALSE)</f>
        <v>9.69</v>
      </c>
      <c r="E82" s="92">
        <f>VLOOKUP("Restricciones PBF",$A$45:$N$67,5,FALSE)</f>
        <v>8.4209999999999994</v>
      </c>
      <c r="F82" s="92">
        <f>VLOOKUP("Restricciones PBF",$A$45:$N$67,6,FALSE)</f>
        <v>8.32</v>
      </c>
      <c r="G82" s="92">
        <f>VLOOKUP("Restricciones PBF",$A$45:$N$67,7,FALSE)</f>
        <v>10.02</v>
      </c>
      <c r="H82" s="92">
        <f>VLOOKUP("Restricciones PBF",$A$45:$N$67,8,FALSE)</f>
        <v>11.09</v>
      </c>
      <c r="I82" s="92">
        <f>VLOOKUP("Restricciones PBF",$A$45:$N$67,9,FALSE)</f>
        <v>13.153</v>
      </c>
      <c r="J82" s="92">
        <f>VLOOKUP("Restricciones PBF",$A$45:$N$67,10,FALSE)</f>
        <v>11.436</v>
      </c>
      <c r="K82" s="92">
        <f>VLOOKUP("Restricciones PBF",$A$45:$N$67,11,FALSE)</f>
        <v>11.965999999999999</v>
      </c>
      <c r="L82" s="92">
        <f>VLOOKUP("Restricciones PBF",$A$45:$N$67,12,FALSE)</f>
        <v>21.63</v>
      </c>
      <c r="M82" s="92">
        <f>VLOOKUP("Restricciones PBF",$A$45:$N$67,13,FALSE)</f>
        <v>24.96</v>
      </c>
      <c r="N82" s="92">
        <f>VLOOKUP("Restricciones PBF",$A$45:$N$67,14,FALSE)</f>
        <v>17.884</v>
      </c>
    </row>
    <row r="83" spans="1:16">
      <c r="A83" s="87" t="s">
        <v>24</v>
      </c>
      <c r="B83" s="92">
        <f>VLOOKUP("Restricciones TR",$A$45:$N$67,2,FALSE)</f>
        <v>4.2830000000000004</v>
      </c>
      <c r="C83" s="92">
        <f>VLOOKUP("Restricciones TR",$A$45:$N$67,3,FALSE)</f>
        <v>2.88</v>
      </c>
      <c r="D83" s="92">
        <f>VLOOKUP("Restricciones TR",$A$45:$N$67,4,FALSE)</f>
        <v>4.5199999999999996</v>
      </c>
      <c r="E83" s="92">
        <f>VLOOKUP("Restricciones TR",$A$45:$N$67,5,FALSE)</f>
        <v>4.8019999999999996</v>
      </c>
      <c r="F83" s="92">
        <f>VLOOKUP("Restricciones TR",$A$45:$N$67,6,FALSE)</f>
        <v>3.03</v>
      </c>
      <c r="G83" s="92">
        <f>VLOOKUP("Restricciones TR",$A$45:$N$67,7,FALSE)</f>
        <v>4.4400000000000004</v>
      </c>
      <c r="H83" s="92">
        <f>VLOOKUP("Restricciones TR",$A$45:$N$67,8,FALSE)</f>
        <v>4.79</v>
      </c>
      <c r="I83" s="92">
        <f>VLOOKUP("Restricciones TR",$A$45:$N$67,9,FALSE)</f>
        <v>1.27</v>
      </c>
      <c r="J83" s="92">
        <f>VLOOKUP("Restricciones TR",$A$45:$N$67,10,FALSE)</f>
        <v>1.26</v>
      </c>
      <c r="K83" s="92">
        <f>VLOOKUP("Restricciones TR",$A$45:$N$67,11,FALSE)</f>
        <v>1.86</v>
      </c>
      <c r="L83" s="92">
        <f>VLOOKUP("Restricciones TR",$A$45:$N$67,12,FALSE)</f>
        <v>1.44</v>
      </c>
      <c r="M83" s="92">
        <f>VLOOKUP("Restricciones TR",$A$45:$N$67,13,FALSE)</f>
        <v>1.93</v>
      </c>
      <c r="N83" s="92">
        <f>VLOOKUP("Restricciones TR",$A$45:$N$67,14,FALSE)</f>
        <v>2.5139999999999998</v>
      </c>
    </row>
    <row r="84" spans="1:16">
      <c r="A84" s="87" t="s">
        <v>249</v>
      </c>
      <c r="B84" s="92">
        <f>B53</f>
        <v>2.79</v>
      </c>
      <c r="C84" s="92">
        <f t="shared" ref="C84:N84" si="2">C53</f>
        <v>2.46</v>
      </c>
      <c r="D84" s="92">
        <f t="shared" si="2"/>
        <v>2.34</v>
      </c>
      <c r="E84" s="92">
        <f t="shared" si="2"/>
        <v>2.85</v>
      </c>
      <c r="F84" s="92">
        <f t="shared" si="2"/>
        <v>3.12</v>
      </c>
      <c r="G84" s="92">
        <f t="shared" si="2"/>
        <v>3.49</v>
      </c>
      <c r="H84" s="92">
        <f t="shared" si="2"/>
        <v>3.5159999999999996</v>
      </c>
      <c r="I84" s="92">
        <f t="shared" si="2"/>
        <v>2.85</v>
      </c>
      <c r="J84" s="92">
        <f t="shared" si="2"/>
        <v>2.1800000000000002</v>
      </c>
      <c r="K84" s="92">
        <f t="shared" si="2"/>
        <v>2.91</v>
      </c>
      <c r="L84" s="92">
        <f t="shared" si="2"/>
        <v>3.01</v>
      </c>
      <c r="M84" s="92">
        <f t="shared" si="2"/>
        <v>3.16</v>
      </c>
      <c r="N84" s="92">
        <f t="shared" si="2"/>
        <v>3.484</v>
      </c>
    </row>
    <row r="85" spans="1:16">
      <c r="A85" s="87" t="s">
        <v>54</v>
      </c>
      <c r="B85" s="92">
        <f>VLOOKUP("Incumplimiento energía balance",$A$45:$N$67,2,FALSE)</f>
        <v>-0.42</v>
      </c>
      <c r="C85" s="92">
        <f>VLOOKUP("Incumplimiento energía balance",$A$45:$N$67,3,FALSE)</f>
        <v>-0.19</v>
      </c>
      <c r="D85" s="92">
        <f>VLOOKUP("Incumplimiento energía balance",$A$45:$N$67,4,FALSE)</f>
        <v>-0.49299999999999999</v>
      </c>
      <c r="E85" s="92">
        <f>VLOOKUP("Incumplimiento energía balance",$A$45:$N$67,5,FALSE)</f>
        <v>-0.39</v>
      </c>
      <c r="F85" s="92">
        <f>VLOOKUP("Incumplimiento energía balance",$A$45:$N$67,6,FALSE)</f>
        <v>-0.4</v>
      </c>
      <c r="G85" s="92">
        <f>VLOOKUP("Incumplimiento energía balance",$A$45:$N$67,7,FALSE)</f>
        <v>-0.39</v>
      </c>
      <c r="H85" s="92">
        <f>VLOOKUP("Incumplimiento energía balance",$A$45:$N$67,8,FALSE)</f>
        <v>-0.42</v>
      </c>
      <c r="I85" s="92">
        <f>VLOOKUP("Incumplimiento energía balance",$A$45:$N$67,9,FALSE)</f>
        <v>-0.26</v>
      </c>
      <c r="J85" s="92">
        <f>VLOOKUP("Incumplimiento energía balance",$A$45:$N$67,10,FALSE)</f>
        <v>-0.28000000000000003</v>
      </c>
      <c r="K85" s="92">
        <f>VLOOKUP("Incumplimiento energía balance",$A$45:$N$67,11,FALSE)</f>
        <v>-0.36</v>
      </c>
      <c r="L85" s="92">
        <f>VLOOKUP("Incumplimiento energía balance",$A$45:$N$67,12,FALSE)</f>
        <v>-0.16</v>
      </c>
      <c r="M85" s="92">
        <f>VLOOKUP("Incumplimiento energía balance",$A$45:$N$67,13,FALSE)</f>
        <v>-0.27</v>
      </c>
      <c r="N85" s="92">
        <f>VLOOKUP("Incumplimiento energía balance",$A$45:$N$67,14,FALSE)</f>
        <v>-0.38</v>
      </c>
    </row>
    <row r="86" spans="1:16">
      <c r="A86" s="87" t="s">
        <v>55</v>
      </c>
      <c r="B86" s="92">
        <f>VLOOKUP("Coste desvíos",$A$45:$N$67,2,FALSE)</f>
        <v>0.48299999999999998</v>
      </c>
      <c r="C86" s="92">
        <f>VLOOKUP("Coste desvíos",$A$45:$N$67,3,FALSE)</f>
        <v>0.3</v>
      </c>
      <c r="D86" s="92">
        <f>VLOOKUP("Coste desvíos",$A$45:$N$67,4,FALSE)</f>
        <v>0.43</v>
      </c>
      <c r="E86" s="92">
        <f>VLOOKUP("Coste desvíos",$A$45:$N$67,5,FALSE)</f>
        <v>0.49</v>
      </c>
      <c r="F86" s="92">
        <f>VLOOKUP("Coste desvíos",$A$45:$N$67,6,FALSE)</f>
        <v>0.37</v>
      </c>
      <c r="G86" s="92">
        <f>VLOOKUP("Coste desvíos",$A$45:$N$67,7,FALSE)</f>
        <v>0.41</v>
      </c>
      <c r="H86" s="92">
        <f>VLOOKUP("Coste desvíos",$A$45:$N$67,8,FALSE)</f>
        <v>0.26</v>
      </c>
      <c r="I86" s="92">
        <f>VLOOKUP("Coste desvíos",$A$45:$N$67,9,FALSE)</f>
        <v>0.37</v>
      </c>
      <c r="J86" s="92">
        <f>VLOOKUP("Coste desvíos",$A$45:$N$67,10,FALSE)</f>
        <v>0.25</v>
      </c>
      <c r="K86" s="92">
        <f>VLOOKUP("Coste desvíos",$A$45:$N$67,11,FALSE)</f>
        <v>0.41</v>
      </c>
      <c r="L86" s="92">
        <f>VLOOKUP("Coste desvíos",$A$45:$N$67,12,FALSE)</f>
        <v>0.41</v>
      </c>
      <c r="M86" s="92">
        <f>VLOOKUP("Coste desvíos",$A$45:$N$67,13,FALSE)</f>
        <v>0.57999999999999996</v>
      </c>
      <c r="N86" s="92">
        <f>VLOOKUP("Coste desvíos",$A$45:$N$67,14,FALSE)</f>
        <v>0.56399999999999995</v>
      </c>
    </row>
    <row r="87" spans="1:16">
      <c r="A87" s="87" t="s">
        <v>56</v>
      </c>
      <c r="B87" s="92">
        <f>VLOOKUP("Saldo desvíos",$A$45:$N$67,2,FALSE)</f>
        <v>0.11</v>
      </c>
      <c r="C87" s="92">
        <f>VLOOKUP("Saldo desvíos",$A$45:$N$67,3,FALSE)</f>
        <v>-0.3</v>
      </c>
      <c r="D87" s="92">
        <f>VLOOKUP("Saldo desvíos",$A$45:$N$67,4,FALSE)</f>
        <v>-0.62</v>
      </c>
      <c r="E87" s="92">
        <f>VLOOKUP("Saldo desvíos",$A$45:$N$67,5,FALSE)</f>
        <v>-0.57999999999999996</v>
      </c>
      <c r="F87" s="92">
        <f>VLOOKUP("Saldo desvíos",$A$45:$N$67,6,FALSE)</f>
        <v>-0.3</v>
      </c>
      <c r="G87" s="92">
        <f>VLOOKUP("Saldo desvíos",$A$45:$N$67,7,FALSE)</f>
        <v>-0.33</v>
      </c>
      <c r="H87" s="92">
        <f>VLOOKUP("Saldo desvíos",$A$45:$N$67,8,FALSE)</f>
        <v>-0.52</v>
      </c>
      <c r="I87" s="92">
        <f>VLOOKUP("Saldo desvíos",$A$45:$N$67,9,FALSE)</f>
        <v>-0.25</v>
      </c>
      <c r="J87" s="92">
        <f>VLOOKUP("Saldo desvíos",$A$45:$N$67,10,FALSE)</f>
        <v>-0.24</v>
      </c>
      <c r="K87" s="92">
        <f>VLOOKUP("Saldo desvíos",$A$45:$N$67,11,FALSE)</f>
        <v>-0.64400000000000002</v>
      </c>
      <c r="L87" s="92">
        <f>VLOOKUP("Saldo desvíos",$A$45:$N$67,12,FALSE)</f>
        <v>-0.4</v>
      </c>
      <c r="M87" s="92">
        <f>VLOOKUP("Saldo desvíos",$A$45:$N$67,13,FALSE)</f>
        <v>-0.38</v>
      </c>
      <c r="N87" s="92">
        <f>VLOOKUP("Saldo desvíos",$A$45:$N$67,14,FALSE)</f>
        <v>-0.61</v>
      </c>
    </row>
    <row r="88" spans="1:16">
      <c r="A88" s="87" t="s">
        <v>22</v>
      </c>
      <c r="B88" s="92">
        <f>VLOOKUP("Control del factor de potencia",$A$45:$N$67,2,FALSE)</f>
        <v>-0.11</v>
      </c>
      <c r="C88" s="92">
        <f>VLOOKUP("Control del factor de potencia",$A$45:$N$67,3,FALSE)</f>
        <v>-0.11</v>
      </c>
      <c r="D88" s="92">
        <f>VLOOKUP("Control del factor de potencia",$A$45:$N$67,4,FALSE)</f>
        <v>-0.09</v>
      </c>
      <c r="E88" s="92">
        <f>VLOOKUP("Control del factor de potencia",$A$45:$N$67,5,FALSE)</f>
        <v>-0.09</v>
      </c>
      <c r="F88" s="92">
        <f>VLOOKUP("Control del factor de potencia",$A$45:$N$67,6,FALSE)</f>
        <v>-0.09</v>
      </c>
      <c r="G88" s="92">
        <f>VLOOKUP("Control del factor de potencia",$A$45:$N$67,7,FALSE)</f>
        <v>-0.11</v>
      </c>
      <c r="H88" s="92">
        <f>VLOOKUP("Control del factor de potencia",$A$45:$N$67,8,FALSE)</f>
        <v>-0.1</v>
      </c>
      <c r="I88" s="92">
        <f>VLOOKUP("Control del factor de potencia",$A$45:$N$67,9,FALSE)</f>
        <v>-0.02</v>
      </c>
      <c r="J88" s="92">
        <f>VLOOKUP("Control del factor de potencia",$A$45:$N$67,10,FALSE)</f>
        <v>-0.02</v>
      </c>
      <c r="K88" s="92">
        <f>VLOOKUP("Control del factor de potencia",$A$45:$N$67,11,FALSE)</f>
        <v>-1.4E-2</v>
      </c>
      <c r="L88" s="92">
        <f>VLOOKUP("Control del factor de potencia",$A$45:$N$67,12,FALSE)</f>
        <v>-0.01</v>
      </c>
      <c r="M88" s="92">
        <f>VLOOKUP("Control del factor de potencia",$A$45:$N$67,13,FALSE)</f>
        <v>-0.01</v>
      </c>
      <c r="N88" s="92">
        <f>VLOOKUP("Control del factor de potencia",$A$45:$N$67,14,FALSE)</f>
        <v>-0.01</v>
      </c>
    </row>
    <row r="89" spans="1:16">
      <c r="A89" s="87" t="s">
        <v>201</v>
      </c>
      <c r="B89" s="92">
        <f>VLOOKUP("Servicio RAD",$A$45:$N$67,2,FALSE)+VLOOKUP("Ingreso control de tensión",$A$45:$N$67,2,FALSE)</f>
        <v>-1.18</v>
      </c>
      <c r="C89" s="92">
        <f>VLOOKUP("Servicio RAD",$A$45:$N$67,3,FALSE)+VLOOKUP("Ingreso control de tensión",$A$45:$N$67,3,FALSE)</f>
        <v>-1.27</v>
      </c>
      <c r="D89" s="92">
        <f>VLOOKUP("Servicio RAD",$A$45:$N$67,4,FALSE)+VLOOKUP("Ingreso control de tensión",$A$45:$N$67,4,FALSE)</f>
        <v>-1.0999999999999999</v>
      </c>
      <c r="E89" s="92">
        <f>VLOOKUP("Servicio RAD",$A$45:$N$67,5,FALSE)+VLOOKUP("Ingreso control de tensión",$A$45:$N$67,5,FALSE)</f>
        <v>-1.0900000000000001</v>
      </c>
      <c r="F89" s="92">
        <f>VLOOKUP("Servicio RAD",$A$45:$N$67,6,FALSE)+VLOOKUP("Ingreso control de tensión",$A$45:$N$67,6,FALSE)</f>
        <v>-1.04</v>
      </c>
      <c r="G89" s="92">
        <f>VLOOKUP("Servicio RAD",$A$45:$N$67,7,FALSE)+VLOOKUP("Ingreso control de tensión",$A$45:$N$67,7,FALSE)</f>
        <v>-1.21</v>
      </c>
      <c r="H89" s="92">
        <f>VLOOKUP("Servicio RAD",$A$45:$N$67,8,FALSE)+VLOOKUP("Ingreso control de tensión",$A$45:$N$67,8,FALSE)</f>
        <v>-1.3</v>
      </c>
      <c r="I89" s="92">
        <f>VLOOKUP("Servicio RAD",$A$45:$N$67,9,FALSE)+VLOOKUP("Ingreso control de tensión",$A$45:$N$67,9,FALSE)</f>
        <v>-1.1300000000000001</v>
      </c>
      <c r="J89" s="92">
        <f>VLOOKUP("Servicio RAD",$A$45:$N$67,10,FALSE)+VLOOKUP("Ingreso control de tensión",$A$45:$N$67,10,FALSE)</f>
        <v>-0.97</v>
      </c>
      <c r="K89" s="92">
        <f>VLOOKUP("Servicio RAD",$A$45:$N$67,11,FALSE)+VLOOKUP("Ingreso control de tensión",$A$45:$N$67,11,FALSE)</f>
        <v>-1.8440000000000001</v>
      </c>
      <c r="L89" s="92">
        <f>VLOOKUP("Servicio RAD",$A$45:$N$67,12,FALSE)+VLOOKUP("Ingreso control de tensión",$A$45:$N$67,12,FALSE)</f>
        <v>-2.0599999999999996</v>
      </c>
      <c r="M89" s="92">
        <f>VLOOKUP("Servicio RAD",$A$45:$N$67,13,FALSE)+VLOOKUP("Ingreso control de tensión",$A$45:$N$67,13,FALSE)</f>
        <v>-2.1999999999999997</v>
      </c>
      <c r="N89" s="92">
        <f>VLOOKUP("Servicio RAD",$A$45:$N$67,14,FALSE)+VLOOKUP("Ingreso control de tensión",$A$45:$N$67,14,FALSE)</f>
        <v>-2.2999999999999998</v>
      </c>
    </row>
    <row r="90" spans="1:16" ht="12" customHeight="1">
      <c r="A90" s="88" t="s">
        <v>58</v>
      </c>
      <c r="B90" s="93">
        <f>VLOOKUP("Saldo PO 14.6",$A$45:$N$67,2,FALSE)</f>
        <v>0.04</v>
      </c>
      <c r="C90" s="93">
        <f>VLOOKUP("Saldo PO 14.6",$A$45:$N$67,3,FALSE)</f>
        <v>0.04</v>
      </c>
      <c r="D90" s="93">
        <f>VLOOKUP("Saldo PO 14.6",$A$45:$N$67,4,FALSE)</f>
        <v>0.05</v>
      </c>
      <c r="E90" s="93">
        <f>VLOOKUP("Saldo PO 14.6",$A$45:$N$67,5,FALSE)</f>
        <v>0.04</v>
      </c>
      <c r="F90" s="93">
        <f>VLOOKUP("Saldo PO 14.6",$A$45:$N$67,6,FALSE)</f>
        <v>0.05</v>
      </c>
      <c r="G90" s="93">
        <f>VLOOKUP("Saldo PO 14.6",$A$45:$N$67,7,FALSE)</f>
        <v>0.05</v>
      </c>
      <c r="H90" s="93">
        <f>VLOOKUP("Saldo PO 14.6",$A$45:$N$67,8,FALSE)</f>
        <v>0.06</v>
      </c>
      <c r="I90" s="93">
        <f>VLOOKUP("Saldo PO 14.6",$A$45:$N$67,9,FALSE)</f>
        <v>0.04</v>
      </c>
      <c r="J90" s="93">
        <f>VLOOKUP("Saldo PO 14.6",$A$45:$N$67,10,FALSE)</f>
        <v>0.05</v>
      </c>
      <c r="K90" s="93">
        <f>VLOOKUP("Saldo PO 14.6",$A$45:$N$67,11,FALSE)</f>
        <v>0.05</v>
      </c>
      <c r="L90" s="93">
        <f>VLOOKUP("Saldo PO 14.6",$A$45:$N$67,12,FALSE)</f>
        <v>0.05</v>
      </c>
      <c r="M90" s="93">
        <f>VLOOKUP("Saldo PO 14.6",$A$45:$N$67,13,FALSE)</f>
        <v>7.0000000000000007E-2</v>
      </c>
      <c r="N90" s="93">
        <f>VLOOKUP("Saldo PO 14.6",$A$45:$N$67,14,FALSE)</f>
        <v>0.14000000000000001</v>
      </c>
      <c r="O90" s="138">
        <f>(SUM(N82:N90)/SUM(B82:B90)-1)</f>
        <v>0.2335419564209551</v>
      </c>
      <c r="P90" s="148">
        <f>O90*100</f>
        <v>23.354195642095512</v>
      </c>
    </row>
    <row r="91" spans="1:16">
      <c r="L91" s="62"/>
      <c r="M91" s="62"/>
      <c r="N91" s="62">
        <f>SUM(N82:N90)</f>
        <v>21.285999999999998</v>
      </c>
    </row>
    <row r="92" spans="1:16">
      <c r="A92" s="106" t="s">
        <v>38</v>
      </c>
      <c r="B92" s="85"/>
      <c r="C92" s="85"/>
      <c r="D92" s="85"/>
      <c r="E92" s="85"/>
      <c r="F92" s="85"/>
      <c r="G92" s="85"/>
      <c r="H92" s="85"/>
      <c r="I92" s="85"/>
      <c r="J92" s="85"/>
      <c r="K92" s="85"/>
      <c r="L92" s="85"/>
      <c r="N92" s="138"/>
    </row>
    <row r="93" spans="1:16" ht="39.6" customHeight="1">
      <c r="A93" s="144"/>
      <c r="B93" s="146" t="s">
        <v>1</v>
      </c>
      <c r="C93" s="146" t="s">
        <v>2</v>
      </c>
      <c r="D93" s="146" t="s">
        <v>39</v>
      </c>
      <c r="E93" s="146" t="s">
        <v>33</v>
      </c>
      <c r="F93" s="146" t="s">
        <v>178</v>
      </c>
      <c r="G93" s="146" t="s">
        <v>16</v>
      </c>
      <c r="H93" s="146" t="s">
        <v>32</v>
      </c>
      <c r="I93" s="144" t="s">
        <v>21</v>
      </c>
      <c r="J93" s="146" t="s">
        <v>36</v>
      </c>
      <c r="K93" s="144" t="s">
        <v>0</v>
      </c>
      <c r="L93" s="144" t="s">
        <v>118</v>
      </c>
    </row>
    <row r="94" spans="1:16">
      <c r="A94" s="83" t="s">
        <v>34</v>
      </c>
      <c r="B94" s="104">
        <f>VLOOKUP("Mercado Diario",$A$45:$N$60,14,FALSE)</f>
        <v>43.793999999999997</v>
      </c>
      <c r="C94" s="104">
        <f>VLOOKUP("Mercado Intradiario",$A$45:$N$60,14,FALSE)</f>
        <v>-0.09</v>
      </c>
      <c r="D94" s="104">
        <f>SUM(B94:C94)</f>
        <v>43.703999999999994</v>
      </c>
      <c r="E94" s="104">
        <f>VLOOKUP("Pago capacidad",$A$45:$N$60,14,FALSE)</f>
        <v>0.13</v>
      </c>
      <c r="F94" s="104">
        <f>VLOOKUP("Mecanismo Ajuste RD-L10/2022 Coste OM",$A$45:$N$67,14,FALSE)+VLOOKUP("Mecanismo Ajuste RD-L10/2022 Coste OS",$A$45:$N$67,14,FALSE)+VLOOKUP("Mecanismo Ajuste RD-L10/2022 Ajuste OS",$A$45:$N$67,14,FALSE)</f>
        <v>0</v>
      </c>
      <c r="G94" s="104">
        <f>E465</f>
        <v>21.285999999999998</v>
      </c>
      <c r="H94" s="104">
        <f>VLOOKUP("Restricciones PBF",$A$45:$N$60,14,FALSE)</f>
        <v>17.884</v>
      </c>
      <c r="I94" s="104">
        <f>N84</f>
        <v>3.484</v>
      </c>
      <c r="J94" s="104">
        <f>N83+N85+N86+N87+N88+N89+N90</f>
        <v>-8.1999999999999518E-2</v>
      </c>
      <c r="K94" s="104">
        <f>N67</f>
        <v>65.12</v>
      </c>
      <c r="L94" s="216">
        <f>K94-SUM(D94:G94)</f>
        <v>0</v>
      </c>
    </row>
    <row r="95" spans="1:16">
      <c r="A95" s="84"/>
      <c r="B95" s="84"/>
      <c r="C95" s="84"/>
      <c r="D95" s="187">
        <f>D94/$K$94</f>
        <v>0.67113022113022103</v>
      </c>
      <c r="E95" s="187">
        <f>E94/$K$94</f>
        <v>1.9963144963144963E-3</v>
      </c>
      <c r="F95" s="187">
        <f>F94/$K$94</f>
        <v>0</v>
      </c>
      <c r="G95" s="187">
        <f>G94/$K$94</f>
        <v>0.32687346437346432</v>
      </c>
      <c r="H95" s="187">
        <f>H94/$K94</f>
        <v>0.27463144963144964</v>
      </c>
      <c r="I95" s="187">
        <f t="shared" ref="I95:J95" si="3">I94/$K94</f>
        <v>5.3501228501228494E-2</v>
      </c>
      <c r="J95" s="187">
        <f t="shared" si="3"/>
        <v>-1.2592137592137517E-3</v>
      </c>
    </row>
    <row r="96" spans="1:16">
      <c r="A96" s="84" t="s">
        <v>124</v>
      </c>
      <c r="B96" s="84"/>
      <c r="C96" s="84"/>
      <c r="D96" s="84"/>
      <c r="E96" s="84"/>
      <c r="F96" s="84"/>
      <c r="G96" s="84"/>
    </row>
    <row r="97" spans="1:7">
      <c r="A97" s="155"/>
      <c r="B97" s="156"/>
      <c r="C97" s="174" t="str">
        <f>N43</f>
        <v>2026 Abril</v>
      </c>
      <c r="D97" s="144"/>
      <c r="E97" s="155"/>
      <c r="F97" s="156"/>
      <c r="G97" s="149" t="str">
        <f>B43</f>
        <v>2025 Abril</v>
      </c>
    </row>
    <row r="98" spans="1:7">
      <c r="A98" s="120" t="s">
        <v>49</v>
      </c>
      <c r="B98" s="92"/>
      <c r="C98" s="92">
        <f>IF(VLOOKUP(A98,Dat_01!$A$46:$N$67,14,FALSE)=0,"-",VLOOKUP(A98,Dat_01!$A$46:$N$67,14,FALSE)*Dat_01!$N$45)</f>
        <v>319721891.43405199</v>
      </c>
      <c r="D98" s="92"/>
      <c r="E98" s="120" t="s">
        <v>49</v>
      </c>
      <c r="F98" s="92"/>
      <c r="G98" s="92">
        <f>IF(VLOOKUP(E98,Dat_01!$A$45:$N$67,2,FALSE)=0,"-",VLOOKUP(E98,Dat_01!$A$45:$N$67,2,FALSE)*Dat_01!$B$45)</f>
        <v>200968534.65603998</v>
      </c>
    </row>
    <row r="99" spans="1:7">
      <c r="A99" s="120" t="s">
        <v>50</v>
      </c>
      <c r="B99" s="92"/>
      <c r="C99" s="92">
        <f>IF(VLOOKUP(A99,Dat_01!$A$45:$N$67,14,FALSE)=0,"-",VLOOKUP(A99,Dat_01!$A$45:$N$67,14,FALSE)*Dat_01!$N$45)</f>
        <v>44944130.790941998</v>
      </c>
      <c r="D99" s="92"/>
      <c r="E99" s="120" t="s">
        <v>50</v>
      </c>
      <c r="F99" s="92"/>
      <c r="G99" s="92">
        <f>IF(VLOOKUP(E99,Dat_01!$A$45:$N$67,2,FALSE)=0,"-",VLOOKUP(E99,Dat_01!$A$45:$N$67,2,FALSE)*Dat_01!$B$45)</f>
        <v>76443004.789682001</v>
      </c>
    </row>
    <row r="100" spans="1:7">
      <c r="A100" s="120" t="s">
        <v>53</v>
      </c>
      <c r="B100" s="92"/>
      <c r="C100" s="92" t="str">
        <f>IF(VLOOKUP(A100,Dat_01!$A$45:$N$67,14,FALSE)=0,"-",VLOOKUP(A100,Dat_01!$A$45:$N$67,14,FALSE)*Dat_01!$N$45)</f>
        <v>-</v>
      </c>
      <c r="D100" s="92"/>
      <c r="E100" s="120" t="s">
        <v>53</v>
      </c>
      <c r="F100" s="92"/>
      <c r="G100" s="92" t="str">
        <f>IF(VLOOKUP(E100,Dat_01!$A$45:$N$67,2,FALSE)=0,"-",VLOOKUP(E100,Dat_01!$A$45:$N$67,2,FALSE)*Dat_01!$B$45)</f>
        <v>-</v>
      </c>
    </row>
    <row r="101" spans="1:7">
      <c r="A101" s="87" t="s">
        <v>249</v>
      </c>
      <c r="B101" s="92"/>
      <c r="C101" s="92">
        <f>IF(VLOOKUP(A101,Dat_01!$A$45:$N$67,14,FALSE)=0,"-",VLOOKUP(A101,Dat_01!$A$45:$N$67,14,FALSE)*Dat_01!$N$45)</f>
        <v>62285342.750852004</v>
      </c>
      <c r="D101" s="92"/>
      <c r="E101" s="87" t="s">
        <v>249</v>
      </c>
      <c r="F101" s="92"/>
      <c r="G101" s="92">
        <f>IF(VLOOKUP(E101,Dat_01!$A$45:$N$67,2,FALSE)=0,"-",VLOOKUP(E101,Dat_01!$A$45:$N$67,2,FALSE)*Dat_01!$B$45)</f>
        <v>49795933.542659998</v>
      </c>
    </row>
    <row r="102" spans="1:7">
      <c r="A102" s="120" t="s">
        <v>55</v>
      </c>
      <c r="B102" s="92"/>
      <c r="C102" s="92">
        <f>IF(VLOOKUP(A102,Dat_01!$A$45:$N$67,14,FALSE)=0,"-",VLOOKUP(A102,Dat_01!$A$45:$N$67,14,FALSE)*Dat_01!$N$45)</f>
        <v>10082931.490092</v>
      </c>
      <c r="D102" s="92"/>
      <c r="E102" s="120" t="s">
        <v>55</v>
      </c>
      <c r="F102" s="92"/>
      <c r="G102" s="92">
        <f>IF(VLOOKUP(E102,Dat_01!$A$45:$N$67,2,FALSE)=0,"-",VLOOKUP(E102,Dat_01!$A$45:$N$67,2,FALSE)*Dat_01!$B$45)</f>
        <v>8620586.3444819991</v>
      </c>
    </row>
    <row r="103" spans="1:7">
      <c r="A103" s="120" t="s">
        <v>54</v>
      </c>
      <c r="B103" s="92"/>
      <c r="C103" s="92">
        <f>IF(VLOOKUP(A103,Dat_01!$A$45:$N$67,14,FALSE)=0,"-",VLOOKUP(A103,Dat_01!$A$45:$N$67,14,FALSE)*Dat_01!$N$45)</f>
        <v>-6793464.4791400004</v>
      </c>
      <c r="D103" s="92"/>
      <c r="E103" s="120" t="s">
        <v>54</v>
      </c>
      <c r="F103" s="92"/>
      <c r="G103" s="92">
        <f>IF(VLOOKUP(E103,Dat_01!$A$45:$N$67,2,FALSE)=0,"-",VLOOKUP(E103,Dat_01!$A$45:$N$67,2,FALSE)*Dat_01!$B$45)</f>
        <v>-7496162.0386799993</v>
      </c>
    </row>
    <row r="104" spans="1:7">
      <c r="A104" s="120" t="s">
        <v>56</v>
      </c>
      <c r="B104" s="92"/>
      <c r="C104" s="92">
        <f>IF(VLOOKUP(A104,Dat_01!$A$45:$N$67,14,FALSE)=0,"-",VLOOKUP(A104,Dat_01!$A$45:$N$67,14,FALSE)*Dat_01!$N$45)</f>
        <v>-10905298.242829999</v>
      </c>
      <c r="D104" s="92"/>
      <c r="E104" s="120" t="s">
        <v>56</v>
      </c>
      <c r="F104" s="92"/>
      <c r="G104" s="92">
        <f>IF(VLOOKUP(E104,Dat_01!$A$45:$N$67,2,FALSE)=0,"-",VLOOKUP(E104,Dat_01!$A$45:$N$67,2,FALSE)*Dat_01!$B$45)</f>
        <v>1963280.5339399998</v>
      </c>
    </row>
    <row r="105" spans="1:7">
      <c r="A105" s="120" t="s">
        <v>58</v>
      </c>
      <c r="B105" s="92"/>
      <c r="C105" s="92">
        <f>IF(VLOOKUP(A105,Dat_01!$A$45:$N$67,14,FALSE)=0,"-",VLOOKUP(A105,Dat_01!$A$45:$N$67,14,FALSE)*Dat_01!$N$45)</f>
        <v>2502855.3344200002</v>
      </c>
      <c r="D105" s="92"/>
      <c r="E105" s="120" t="s">
        <v>58</v>
      </c>
      <c r="F105" s="92"/>
      <c r="G105" s="92">
        <f>IF(VLOOKUP(E105,Dat_01!$A$45:$N$67,2,FALSE)=0,"-",VLOOKUP(E105,Dat_01!$A$45:$N$67,2,FALSE)*Dat_01!$B$45)</f>
        <v>713920.19415999996</v>
      </c>
    </row>
    <row r="106" spans="1:7">
      <c r="A106" s="120" t="s">
        <v>201</v>
      </c>
      <c r="B106" s="92"/>
      <c r="C106" s="92">
        <f>IF(VLOOKUP($A$114,Dat_01!$A$45:$N$67,14,FALSE)+VLOOKUP($A$115,Dat_01!$A$45:$N$67,14,FALSE)=0,"-",(VLOOKUP($A$114,Dat_01!$A$45:$N$67,14,FALSE)+VLOOKUP($A$115,Dat_01!$A$45:$N$67,14,FALSE))*Dat_01!$N$45)</f>
        <v>-41118337.6369</v>
      </c>
      <c r="D106" s="92"/>
      <c r="E106" s="120" t="s">
        <v>201</v>
      </c>
      <c r="F106" s="92"/>
      <c r="G106" s="92">
        <f>IF(VLOOKUP($A$114,Dat_01!$A$45:$N$67,2,FALSE)+VLOOKUP($A$115,Dat_01!$A$45:$N$67,2,FALSE)=0,"-",(VLOOKUP($A$114,Dat_01!$A$45:$N$67,2,FALSE)+VLOOKUP($A$115,Dat_01!$A$45:$N$67,2,FALSE))*Dat_01!$B$45)</f>
        <v>-21060645.727719996</v>
      </c>
    </row>
    <row r="107" spans="1:7">
      <c r="A107" s="88" t="s">
        <v>22</v>
      </c>
      <c r="B107" s="119"/>
      <c r="C107" s="130">
        <f>IF(VLOOKUP(A107,Dat_01!$A$45:$N$67,14,FALSE)=0,"-",VLOOKUP(A107,Dat_01!$A$45:$N$67,14,FALSE)*Dat_01!$N$45)</f>
        <v>-178775.38103000002</v>
      </c>
      <c r="D107" s="88"/>
      <c r="E107" s="88" t="s">
        <v>22</v>
      </c>
      <c r="F107" s="88"/>
      <c r="G107" s="130">
        <f>IF(VLOOKUP(E107,Dat_01!$A$45:$N$67,2,FALSE)=0,"-",VLOOKUP(E107,Dat_01!$A$45:$N$67,2,FALSE)*Dat_01!$B$45)</f>
        <v>-1963280.5339399998</v>
      </c>
    </row>
    <row r="109" spans="1:7" ht="12.6" customHeight="1">
      <c r="A109" s="203"/>
    </row>
    <row r="110" spans="1:7" ht="12.6" customHeight="1">
      <c r="A110" s="185" t="s">
        <v>195</v>
      </c>
    </row>
    <row r="111" spans="1:7" ht="12.6" customHeight="1">
      <c r="A111" s="185" t="s">
        <v>193</v>
      </c>
    </row>
    <row r="112" spans="1:7" ht="12.6" customHeight="1">
      <c r="A112" s="185" t="s">
        <v>197</v>
      </c>
    </row>
    <row r="113" spans="1:9" ht="12.6" customHeight="1">
      <c r="A113" s="185" t="s">
        <v>198</v>
      </c>
    </row>
    <row r="114" spans="1:9" ht="12.6" customHeight="1">
      <c r="A114" s="185" t="str">
        <f>A65</f>
        <v>Servicio RAD</v>
      </c>
    </row>
    <row r="115" spans="1:9" ht="12.6" customHeight="1">
      <c r="A115" s="185" t="str">
        <f>A66</f>
        <v>Ingreso control de tensión</v>
      </c>
    </row>
    <row r="116" spans="1:9" ht="12.6" customHeight="1"/>
    <row r="117" spans="1:9">
      <c r="A117" s="84" t="s">
        <v>168</v>
      </c>
      <c r="B117" s="143"/>
      <c r="C117" s="143"/>
    </row>
    <row r="118" spans="1:9">
      <c r="A118" s="121" t="s">
        <v>27</v>
      </c>
      <c r="B118" s="228"/>
      <c r="C118" s="229"/>
    </row>
    <row r="119" spans="1:9">
      <c r="A119" s="122" t="s">
        <v>86</v>
      </c>
      <c r="B119" s="144" t="s">
        <v>216</v>
      </c>
      <c r="C119" s="144" t="s">
        <v>285</v>
      </c>
    </row>
    <row r="120" spans="1:9">
      <c r="A120" s="121" t="s">
        <v>136</v>
      </c>
      <c r="B120" s="142"/>
      <c r="C120" s="142"/>
    </row>
    <row r="121" spans="1:9">
      <c r="A121" s="123" t="s">
        <v>69</v>
      </c>
      <c r="B121" s="125">
        <v>1640.6007999999999</v>
      </c>
      <c r="C121" s="125">
        <v>2592.2516999999998</v>
      </c>
      <c r="D121" t="str">
        <f>A121</f>
        <v>Restricciones Técnicas al PBF</v>
      </c>
      <c r="F121" s="139" t="s">
        <v>153</v>
      </c>
      <c r="H121" s="145">
        <f>SUM(B121:B122)</f>
        <v>2067.944313</v>
      </c>
      <c r="I121" s="145">
        <f>SUM(C121:C122)</f>
        <v>2878.9232789999996</v>
      </c>
    </row>
    <row r="122" spans="1:9">
      <c r="A122" s="123" t="s">
        <v>70</v>
      </c>
      <c r="B122" s="125">
        <v>427.34351299999997</v>
      </c>
      <c r="C122" s="125">
        <v>286.67157900000001</v>
      </c>
      <c r="D122" t="s">
        <v>132</v>
      </c>
      <c r="F122" s="140" t="s">
        <v>154</v>
      </c>
      <c r="H122" s="145">
        <f>SUM(B123:B126)</f>
        <v>1270.2754160000002</v>
      </c>
      <c r="I122" s="145">
        <f>SUM(C123:C126)</f>
        <v>954.19321100000002</v>
      </c>
    </row>
    <row r="123" spans="1:9">
      <c r="A123" s="123" t="s">
        <v>64</v>
      </c>
      <c r="B123" s="125">
        <v>178.17443499999999</v>
      </c>
      <c r="C123" s="125">
        <v>154.284074</v>
      </c>
      <c r="D123" t="str">
        <f>A123</f>
        <v>Regulación secundaria</v>
      </c>
    </row>
    <row r="124" spans="1:9">
      <c r="A124" s="123" t="s">
        <v>3</v>
      </c>
      <c r="B124" s="125">
        <v>530.14686600000005</v>
      </c>
      <c r="C124" s="125">
        <v>751.60541799999999</v>
      </c>
      <c r="D124" t="str">
        <f>A124</f>
        <v>Regulación terciaria</v>
      </c>
    </row>
    <row r="125" spans="1:9">
      <c r="A125" s="123" t="s">
        <v>148</v>
      </c>
      <c r="B125" s="125">
        <f>B317/1000</f>
        <v>441.76325000000003</v>
      </c>
      <c r="C125" s="125">
        <f>N317/1000</f>
        <v>0</v>
      </c>
      <c r="D125" t="s">
        <v>148</v>
      </c>
    </row>
    <row r="126" spans="1:9">
      <c r="A126" s="123" t="s">
        <v>155</v>
      </c>
      <c r="B126" s="125">
        <f>B394/1000</f>
        <v>120.19086499999999</v>
      </c>
      <c r="C126" s="125">
        <f>N394/1000</f>
        <v>48.303718999999994</v>
      </c>
      <c r="D126" t="s">
        <v>157</v>
      </c>
    </row>
    <row r="127" spans="1:9">
      <c r="B127" s="166"/>
      <c r="C127" s="166"/>
    </row>
    <row r="128" spans="1:9">
      <c r="A128" s="84"/>
    </row>
    <row r="130" spans="1:17">
      <c r="A130" s="84" t="s">
        <v>161</v>
      </c>
      <c r="C130" s="141" t="str">
        <f>MID(C132,6,1)</f>
        <v>A</v>
      </c>
      <c r="D130" s="141" t="str">
        <f t="shared" ref="D130:O130" si="4">MID(D132,6,1)</f>
        <v>M</v>
      </c>
      <c r="E130" s="141" t="str">
        <f t="shared" si="4"/>
        <v>J</v>
      </c>
      <c r="F130" s="141" t="str">
        <f t="shared" si="4"/>
        <v>J</v>
      </c>
      <c r="G130" s="141" t="str">
        <f t="shared" si="4"/>
        <v>A</v>
      </c>
      <c r="H130" s="141" t="str">
        <f t="shared" si="4"/>
        <v>S</v>
      </c>
      <c r="I130" s="141" t="str">
        <f t="shared" si="4"/>
        <v>O</v>
      </c>
      <c r="J130" s="141" t="str">
        <f t="shared" si="4"/>
        <v>N</v>
      </c>
      <c r="K130" s="141" t="str">
        <f t="shared" si="4"/>
        <v>D</v>
      </c>
      <c r="L130" s="141" t="str">
        <f t="shared" si="4"/>
        <v>E</v>
      </c>
      <c r="M130" s="141" t="str">
        <f t="shared" si="4"/>
        <v>F</v>
      </c>
      <c r="N130" s="141" t="str">
        <f t="shared" si="4"/>
        <v>M</v>
      </c>
      <c r="O130" s="141" t="str">
        <f t="shared" si="4"/>
        <v>A</v>
      </c>
      <c r="P130" s="118"/>
      <c r="Q130" s="118"/>
    </row>
    <row r="131" spans="1:17">
      <c r="A131" s="121"/>
      <c r="B131" s="121" t="s">
        <v>27</v>
      </c>
      <c r="C131" s="232" t="s">
        <v>121</v>
      </c>
      <c r="D131" s="233"/>
      <c r="E131" s="233"/>
      <c r="F131" s="233"/>
      <c r="G131" s="233"/>
      <c r="H131" s="233"/>
      <c r="I131" s="233"/>
      <c r="J131" s="233"/>
      <c r="K131" s="233"/>
      <c r="L131" s="233"/>
      <c r="M131" s="233"/>
      <c r="N131" s="233"/>
      <c r="O131" s="233"/>
      <c r="P131" s="118"/>
      <c r="Q131" s="118"/>
    </row>
    <row r="132" spans="1:17">
      <c r="A132" s="121"/>
      <c r="B132" s="122" t="s">
        <v>86</v>
      </c>
      <c r="C132" s="144" t="s">
        <v>216</v>
      </c>
      <c r="D132" s="144" t="s">
        <v>219</v>
      </c>
      <c r="E132" s="144" t="s">
        <v>221</v>
      </c>
      <c r="F132" s="144" t="s">
        <v>223</v>
      </c>
      <c r="G132" s="144" t="s">
        <v>226</v>
      </c>
      <c r="H132" s="144" t="s">
        <v>229</v>
      </c>
      <c r="I132" s="144" t="s">
        <v>233</v>
      </c>
      <c r="J132" s="144" t="s">
        <v>238</v>
      </c>
      <c r="K132" s="144" t="s">
        <v>241</v>
      </c>
      <c r="L132" s="144" t="s">
        <v>243</v>
      </c>
      <c r="M132" s="144" t="s">
        <v>247</v>
      </c>
      <c r="N132" s="144" t="s">
        <v>250</v>
      </c>
      <c r="O132" s="144" t="s">
        <v>285</v>
      </c>
      <c r="P132" s="118"/>
      <c r="Q132" s="118"/>
    </row>
    <row r="133" spans="1:17">
      <c r="A133" s="121" t="s">
        <v>119</v>
      </c>
      <c r="B133" s="121" t="s">
        <v>120</v>
      </c>
      <c r="C133" s="142"/>
      <c r="D133" s="142"/>
      <c r="E133" s="142"/>
      <c r="F133" s="142"/>
      <c r="G133" s="142"/>
      <c r="H133" s="142"/>
      <c r="I133" s="142"/>
      <c r="J133" s="142"/>
      <c r="K133" s="142"/>
      <c r="L133" s="142"/>
      <c r="M133" s="142"/>
      <c r="N133" s="142"/>
      <c r="O133" s="142"/>
      <c r="P133" s="178"/>
      <c r="Q133" s="118"/>
    </row>
    <row r="134" spans="1:17">
      <c r="A134" s="240"/>
      <c r="B134" s="123" t="s">
        <v>19</v>
      </c>
      <c r="C134" s="110">
        <v>20382.3</v>
      </c>
      <c r="D134" s="110">
        <v>0</v>
      </c>
      <c r="E134" s="110">
        <v>150</v>
      </c>
      <c r="F134" s="110">
        <v>3396</v>
      </c>
      <c r="G134" s="110">
        <v>6200</v>
      </c>
      <c r="H134" s="110">
        <v>0</v>
      </c>
      <c r="I134" s="110">
        <v>0</v>
      </c>
      <c r="J134" s="110">
        <v>350</v>
      </c>
      <c r="K134" s="110">
        <v>325</v>
      </c>
      <c r="L134" s="110">
        <v>0</v>
      </c>
      <c r="M134" s="110">
        <v>0</v>
      </c>
      <c r="N134" s="110">
        <v>40.4</v>
      </c>
      <c r="O134" s="110">
        <v>0</v>
      </c>
      <c r="P134" s="178"/>
      <c r="Q134" s="179"/>
    </row>
    <row r="135" spans="1:17">
      <c r="A135" s="240"/>
      <c r="B135" s="123" t="s">
        <v>76</v>
      </c>
      <c r="C135" s="110">
        <v>0</v>
      </c>
      <c r="D135" s="110">
        <v>0</v>
      </c>
      <c r="E135" s="110">
        <v>60.7</v>
      </c>
      <c r="F135" s="110">
        <v>700</v>
      </c>
      <c r="G135" s="110">
        <v>0</v>
      </c>
      <c r="H135" s="110">
        <v>0</v>
      </c>
      <c r="I135" s="110">
        <v>0</v>
      </c>
      <c r="J135" s="110">
        <v>4180</v>
      </c>
      <c r="K135" s="110">
        <v>20</v>
      </c>
      <c r="L135" s="110">
        <v>6400</v>
      </c>
      <c r="M135" s="110">
        <v>0</v>
      </c>
      <c r="N135" s="110">
        <v>222.5</v>
      </c>
      <c r="O135" s="110">
        <v>0</v>
      </c>
      <c r="P135" s="178"/>
      <c r="Q135" s="179"/>
    </row>
    <row r="136" spans="1:17">
      <c r="A136" s="240"/>
      <c r="B136" s="123" t="s">
        <v>72</v>
      </c>
      <c r="C136" s="110">
        <v>267559.5</v>
      </c>
      <c r="D136" s="110">
        <v>363944.9</v>
      </c>
      <c r="E136" s="110">
        <v>25407.8</v>
      </c>
      <c r="F136" s="110">
        <v>19303.400000000001</v>
      </c>
      <c r="G136" s="110">
        <v>3428.3</v>
      </c>
      <c r="H136" s="110">
        <v>35476.800000000003</v>
      </c>
      <c r="I136" s="110">
        <v>116112.4</v>
      </c>
      <c r="J136" s="110">
        <v>47755.224999999999</v>
      </c>
      <c r="K136" s="110">
        <v>22947.875</v>
      </c>
      <c r="L136" s="110">
        <v>276494.25</v>
      </c>
      <c r="M136" s="110">
        <v>1412402.7749999999</v>
      </c>
      <c r="N136" s="110">
        <v>737126.35</v>
      </c>
      <c r="O136" s="110">
        <v>389717.02500000002</v>
      </c>
      <c r="P136" s="178"/>
      <c r="Q136" s="179"/>
    </row>
    <row r="137" spans="1:17">
      <c r="A137" s="240"/>
      <c r="B137" s="123" t="s">
        <v>73</v>
      </c>
      <c r="C137" s="110">
        <v>128080</v>
      </c>
      <c r="D137" s="110">
        <v>122215</v>
      </c>
      <c r="E137" s="110">
        <v>110098</v>
      </c>
      <c r="F137" s="110">
        <v>71343</v>
      </c>
      <c r="G137" s="110">
        <v>0</v>
      </c>
      <c r="H137" s="110">
        <v>0</v>
      </c>
      <c r="I137" s="110">
        <v>1113.75</v>
      </c>
      <c r="J137" s="110">
        <v>1856.25</v>
      </c>
      <c r="K137" s="110">
        <v>28208.75</v>
      </c>
      <c r="L137" s="110">
        <v>16238.75</v>
      </c>
      <c r="M137" s="110">
        <v>0</v>
      </c>
      <c r="N137" s="110">
        <v>4501.25</v>
      </c>
      <c r="O137" s="110">
        <v>0</v>
      </c>
      <c r="P137" s="178"/>
      <c r="Q137" s="179"/>
    </row>
    <row r="138" spans="1:17">
      <c r="A138" s="240"/>
      <c r="B138" s="123" t="s">
        <v>225</v>
      </c>
      <c r="C138" s="110">
        <v>0</v>
      </c>
      <c r="D138" s="110">
        <v>0</v>
      </c>
      <c r="E138" s="110">
        <v>0</v>
      </c>
      <c r="F138" s="110">
        <v>91146</v>
      </c>
      <c r="G138" s="110">
        <v>121642</v>
      </c>
      <c r="H138" s="110">
        <v>152270</v>
      </c>
      <c r="I138" s="110">
        <v>177310</v>
      </c>
      <c r="J138" s="110">
        <v>182152.5</v>
      </c>
      <c r="K138" s="110">
        <v>214170</v>
      </c>
      <c r="L138" s="110">
        <v>164145</v>
      </c>
      <c r="M138" s="110">
        <v>183987.5</v>
      </c>
      <c r="N138" s="110">
        <v>177258</v>
      </c>
      <c r="O138" s="110">
        <v>168570</v>
      </c>
      <c r="P138" s="178"/>
      <c r="Q138" s="179"/>
    </row>
    <row r="139" spans="1:17">
      <c r="A139" s="240"/>
      <c r="B139" s="123" t="s">
        <v>23</v>
      </c>
      <c r="C139" s="110">
        <v>1154419.5</v>
      </c>
      <c r="D139" s="110">
        <v>2188300.1</v>
      </c>
      <c r="E139" s="110">
        <v>1759263.5</v>
      </c>
      <c r="F139" s="110">
        <v>1466909.1</v>
      </c>
      <c r="G139" s="110">
        <v>1579291.4</v>
      </c>
      <c r="H139" s="110">
        <v>1564029</v>
      </c>
      <c r="I139" s="110">
        <v>1759136.875</v>
      </c>
      <c r="J139" s="110">
        <v>2229306.125</v>
      </c>
      <c r="K139" s="110">
        <v>2288776.85</v>
      </c>
      <c r="L139" s="110">
        <v>1972270.0249999999</v>
      </c>
      <c r="M139" s="110">
        <v>1802866.25</v>
      </c>
      <c r="N139" s="110">
        <v>2245754.85</v>
      </c>
      <c r="O139" s="110">
        <v>1767077.7</v>
      </c>
      <c r="P139" s="178"/>
      <c r="Q139" s="179"/>
    </row>
    <row r="140" spans="1:17">
      <c r="A140" s="240"/>
      <c r="B140" s="123" t="s">
        <v>77</v>
      </c>
      <c r="C140" s="110">
        <v>1.3</v>
      </c>
      <c r="D140" s="110">
        <v>0</v>
      </c>
      <c r="E140" s="110">
        <v>0</v>
      </c>
      <c r="F140" s="110">
        <v>0</v>
      </c>
      <c r="G140" s="110">
        <v>0</v>
      </c>
      <c r="H140" s="110">
        <v>0</v>
      </c>
      <c r="I140" s="110">
        <v>0</v>
      </c>
      <c r="J140" s="110">
        <v>0</v>
      </c>
      <c r="K140" s="110">
        <v>1.95</v>
      </c>
      <c r="L140" s="110">
        <v>0</v>
      </c>
      <c r="M140" s="110">
        <v>45.975000000000001</v>
      </c>
      <c r="N140" s="110">
        <v>0.1</v>
      </c>
      <c r="O140" s="110">
        <v>7.4999999999999997E-2</v>
      </c>
      <c r="P140" s="178"/>
      <c r="Q140" s="179"/>
    </row>
    <row r="141" spans="1:17">
      <c r="A141" s="240"/>
      <c r="B141" s="123" t="s">
        <v>78</v>
      </c>
      <c r="C141" s="110">
        <v>0</v>
      </c>
      <c r="D141" s="110">
        <v>0</v>
      </c>
      <c r="E141" s="110">
        <v>0</v>
      </c>
      <c r="F141" s="110">
        <v>0</v>
      </c>
      <c r="G141" s="110">
        <v>0</v>
      </c>
      <c r="H141" s="110">
        <v>0</v>
      </c>
      <c r="I141" s="110">
        <v>0</v>
      </c>
      <c r="J141" s="110">
        <v>0</v>
      </c>
      <c r="K141" s="110">
        <v>0</v>
      </c>
      <c r="L141" s="110">
        <v>0</v>
      </c>
      <c r="M141" s="110">
        <v>0</v>
      </c>
      <c r="N141" s="110">
        <v>0</v>
      </c>
      <c r="O141" s="110">
        <v>68.05</v>
      </c>
      <c r="P141" s="178"/>
      <c r="Q141" s="179"/>
    </row>
    <row r="142" spans="1:17">
      <c r="A142" s="240"/>
      <c r="B142" s="123" t="s">
        <v>79</v>
      </c>
      <c r="C142" s="110">
        <v>0</v>
      </c>
      <c r="D142" s="110">
        <v>0</v>
      </c>
      <c r="E142" s="110">
        <v>0</v>
      </c>
      <c r="F142" s="110">
        <v>229.2</v>
      </c>
      <c r="G142" s="110">
        <v>0</v>
      </c>
      <c r="H142" s="110">
        <v>0</v>
      </c>
      <c r="I142" s="110">
        <v>0</v>
      </c>
      <c r="J142" s="110">
        <v>0</v>
      </c>
      <c r="K142" s="110">
        <v>0</v>
      </c>
      <c r="L142" s="110">
        <v>0</v>
      </c>
      <c r="M142" s="110">
        <v>0</v>
      </c>
      <c r="N142" s="110">
        <v>0</v>
      </c>
      <c r="O142" s="110">
        <v>0</v>
      </c>
      <c r="P142" s="178"/>
      <c r="Q142" s="179"/>
    </row>
    <row r="143" spans="1:17">
      <c r="A143" s="240"/>
      <c r="B143" s="123" t="s">
        <v>80</v>
      </c>
      <c r="C143" s="110">
        <v>10370.9</v>
      </c>
      <c r="D143" s="110">
        <v>17487.5</v>
      </c>
      <c r="E143" s="110">
        <v>20621.599999999999</v>
      </c>
      <c r="F143" s="110">
        <v>1904.1</v>
      </c>
      <c r="G143" s="110">
        <v>0</v>
      </c>
      <c r="H143" s="110">
        <v>3926.6</v>
      </c>
      <c r="I143" s="110">
        <v>3783.1750000000002</v>
      </c>
      <c r="J143" s="110">
        <v>510</v>
      </c>
      <c r="K143" s="110">
        <v>1691.4</v>
      </c>
      <c r="L143" s="110">
        <v>0</v>
      </c>
      <c r="M143" s="110">
        <v>484.6</v>
      </c>
      <c r="N143" s="110">
        <v>162.69999999999999</v>
      </c>
      <c r="O143" s="110">
        <v>3580.8249999999998</v>
      </c>
      <c r="P143" s="178"/>
      <c r="Q143" s="179"/>
    </row>
    <row r="144" spans="1:17">
      <c r="A144" s="240"/>
      <c r="B144" s="123" t="s">
        <v>81</v>
      </c>
      <c r="C144" s="110">
        <v>2988</v>
      </c>
      <c r="D144" s="110">
        <v>3603.7</v>
      </c>
      <c r="E144" s="110">
        <v>1579.6</v>
      </c>
      <c r="F144" s="110">
        <v>198.7</v>
      </c>
      <c r="G144" s="110">
        <v>0</v>
      </c>
      <c r="H144" s="110">
        <v>0</v>
      </c>
      <c r="I144" s="110">
        <v>0</v>
      </c>
      <c r="J144" s="110">
        <v>122</v>
      </c>
      <c r="K144" s="110">
        <v>0</v>
      </c>
      <c r="L144" s="110">
        <v>0</v>
      </c>
      <c r="M144" s="110">
        <v>0</v>
      </c>
      <c r="N144" s="110">
        <v>0</v>
      </c>
      <c r="O144" s="110">
        <v>662.6</v>
      </c>
      <c r="P144" s="178"/>
      <c r="Q144" s="179"/>
    </row>
    <row r="145" spans="1:17">
      <c r="A145" s="240"/>
      <c r="B145" s="123" t="s">
        <v>85</v>
      </c>
      <c r="C145" s="110">
        <v>0</v>
      </c>
      <c r="D145" s="110">
        <v>0</v>
      </c>
      <c r="E145" s="110">
        <v>0</v>
      </c>
      <c r="F145" s="110">
        <v>0</v>
      </c>
      <c r="G145" s="110">
        <v>0</v>
      </c>
      <c r="H145" s="110">
        <v>0</v>
      </c>
      <c r="I145" s="110">
        <v>0</v>
      </c>
      <c r="J145" s="110">
        <v>0</v>
      </c>
      <c r="K145" s="110">
        <v>0</v>
      </c>
      <c r="L145" s="110">
        <v>0</v>
      </c>
      <c r="M145" s="110">
        <v>0</v>
      </c>
      <c r="N145" s="110">
        <v>0</v>
      </c>
      <c r="O145" s="110">
        <v>0</v>
      </c>
      <c r="P145" s="178"/>
      <c r="Q145" s="179"/>
    </row>
    <row r="146" spans="1:17">
      <c r="A146" s="240"/>
      <c r="B146" s="123" t="s">
        <v>74</v>
      </c>
      <c r="C146" s="110">
        <v>1600</v>
      </c>
      <c r="D146" s="110">
        <v>1600</v>
      </c>
      <c r="E146" s="110">
        <v>936</v>
      </c>
      <c r="F146" s="110">
        <v>2587.5</v>
      </c>
      <c r="G146" s="110">
        <v>6601</v>
      </c>
      <c r="H146" s="110">
        <v>184</v>
      </c>
      <c r="I146" s="110">
        <v>42602.3</v>
      </c>
      <c r="J146" s="110">
        <v>0</v>
      </c>
      <c r="K146" s="110">
        <v>0</v>
      </c>
      <c r="L146" s="110">
        <v>5827.6750000000002</v>
      </c>
      <c r="M146" s="110">
        <v>255.75</v>
      </c>
      <c r="N146" s="110">
        <v>0</v>
      </c>
      <c r="O146" s="110">
        <v>1386.25</v>
      </c>
      <c r="P146" s="178"/>
      <c r="Q146" s="179"/>
    </row>
    <row r="147" spans="1:17">
      <c r="A147" s="240"/>
      <c r="B147" s="123" t="s">
        <v>82</v>
      </c>
      <c r="C147" s="110">
        <v>0</v>
      </c>
      <c r="D147" s="110">
        <v>0</v>
      </c>
      <c r="E147" s="110">
        <v>0</v>
      </c>
      <c r="F147" s="110">
        <v>0</v>
      </c>
      <c r="G147" s="110">
        <v>0</v>
      </c>
      <c r="H147" s="110">
        <v>0</v>
      </c>
      <c r="I147" s="110">
        <v>0</v>
      </c>
      <c r="J147" s="110">
        <v>0</v>
      </c>
      <c r="K147" s="110">
        <v>0</v>
      </c>
      <c r="L147" s="110">
        <v>0</v>
      </c>
      <c r="M147" s="110">
        <v>0</v>
      </c>
      <c r="N147" s="110">
        <v>0</v>
      </c>
      <c r="O147" s="110">
        <v>0</v>
      </c>
      <c r="P147" s="178"/>
      <c r="Q147" s="179"/>
    </row>
    <row r="148" spans="1:17">
      <c r="A148" s="240"/>
      <c r="B148" s="123" t="s">
        <v>83</v>
      </c>
      <c r="C148" s="110">
        <v>0</v>
      </c>
      <c r="D148" s="110">
        <v>0</v>
      </c>
      <c r="E148" s="110">
        <v>0</v>
      </c>
      <c r="F148" s="110">
        <v>0</v>
      </c>
      <c r="G148" s="110">
        <v>0</v>
      </c>
      <c r="H148" s="110">
        <v>0</v>
      </c>
      <c r="I148" s="110">
        <v>0</v>
      </c>
      <c r="J148" s="110">
        <v>0</v>
      </c>
      <c r="K148" s="110">
        <v>0</v>
      </c>
      <c r="L148" s="110">
        <v>0</v>
      </c>
      <c r="M148" s="110">
        <v>0</v>
      </c>
      <c r="N148" s="110">
        <v>0</v>
      </c>
      <c r="O148" s="110">
        <v>0</v>
      </c>
      <c r="P148" s="178"/>
      <c r="Q148" s="179"/>
    </row>
    <row r="149" spans="1:17">
      <c r="A149" s="240"/>
      <c r="B149" s="123" t="s">
        <v>84</v>
      </c>
      <c r="C149" s="110">
        <v>0</v>
      </c>
      <c r="D149" s="110">
        <v>0</v>
      </c>
      <c r="E149" s="110">
        <v>0</v>
      </c>
      <c r="F149" s="110">
        <v>0</v>
      </c>
      <c r="G149" s="110">
        <v>0</v>
      </c>
      <c r="H149" s="110">
        <v>0</v>
      </c>
      <c r="I149" s="110">
        <v>0</v>
      </c>
      <c r="J149" s="110">
        <v>0</v>
      </c>
      <c r="K149" s="110">
        <v>0</v>
      </c>
      <c r="L149" s="110">
        <v>0</v>
      </c>
      <c r="M149" s="110">
        <v>0</v>
      </c>
      <c r="N149" s="110">
        <v>0</v>
      </c>
      <c r="O149" s="110">
        <v>0</v>
      </c>
      <c r="P149" s="178"/>
      <c r="Q149" s="179"/>
    </row>
    <row r="150" spans="1:17">
      <c r="A150" s="240"/>
      <c r="B150" s="123" t="s">
        <v>169</v>
      </c>
      <c r="C150" s="110">
        <v>0</v>
      </c>
      <c r="D150" s="110">
        <v>0</v>
      </c>
      <c r="E150" s="110">
        <v>0</v>
      </c>
      <c r="F150" s="110">
        <v>0</v>
      </c>
      <c r="G150" s="110">
        <v>0</v>
      </c>
      <c r="H150" s="110">
        <v>0</v>
      </c>
      <c r="I150" s="110">
        <v>0</v>
      </c>
      <c r="J150" s="110">
        <v>0</v>
      </c>
      <c r="K150" s="110">
        <v>0</v>
      </c>
      <c r="L150" s="110">
        <v>0</v>
      </c>
      <c r="M150" s="110">
        <v>0</v>
      </c>
      <c r="N150" s="110">
        <v>0</v>
      </c>
      <c r="O150" s="110">
        <v>0</v>
      </c>
      <c r="P150" s="178"/>
      <c r="Q150" s="179"/>
    </row>
    <row r="151" spans="1:17">
      <c r="A151" s="240"/>
      <c r="B151" s="123" t="s">
        <v>203</v>
      </c>
      <c r="C151" s="110">
        <v>0</v>
      </c>
      <c r="D151" s="110">
        <v>0</v>
      </c>
      <c r="E151" s="110">
        <v>0</v>
      </c>
      <c r="F151" s="110">
        <v>0</v>
      </c>
      <c r="G151" s="110">
        <v>0</v>
      </c>
      <c r="H151" s="110">
        <v>0</v>
      </c>
      <c r="I151" s="110">
        <v>0</v>
      </c>
      <c r="J151" s="110">
        <v>0</v>
      </c>
      <c r="K151" s="110">
        <v>0</v>
      </c>
      <c r="L151" s="110">
        <v>0</v>
      </c>
      <c r="M151" s="110">
        <v>0</v>
      </c>
      <c r="N151" s="110">
        <v>0</v>
      </c>
      <c r="O151" s="110">
        <v>0</v>
      </c>
      <c r="P151" s="152" t="e">
        <f>O152/C152-1</f>
        <v>#DIV/0!</v>
      </c>
      <c r="Q151" s="151"/>
    </row>
    <row r="152" spans="1:17">
      <c r="A152" s="240"/>
      <c r="B152" s="123" t="s">
        <v>204</v>
      </c>
      <c r="C152" s="110">
        <v>0</v>
      </c>
      <c r="D152" s="110">
        <v>0</v>
      </c>
      <c r="E152" s="110">
        <v>0</v>
      </c>
      <c r="F152" s="110">
        <v>0</v>
      </c>
      <c r="G152" s="110">
        <v>0</v>
      </c>
      <c r="H152" s="110">
        <v>0</v>
      </c>
      <c r="I152" s="110">
        <v>0</v>
      </c>
      <c r="J152" s="110">
        <v>0</v>
      </c>
      <c r="K152" s="110">
        <v>0</v>
      </c>
      <c r="L152" s="110">
        <v>0</v>
      </c>
      <c r="M152" s="110">
        <v>0</v>
      </c>
      <c r="N152" s="110">
        <v>0</v>
      </c>
      <c r="O152" s="110">
        <v>0</v>
      </c>
      <c r="P152" s="178"/>
      <c r="Q152" s="152"/>
    </row>
    <row r="153" spans="1:17">
      <c r="A153" s="239"/>
      <c r="B153" s="181" t="s">
        <v>0</v>
      </c>
      <c r="C153" s="188">
        <v>1585401.5</v>
      </c>
      <c r="D153" s="188">
        <v>2697151.2</v>
      </c>
      <c r="E153" s="188">
        <v>1918117.2</v>
      </c>
      <c r="F153" s="188">
        <v>1657717</v>
      </c>
      <c r="G153" s="188">
        <v>1717162.7</v>
      </c>
      <c r="H153" s="188">
        <v>1755886.4</v>
      </c>
      <c r="I153" s="188">
        <v>2100058.5</v>
      </c>
      <c r="J153" s="188">
        <v>2466232.1</v>
      </c>
      <c r="K153" s="188">
        <v>2556141.8250000002</v>
      </c>
      <c r="L153" s="188">
        <v>2441375.7000000002</v>
      </c>
      <c r="M153" s="188">
        <v>3400042.85</v>
      </c>
      <c r="N153" s="188">
        <v>3165066.15</v>
      </c>
      <c r="O153" s="188">
        <v>2331062.5249999999</v>
      </c>
      <c r="P153" s="178"/>
      <c r="Q153" s="152"/>
    </row>
    <row r="154" spans="1:17">
      <c r="A154" s="240"/>
      <c r="B154" s="123" t="s">
        <v>19</v>
      </c>
      <c r="C154" s="110">
        <v>2348.1</v>
      </c>
      <c r="D154" s="110">
        <v>9496.2999999999993</v>
      </c>
      <c r="E154" s="110">
        <v>8559.4</v>
      </c>
      <c r="F154" s="110">
        <v>5351.7</v>
      </c>
      <c r="G154" s="110">
        <v>5333.8</v>
      </c>
      <c r="H154" s="110">
        <v>590.20000000000005</v>
      </c>
      <c r="I154" s="110">
        <v>3512.0250000000001</v>
      </c>
      <c r="J154" s="110">
        <v>1413.4749999999999</v>
      </c>
      <c r="K154" s="110">
        <v>1024.3499999999999</v>
      </c>
      <c r="L154" s="110">
        <v>1795.875</v>
      </c>
      <c r="M154" s="110">
        <v>1039.625</v>
      </c>
      <c r="N154" s="110">
        <v>5338.625</v>
      </c>
      <c r="O154" s="110">
        <v>1104.5250000000001</v>
      </c>
      <c r="P154" s="178"/>
      <c r="Q154" s="152"/>
    </row>
    <row r="155" spans="1:17">
      <c r="A155" s="240"/>
      <c r="B155" s="123" t="s">
        <v>76</v>
      </c>
      <c r="C155" s="110">
        <v>0</v>
      </c>
      <c r="D155" s="110">
        <v>0</v>
      </c>
      <c r="E155" s="110">
        <v>0</v>
      </c>
      <c r="F155" s="110">
        <v>809</v>
      </c>
      <c r="G155" s="110">
        <v>2955</v>
      </c>
      <c r="H155" s="110">
        <v>300</v>
      </c>
      <c r="I155" s="110">
        <v>475.42500000000001</v>
      </c>
      <c r="J155" s="110">
        <v>0</v>
      </c>
      <c r="K155" s="110">
        <v>1120.6500000000001</v>
      </c>
      <c r="L155" s="110">
        <v>7136.4750000000004</v>
      </c>
      <c r="M155" s="110">
        <v>0</v>
      </c>
      <c r="N155" s="110">
        <v>0</v>
      </c>
      <c r="O155" s="110">
        <v>0</v>
      </c>
      <c r="P155" s="178"/>
      <c r="Q155" s="152"/>
    </row>
    <row r="156" spans="1:17">
      <c r="A156" s="240"/>
      <c r="B156" s="123" t="s">
        <v>72</v>
      </c>
      <c r="C156" s="110">
        <v>0</v>
      </c>
      <c r="D156" s="110">
        <v>0</v>
      </c>
      <c r="E156" s="110">
        <v>0</v>
      </c>
      <c r="F156" s="110">
        <v>6512</v>
      </c>
      <c r="G156" s="110">
        <v>0</v>
      </c>
      <c r="H156" s="110">
        <v>0</v>
      </c>
      <c r="I156" s="110">
        <v>0</v>
      </c>
      <c r="J156" s="110">
        <v>0</v>
      </c>
      <c r="K156" s="110">
        <v>0</v>
      </c>
      <c r="L156" s="110">
        <v>0</v>
      </c>
      <c r="M156" s="110">
        <v>0</v>
      </c>
      <c r="N156" s="110">
        <v>0</v>
      </c>
      <c r="O156" s="110">
        <v>0</v>
      </c>
      <c r="P156" s="178"/>
      <c r="Q156" s="152"/>
    </row>
    <row r="157" spans="1:17">
      <c r="A157" s="240"/>
      <c r="B157" s="123" t="s">
        <v>73</v>
      </c>
      <c r="C157" s="110">
        <v>0</v>
      </c>
      <c r="D157" s="110">
        <v>0</v>
      </c>
      <c r="E157" s="110">
        <v>0</v>
      </c>
      <c r="F157" s="110">
        <v>0</v>
      </c>
      <c r="G157" s="110">
        <v>0</v>
      </c>
      <c r="H157" s="110">
        <v>0</v>
      </c>
      <c r="I157" s="110">
        <v>0</v>
      </c>
      <c r="J157" s="110">
        <v>0</v>
      </c>
      <c r="K157" s="110">
        <v>0</v>
      </c>
      <c r="L157" s="110">
        <v>0</v>
      </c>
      <c r="M157" s="110">
        <v>0</v>
      </c>
      <c r="N157" s="110">
        <v>0</v>
      </c>
      <c r="O157" s="110">
        <v>0</v>
      </c>
      <c r="P157" s="178"/>
      <c r="Q157" s="152"/>
    </row>
    <row r="158" spans="1:17">
      <c r="A158" s="240"/>
      <c r="B158" s="123" t="s">
        <v>225</v>
      </c>
      <c r="C158" s="110">
        <v>0</v>
      </c>
      <c r="D158" s="110">
        <v>0</v>
      </c>
      <c r="E158" s="110">
        <v>0</v>
      </c>
      <c r="F158" s="110">
        <v>0</v>
      </c>
      <c r="G158" s="110">
        <v>0</v>
      </c>
      <c r="H158" s="110">
        <v>0</v>
      </c>
      <c r="I158" s="110">
        <v>0</v>
      </c>
      <c r="J158" s="110">
        <v>0</v>
      </c>
      <c r="K158" s="110">
        <v>0</v>
      </c>
      <c r="L158" s="110">
        <v>0</v>
      </c>
      <c r="M158" s="110">
        <v>0</v>
      </c>
      <c r="N158" s="110">
        <v>0</v>
      </c>
      <c r="O158" s="110">
        <v>0</v>
      </c>
      <c r="P158" s="178"/>
      <c r="Q158" s="152"/>
    </row>
    <row r="159" spans="1:17">
      <c r="A159" s="240"/>
      <c r="B159" s="123" t="s">
        <v>23</v>
      </c>
      <c r="C159" s="110">
        <v>0</v>
      </c>
      <c r="D159" s="110">
        <v>0</v>
      </c>
      <c r="E159" s="110">
        <v>4</v>
      </c>
      <c r="F159" s="110">
        <v>1003.5</v>
      </c>
      <c r="G159" s="110">
        <v>50</v>
      </c>
      <c r="H159" s="110">
        <v>0</v>
      </c>
      <c r="I159" s="110">
        <v>2064.65</v>
      </c>
      <c r="J159" s="110">
        <v>0</v>
      </c>
      <c r="K159" s="110">
        <v>0</v>
      </c>
      <c r="L159" s="110">
        <v>0</v>
      </c>
      <c r="M159" s="110">
        <v>0</v>
      </c>
      <c r="N159" s="110">
        <v>0</v>
      </c>
      <c r="O159" s="110">
        <v>0.05</v>
      </c>
      <c r="P159" s="178"/>
      <c r="Q159" s="152"/>
    </row>
    <row r="160" spans="1:17">
      <c r="A160" s="240"/>
      <c r="B160" s="123" t="s">
        <v>77</v>
      </c>
      <c r="C160" s="110">
        <v>23186.2</v>
      </c>
      <c r="D160" s="110">
        <v>17699.400000000001</v>
      </c>
      <c r="E160" s="110">
        <v>18495.599999999999</v>
      </c>
      <c r="F160" s="110">
        <v>208879.1</v>
      </c>
      <c r="G160" s="110">
        <v>56148.9</v>
      </c>
      <c r="H160" s="110">
        <v>56799.5</v>
      </c>
      <c r="I160" s="110">
        <v>34956.199999999997</v>
      </c>
      <c r="J160" s="110">
        <v>97151.95</v>
      </c>
      <c r="K160" s="110">
        <v>29674</v>
      </c>
      <c r="L160" s="110">
        <v>99597.85</v>
      </c>
      <c r="M160" s="110">
        <v>43719</v>
      </c>
      <c r="N160" s="110">
        <v>41271.824999999997</v>
      </c>
      <c r="O160" s="110">
        <v>55651.074999999997</v>
      </c>
      <c r="P160" s="178"/>
      <c r="Q160" s="152"/>
    </row>
    <row r="161" spans="1:20">
      <c r="A161" s="240"/>
      <c r="B161" s="123" t="s">
        <v>78</v>
      </c>
      <c r="C161" s="110">
        <v>17070.3</v>
      </c>
      <c r="D161" s="110">
        <v>74426.899999999994</v>
      </c>
      <c r="E161" s="110">
        <v>117687.5</v>
      </c>
      <c r="F161" s="110">
        <v>774289.5</v>
      </c>
      <c r="G161" s="110">
        <v>476231.7</v>
      </c>
      <c r="H161" s="110">
        <v>271516.40000000002</v>
      </c>
      <c r="I161" s="110">
        <v>213512.32500000001</v>
      </c>
      <c r="J161" s="110">
        <v>56866.375</v>
      </c>
      <c r="K161" s="110">
        <v>21074.125</v>
      </c>
      <c r="L161" s="110">
        <v>26307.4</v>
      </c>
      <c r="M161" s="110">
        <v>30605.775000000001</v>
      </c>
      <c r="N161" s="110">
        <v>86208.574999999997</v>
      </c>
      <c r="O161" s="110">
        <v>153492.85</v>
      </c>
      <c r="P161" s="178"/>
      <c r="Q161" s="152"/>
      <c r="R161" s="159"/>
      <c r="S161" s="159"/>
      <c r="T161" s="159"/>
    </row>
    <row r="162" spans="1:20">
      <c r="A162" s="240"/>
      <c r="B162" s="123" t="s">
        <v>79</v>
      </c>
      <c r="C162" s="110">
        <v>4704.6000000000004</v>
      </c>
      <c r="D162" s="110">
        <v>35576.1</v>
      </c>
      <c r="E162" s="110">
        <v>41536</v>
      </c>
      <c r="F162" s="110">
        <v>120438.3</v>
      </c>
      <c r="G162" s="110">
        <v>162140.4</v>
      </c>
      <c r="H162" s="110">
        <v>141481</v>
      </c>
      <c r="I162" s="110">
        <v>62144.5</v>
      </c>
      <c r="J162" s="110">
        <v>3088</v>
      </c>
      <c r="K162" s="110">
        <v>45.174999999999997</v>
      </c>
      <c r="L162" s="110">
        <v>0</v>
      </c>
      <c r="M162" s="110">
        <v>2614.2249999999999</v>
      </c>
      <c r="N162" s="110">
        <v>13848.65</v>
      </c>
      <c r="O162" s="110">
        <v>44588.7</v>
      </c>
      <c r="P162" s="178"/>
      <c r="Q162" s="152"/>
      <c r="R162" s="159"/>
      <c r="S162" s="159"/>
      <c r="T162" s="159"/>
    </row>
    <row r="163" spans="1:20">
      <c r="A163" s="240"/>
      <c r="B163" s="123" t="s">
        <v>80</v>
      </c>
      <c r="C163" s="110">
        <v>4456.8999999999996</v>
      </c>
      <c r="D163" s="110">
        <v>4609.7</v>
      </c>
      <c r="E163" s="110">
        <v>6809.1</v>
      </c>
      <c r="F163" s="110">
        <v>32112.6</v>
      </c>
      <c r="G163" s="110">
        <v>6711.8</v>
      </c>
      <c r="H163" s="110">
        <v>4636.2</v>
      </c>
      <c r="I163" s="110">
        <v>5121.7749999999996</v>
      </c>
      <c r="J163" s="110">
        <v>2187.375</v>
      </c>
      <c r="K163" s="110">
        <v>2346</v>
      </c>
      <c r="L163" s="110">
        <v>1324.15</v>
      </c>
      <c r="M163" s="110">
        <v>797.95</v>
      </c>
      <c r="N163" s="110">
        <v>1588</v>
      </c>
      <c r="O163" s="110">
        <v>622.02499999999998</v>
      </c>
      <c r="P163" s="178"/>
      <c r="Q163" s="152"/>
      <c r="R163" s="159"/>
      <c r="S163" s="159"/>
      <c r="T163" s="159"/>
    </row>
    <row r="164" spans="1:20">
      <c r="A164" s="240"/>
      <c r="B164" s="123" t="s">
        <v>81</v>
      </c>
      <c r="C164" s="110">
        <v>2920.3</v>
      </c>
      <c r="D164" s="110">
        <v>3843</v>
      </c>
      <c r="E164" s="110">
        <v>7273.5</v>
      </c>
      <c r="F164" s="110">
        <v>10545</v>
      </c>
      <c r="G164" s="110">
        <v>7511.7</v>
      </c>
      <c r="H164" s="110">
        <v>5732.6</v>
      </c>
      <c r="I164" s="110">
        <v>3899.8249999999998</v>
      </c>
      <c r="J164" s="110">
        <v>278.82499999999999</v>
      </c>
      <c r="K164" s="110">
        <v>63.45</v>
      </c>
      <c r="L164" s="110">
        <v>154.19999999999999</v>
      </c>
      <c r="M164" s="110">
        <v>194.35</v>
      </c>
      <c r="N164" s="110">
        <v>946.25</v>
      </c>
      <c r="O164" s="110">
        <v>1790.2249999999999</v>
      </c>
      <c r="P164" s="178"/>
      <c r="Q164" s="152"/>
      <c r="R164" s="159"/>
      <c r="S164" s="159"/>
      <c r="T164" s="159"/>
    </row>
    <row r="165" spans="1:20">
      <c r="A165" s="240"/>
      <c r="B165" s="123" t="s">
        <v>85</v>
      </c>
      <c r="C165" s="110">
        <v>0</v>
      </c>
      <c r="D165" s="110">
        <v>0</v>
      </c>
      <c r="E165" s="110">
        <v>0</v>
      </c>
      <c r="F165" s="110">
        <v>3546</v>
      </c>
      <c r="G165" s="110">
        <v>118</v>
      </c>
      <c r="H165" s="110">
        <v>0</v>
      </c>
      <c r="I165" s="110">
        <v>411.55</v>
      </c>
      <c r="J165" s="110">
        <v>17</v>
      </c>
      <c r="K165" s="110">
        <v>98</v>
      </c>
      <c r="L165" s="110">
        <v>0</v>
      </c>
      <c r="M165" s="110">
        <v>0</v>
      </c>
      <c r="N165" s="110">
        <v>0</v>
      </c>
      <c r="O165" s="110">
        <v>0</v>
      </c>
      <c r="P165" s="178"/>
      <c r="Q165" s="152"/>
      <c r="R165" s="159"/>
      <c r="S165" s="159"/>
      <c r="T165" s="159"/>
    </row>
    <row r="166" spans="1:20">
      <c r="A166" s="240"/>
      <c r="B166" s="123" t="s">
        <v>74</v>
      </c>
      <c r="C166" s="110">
        <v>0</v>
      </c>
      <c r="D166" s="110">
        <v>0</v>
      </c>
      <c r="E166" s="110">
        <v>0</v>
      </c>
      <c r="F166" s="110">
        <v>0</v>
      </c>
      <c r="G166" s="110">
        <v>0</v>
      </c>
      <c r="H166" s="110">
        <v>0</v>
      </c>
      <c r="I166" s="110">
        <v>0</v>
      </c>
      <c r="J166" s="110">
        <v>142.5</v>
      </c>
      <c r="K166" s="110">
        <v>0</v>
      </c>
      <c r="L166" s="110">
        <v>0</v>
      </c>
      <c r="M166" s="110">
        <v>28.55</v>
      </c>
      <c r="N166" s="110">
        <v>0</v>
      </c>
      <c r="O166" s="110">
        <v>182.5</v>
      </c>
      <c r="P166" s="178"/>
      <c r="Q166" s="152"/>
      <c r="R166" s="159"/>
      <c r="S166" s="159"/>
      <c r="T166" s="159"/>
    </row>
    <row r="167" spans="1:20">
      <c r="A167" s="240"/>
      <c r="B167" s="123" t="s">
        <v>82</v>
      </c>
      <c r="C167" s="110">
        <v>0</v>
      </c>
      <c r="D167" s="110">
        <v>0</v>
      </c>
      <c r="E167" s="110">
        <v>0</v>
      </c>
      <c r="F167" s="110">
        <v>0</v>
      </c>
      <c r="G167" s="110">
        <v>0</v>
      </c>
      <c r="H167" s="110">
        <v>0</v>
      </c>
      <c r="I167" s="110">
        <v>0</v>
      </c>
      <c r="J167" s="110">
        <v>0</v>
      </c>
      <c r="K167" s="110">
        <v>0</v>
      </c>
      <c r="L167" s="110">
        <v>0</v>
      </c>
      <c r="M167" s="110">
        <v>0</v>
      </c>
      <c r="N167" s="110">
        <v>0</v>
      </c>
      <c r="O167" s="110">
        <v>0</v>
      </c>
      <c r="P167" s="178"/>
      <c r="Q167" s="152"/>
      <c r="R167" s="159"/>
      <c r="S167" s="159"/>
      <c r="T167" s="159"/>
    </row>
    <row r="168" spans="1:20">
      <c r="A168" s="240"/>
      <c r="B168" s="123" t="s">
        <v>83</v>
      </c>
      <c r="C168" s="110">
        <v>0</v>
      </c>
      <c r="D168" s="110">
        <v>0</v>
      </c>
      <c r="E168" s="110">
        <v>0</v>
      </c>
      <c r="F168" s="110">
        <v>0</v>
      </c>
      <c r="G168" s="110">
        <v>0</v>
      </c>
      <c r="H168" s="110">
        <v>0</v>
      </c>
      <c r="I168" s="110">
        <v>0</v>
      </c>
      <c r="J168" s="110">
        <v>0</v>
      </c>
      <c r="K168" s="110">
        <v>0</v>
      </c>
      <c r="L168" s="110">
        <v>0</v>
      </c>
      <c r="M168" s="110">
        <v>0</v>
      </c>
      <c r="N168" s="110">
        <v>0</v>
      </c>
      <c r="O168" s="110">
        <v>0</v>
      </c>
      <c r="P168" s="178"/>
      <c r="Q168" s="152"/>
      <c r="R168" s="159"/>
      <c r="S168" s="159"/>
      <c r="T168" s="159"/>
    </row>
    <row r="169" spans="1:20">
      <c r="A169" s="240"/>
      <c r="B169" s="123" t="s">
        <v>84</v>
      </c>
      <c r="C169" s="110">
        <v>0</v>
      </c>
      <c r="D169" s="110">
        <v>0</v>
      </c>
      <c r="E169" s="110">
        <v>0</v>
      </c>
      <c r="F169" s="110">
        <v>0</v>
      </c>
      <c r="G169" s="110">
        <v>0</v>
      </c>
      <c r="H169" s="110">
        <v>0</v>
      </c>
      <c r="I169" s="110">
        <v>0</v>
      </c>
      <c r="J169" s="110">
        <v>0</v>
      </c>
      <c r="K169" s="110">
        <v>0</v>
      </c>
      <c r="L169" s="110">
        <v>0</v>
      </c>
      <c r="M169" s="110">
        <v>0</v>
      </c>
      <c r="N169" s="110">
        <v>0</v>
      </c>
      <c r="O169" s="110">
        <v>0</v>
      </c>
      <c r="P169" s="152" t="e">
        <f>O171/C171-1</f>
        <v>#DIV/0!</v>
      </c>
      <c r="Q169" s="152"/>
      <c r="R169" s="159"/>
      <c r="S169" s="159"/>
      <c r="T169" s="159"/>
    </row>
    <row r="170" spans="1:20">
      <c r="A170" s="240"/>
      <c r="B170" s="123" t="s">
        <v>169</v>
      </c>
      <c r="C170" s="110">
        <v>0</v>
      </c>
      <c r="D170" s="110">
        <v>0</v>
      </c>
      <c r="E170" s="110">
        <v>0</v>
      </c>
      <c r="F170" s="110">
        <v>0</v>
      </c>
      <c r="G170" s="110">
        <v>0</v>
      </c>
      <c r="H170" s="110">
        <v>0</v>
      </c>
      <c r="I170" s="110">
        <v>0</v>
      </c>
      <c r="J170" s="110">
        <v>0</v>
      </c>
      <c r="K170" s="110">
        <v>0</v>
      </c>
      <c r="L170" s="110">
        <v>0</v>
      </c>
      <c r="M170" s="110">
        <v>0</v>
      </c>
      <c r="N170" s="110">
        <v>0</v>
      </c>
      <c r="O170" s="110">
        <v>0</v>
      </c>
      <c r="P170" s="165"/>
      <c r="Q170" s="159"/>
      <c r="R170" s="159"/>
      <c r="S170" s="159"/>
      <c r="T170" s="159"/>
    </row>
    <row r="171" spans="1:20">
      <c r="A171" s="240"/>
      <c r="B171" s="123" t="s">
        <v>203</v>
      </c>
      <c r="C171" s="110">
        <v>0</v>
      </c>
      <c r="D171" s="110">
        <v>0</v>
      </c>
      <c r="E171" s="110">
        <v>0</v>
      </c>
      <c r="F171" s="110">
        <v>0</v>
      </c>
      <c r="G171" s="110">
        <v>0</v>
      </c>
      <c r="H171" s="110">
        <v>0</v>
      </c>
      <c r="I171" s="110">
        <v>0</v>
      </c>
      <c r="J171" s="110">
        <v>0</v>
      </c>
      <c r="K171" s="110">
        <v>0</v>
      </c>
      <c r="L171" s="110">
        <v>0</v>
      </c>
      <c r="M171" s="110">
        <v>0</v>
      </c>
      <c r="N171" s="110">
        <v>0</v>
      </c>
      <c r="O171" s="110">
        <v>0</v>
      </c>
      <c r="P171" s="159"/>
      <c r="Q171" s="159"/>
      <c r="R171" s="159"/>
      <c r="S171" s="159"/>
      <c r="T171" s="159"/>
    </row>
    <row r="172" spans="1:20">
      <c r="A172" s="240"/>
      <c r="B172" s="123" t="s">
        <v>204</v>
      </c>
      <c r="C172" s="110">
        <v>512.9</v>
      </c>
      <c r="D172" s="110">
        <v>3501.6</v>
      </c>
      <c r="E172" s="110">
        <v>9288</v>
      </c>
      <c r="F172" s="110">
        <v>12956.4</v>
      </c>
      <c r="G172" s="110">
        <v>2597.3000000000002</v>
      </c>
      <c r="H172" s="110">
        <v>1616.4</v>
      </c>
      <c r="I172" s="110">
        <v>3975.2750000000001</v>
      </c>
      <c r="J172" s="110">
        <v>2081.5500000000002</v>
      </c>
      <c r="K172" s="110">
        <v>203.125</v>
      </c>
      <c r="L172" s="110">
        <v>335.75</v>
      </c>
      <c r="M172" s="110">
        <v>543.04999999999995</v>
      </c>
      <c r="N172" s="110">
        <v>2176.5500000000002</v>
      </c>
      <c r="O172" s="110">
        <v>3757.2249999999999</v>
      </c>
      <c r="P172" s="183"/>
      <c r="Q172" s="183"/>
      <c r="R172" s="159"/>
      <c r="S172" s="159"/>
      <c r="T172" s="159"/>
    </row>
    <row r="173" spans="1:20">
      <c r="A173" s="239"/>
      <c r="B173" s="181" t="s">
        <v>0</v>
      </c>
      <c r="C173" s="188">
        <v>55199.3</v>
      </c>
      <c r="D173" s="188">
        <v>149153</v>
      </c>
      <c r="E173" s="188">
        <v>209653.1</v>
      </c>
      <c r="F173" s="188">
        <v>1176443.1000000001</v>
      </c>
      <c r="G173" s="188">
        <v>719798.6</v>
      </c>
      <c r="H173" s="188">
        <v>482672.3</v>
      </c>
      <c r="I173" s="188">
        <v>330073.55</v>
      </c>
      <c r="J173" s="188">
        <v>163227.04999999999</v>
      </c>
      <c r="K173" s="188">
        <v>55648.875</v>
      </c>
      <c r="L173" s="188">
        <v>136651.70000000001</v>
      </c>
      <c r="M173" s="188">
        <v>79542.524999999994</v>
      </c>
      <c r="N173" s="188">
        <v>151378.47500000001</v>
      </c>
      <c r="O173" s="188">
        <v>261189.17499999999</v>
      </c>
      <c r="P173" s="184"/>
      <c r="Q173" s="184"/>
      <c r="R173" s="159"/>
      <c r="S173" s="159"/>
      <c r="T173" s="159"/>
    </row>
    <row r="174" spans="1:20">
      <c r="B174" s="183"/>
      <c r="O174" s="159"/>
      <c r="P174" s="159"/>
      <c r="Q174" s="159"/>
      <c r="R174" s="159"/>
      <c r="S174" s="159"/>
      <c r="T174" s="159"/>
    </row>
    <row r="175" spans="1:20">
      <c r="O175" s="159"/>
      <c r="P175" s="159"/>
      <c r="Q175" s="159"/>
      <c r="R175" s="159"/>
      <c r="S175" s="159"/>
      <c r="T175" s="159"/>
    </row>
    <row r="176" spans="1:20">
      <c r="O176" s="159"/>
      <c r="P176" s="159"/>
      <c r="Q176" s="159"/>
      <c r="R176" s="159"/>
      <c r="S176" s="159"/>
      <c r="T176" s="159"/>
    </row>
    <row r="177" spans="1:21">
      <c r="B177">
        <v>4</v>
      </c>
      <c r="O177" s="159"/>
      <c r="P177" s="159"/>
      <c r="Q177" s="159"/>
      <c r="R177" s="159"/>
      <c r="S177" s="159"/>
      <c r="T177" s="159"/>
    </row>
    <row r="179" spans="1:21">
      <c r="A179" s="84" t="s">
        <v>206</v>
      </c>
      <c r="B179" s="159"/>
    </row>
    <row r="180" spans="1:21">
      <c r="B180" s="162" t="str">
        <f>MID(B181,6,1)</f>
        <v>A</v>
      </c>
      <c r="C180" s="162" t="str">
        <f t="shared" ref="C180:N180" si="5">MID(C181,6,1)</f>
        <v>M</v>
      </c>
      <c r="D180" s="162" t="str">
        <f t="shared" si="5"/>
        <v>J</v>
      </c>
      <c r="E180" s="162" t="str">
        <f t="shared" si="5"/>
        <v>J</v>
      </c>
      <c r="F180" s="162" t="str">
        <f t="shared" si="5"/>
        <v>A</v>
      </c>
      <c r="G180" s="162" t="str">
        <f t="shared" si="5"/>
        <v>S</v>
      </c>
      <c r="H180" s="162" t="str">
        <f t="shared" si="5"/>
        <v>O</v>
      </c>
      <c r="I180" s="162" t="str">
        <f t="shared" si="5"/>
        <v>N</v>
      </c>
      <c r="J180" s="162" t="str">
        <f t="shared" si="5"/>
        <v>D</v>
      </c>
      <c r="K180" s="162" t="str">
        <f t="shared" si="5"/>
        <v>E</v>
      </c>
      <c r="L180" s="162" t="str">
        <f t="shared" si="5"/>
        <v>F</v>
      </c>
      <c r="M180" s="162" t="str">
        <f t="shared" si="5"/>
        <v>M</v>
      </c>
      <c r="N180" s="162" t="str">
        <f t="shared" si="5"/>
        <v>A</v>
      </c>
    </row>
    <row r="181" spans="1:21">
      <c r="A181" s="121" t="s">
        <v>86</v>
      </c>
      <c r="B181" s="144" t="s">
        <v>216</v>
      </c>
      <c r="C181" s="144" t="s">
        <v>219</v>
      </c>
      <c r="D181" s="144" t="s">
        <v>221</v>
      </c>
      <c r="E181" s="144" t="s">
        <v>223</v>
      </c>
      <c r="F181" s="144" t="s">
        <v>226</v>
      </c>
      <c r="G181" s="144" t="s">
        <v>229</v>
      </c>
      <c r="H181" s="144" t="s">
        <v>233</v>
      </c>
      <c r="I181" s="144" t="s">
        <v>238</v>
      </c>
      <c r="J181" s="144" t="s">
        <v>241</v>
      </c>
      <c r="K181" s="144" t="s">
        <v>243</v>
      </c>
      <c r="L181" s="144" t="s">
        <v>247</v>
      </c>
      <c r="M181" s="144" t="s">
        <v>250</v>
      </c>
      <c r="N181" s="144" t="s">
        <v>285</v>
      </c>
      <c r="P181" s="118"/>
    </row>
    <row r="182" spans="1:21">
      <c r="A182" s="121" t="s">
        <v>27</v>
      </c>
      <c r="B182" s="142"/>
      <c r="C182" s="142"/>
      <c r="D182" s="142"/>
      <c r="E182" s="142"/>
      <c r="F182" s="142"/>
      <c r="G182" s="142"/>
      <c r="H182" s="142"/>
      <c r="I182" s="142"/>
      <c r="J182" s="142"/>
      <c r="K182" s="142"/>
      <c r="L182" s="142"/>
      <c r="M182" s="142"/>
      <c r="N182" s="142"/>
      <c r="P182" s="118"/>
    </row>
    <row r="183" spans="1:21">
      <c r="A183" s="123" t="s">
        <v>60</v>
      </c>
      <c r="B183" s="125">
        <v>1181.7873427673001</v>
      </c>
      <c r="C183" s="125">
        <v>1193.7315188171999</v>
      </c>
      <c r="D183" s="125">
        <v>1196.727083333325</v>
      </c>
      <c r="E183" s="125">
        <v>1194.8914650537749</v>
      </c>
      <c r="F183" s="125">
        <v>1193.3899305555501</v>
      </c>
      <c r="G183" s="125">
        <v>1186.784375</v>
      </c>
      <c r="H183" s="125">
        <v>1187.643624161075</v>
      </c>
      <c r="I183" s="125">
        <v>1178.9524305555501</v>
      </c>
      <c r="J183" s="125">
        <v>1180.338709677425</v>
      </c>
      <c r="K183" s="125">
        <v>1193.5692204300999</v>
      </c>
      <c r="L183" s="125">
        <v>1178.05282738095</v>
      </c>
      <c r="M183" s="125">
        <v>1214.8835800807501</v>
      </c>
      <c r="N183" s="125">
        <v>1220.7670138889</v>
      </c>
      <c r="O183" s="153">
        <f>N184/B184-1</f>
        <v>3.0194129161631666E-2</v>
      </c>
      <c r="P183" s="118"/>
    </row>
    <row r="184" spans="1:21">
      <c r="A184" s="123" t="s">
        <v>61</v>
      </c>
      <c r="B184" s="125">
        <v>1185.1831761006249</v>
      </c>
      <c r="C184" s="125">
        <v>1194.9334677419249</v>
      </c>
      <c r="D184" s="125">
        <v>1196.13055555555</v>
      </c>
      <c r="E184" s="125">
        <v>1196.6243279570001</v>
      </c>
      <c r="F184" s="125">
        <v>1193.9107638889</v>
      </c>
      <c r="G184" s="125">
        <v>1186.19756944445</v>
      </c>
      <c r="H184" s="125">
        <v>1174.1842281879251</v>
      </c>
      <c r="I184" s="125">
        <v>1169.1361111111</v>
      </c>
      <c r="J184" s="125">
        <v>1170.0030241935499</v>
      </c>
      <c r="K184" s="125">
        <v>1185.5510752688249</v>
      </c>
      <c r="L184" s="125">
        <v>1168.0904017857249</v>
      </c>
      <c r="M184" s="125">
        <v>1213.781628532975</v>
      </c>
      <c r="N184" s="125">
        <v>1220.96875</v>
      </c>
      <c r="O184" s="153"/>
      <c r="P184" s="118"/>
    </row>
    <row r="185" spans="1:21">
      <c r="B185" s="205">
        <f>B184</f>
        <v>1185.1831761006249</v>
      </c>
      <c r="C185" s="205">
        <f t="shared" ref="C185:N185" si="6">C184</f>
        <v>1194.9334677419249</v>
      </c>
      <c r="D185" s="205">
        <f t="shared" si="6"/>
        <v>1196.13055555555</v>
      </c>
      <c r="E185" s="205">
        <f t="shared" si="6"/>
        <v>1196.6243279570001</v>
      </c>
      <c r="F185" s="205">
        <f t="shared" si="6"/>
        <v>1193.9107638889</v>
      </c>
      <c r="G185" s="205">
        <f t="shared" si="6"/>
        <v>1186.19756944445</v>
      </c>
      <c r="H185" s="205">
        <f t="shared" si="6"/>
        <v>1174.1842281879251</v>
      </c>
      <c r="I185" s="205">
        <f t="shared" si="6"/>
        <v>1169.1361111111</v>
      </c>
      <c r="J185" s="205">
        <f t="shared" si="6"/>
        <v>1170.0030241935499</v>
      </c>
      <c r="K185" s="205">
        <f t="shared" si="6"/>
        <v>1185.5510752688249</v>
      </c>
      <c r="L185" s="205">
        <f t="shared" si="6"/>
        <v>1168.0904017857249</v>
      </c>
      <c r="M185" s="205">
        <f t="shared" si="6"/>
        <v>1213.781628532975</v>
      </c>
      <c r="N185" s="205">
        <f t="shared" si="6"/>
        <v>1220.96875</v>
      </c>
      <c r="P185" s="118"/>
    </row>
    <row r="186" spans="1:21">
      <c r="C186" s="110"/>
      <c r="P186" s="118"/>
    </row>
    <row r="187" spans="1:21">
      <c r="A187" s="84" t="s">
        <v>171</v>
      </c>
      <c r="B187" s="162" t="str">
        <f>MID(B189,6,1)</f>
        <v>A</v>
      </c>
      <c r="C187" s="162" t="str">
        <f t="shared" ref="C187:N187" si="7">MID(C189,6,1)</f>
        <v>M</v>
      </c>
      <c r="D187" s="162" t="str">
        <f t="shared" si="7"/>
        <v>J</v>
      </c>
      <c r="E187" s="162" t="str">
        <f t="shared" si="7"/>
        <v>J</v>
      </c>
      <c r="F187" s="162" t="str">
        <f t="shared" si="7"/>
        <v>A</v>
      </c>
      <c r="G187" s="162" t="str">
        <f t="shared" si="7"/>
        <v>S</v>
      </c>
      <c r="H187" s="162" t="str">
        <f t="shared" si="7"/>
        <v>O</v>
      </c>
      <c r="I187" s="162" t="str">
        <f t="shared" si="7"/>
        <v>N</v>
      </c>
      <c r="J187" s="162" t="str">
        <f t="shared" si="7"/>
        <v>D</v>
      </c>
      <c r="K187" s="162" t="str">
        <f t="shared" si="7"/>
        <v>E</v>
      </c>
      <c r="L187" s="162" t="str">
        <f t="shared" si="7"/>
        <v>F</v>
      </c>
      <c r="M187" s="162" t="str">
        <f t="shared" si="7"/>
        <v>M</v>
      </c>
      <c r="N187" s="162" t="str">
        <f t="shared" si="7"/>
        <v>A</v>
      </c>
      <c r="P187" s="151"/>
      <c r="Q187" s="151"/>
    </row>
    <row r="188" spans="1:21">
      <c r="A188" s="121" t="s">
        <v>27</v>
      </c>
      <c r="B188" s="234" t="s">
        <v>188</v>
      </c>
      <c r="C188" s="235"/>
      <c r="D188" s="235"/>
      <c r="E188" s="235"/>
      <c r="F188" s="235"/>
      <c r="G188" s="235"/>
      <c r="H188" s="235"/>
      <c r="I188" s="235"/>
      <c r="J188" s="235"/>
      <c r="K188" s="235"/>
      <c r="L188" s="235"/>
      <c r="M188" s="235"/>
      <c r="N188" s="235"/>
      <c r="P188" s="151"/>
      <c r="Q188" s="151"/>
    </row>
    <row r="189" spans="1:21">
      <c r="A189" s="121" t="s">
        <v>86</v>
      </c>
      <c r="B189" s="144" t="s">
        <v>216</v>
      </c>
      <c r="C189" s="144" t="s">
        <v>219</v>
      </c>
      <c r="D189" s="144" t="s">
        <v>221</v>
      </c>
      <c r="E189" s="144" t="s">
        <v>223</v>
      </c>
      <c r="F189" s="144" t="s">
        <v>226</v>
      </c>
      <c r="G189" s="144" t="s">
        <v>229</v>
      </c>
      <c r="H189" s="144" t="s">
        <v>233</v>
      </c>
      <c r="I189" s="144" t="s">
        <v>238</v>
      </c>
      <c r="J189" s="144" t="s">
        <v>241</v>
      </c>
      <c r="K189" s="144" t="s">
        <v>243</v>
      </c>
      <c r="L189" s="144" t="s">
        <v>247</v>
      </c>
      <c r="M189" s="144" t="s">
        <v>250</v>
      </c>
      <c r="N189" s="144" t="s">
        <v>285</v>
      </c>
      <c r="P189" s="151"/>
      <c r="Q189" s="151"/>
    </row>
    <row r="190" spans="1:21">
      <c r="A190" s="121" t="s">
        <v>119</v>
      </c>
      <c r="B190" s="142"/>
      <c r="C190" s="142"/>
      <c r="D190" s="142"/>
      <c r="E190" s="142"/>
      <c r="F190" s="142"/>
      <c r="G190" s="142"/>
      <c r="H190" s="142"/>
      <c r="I190" s="142"/>
      <c r="J190" s="142"/>
      <c r="K190" s="142"/>
      <c r="L190" s="142"/>
      <c r="M190" s="142"/>
      <c r="N190" s="142"/>
      <c r="O190" s="153"/>
      <c r="P190" s="151"/>
      <c r="Q190" s="151"/>
    </row>
    <row r="191" spans="1:21">
      <c r="A191" s="123" t="s">
        <v>75</v>
      </c>
      <c r="B191" s="110">
        <v>92.657791000000003</v>
      </c>
      <c r="C191" s="110">
        <v>95.844481999999999</v>
      </c>
      <c r="D191" s="110">
        <v>72.700210999999996</v>
      </c>
      <c r="E191" s="110">
        <v>80.985911000000002</v>
      </c>
      <c r="F191" s="110">
        <v>71.164877000000004</v>
      </c>
      <c r="G191" s="110">
        <v>86.558627999999999</v>
      </c>
      <c r="H191" s="110">
        <v>64.755118999999993</v>
      </c>
      <c r="I191" s="110">
        <v>78.213511999999994</v>
      </c>
      <c r="J191" s="110">
        <v>49.694707000000001</v>
      </c>
      <c r="K191" s="110">
        <v>88.198836999999997</v>
      </c>
      <c r="L191" s="110">
        <v>96.958464000000006</v>
      </c>
      <c r="M191" s="110">
        <v>102.83373899999999</v>
      </c>
      <c r="N191" s="110">
        <v>79.366540000000001</v>
      </c>
      <c r="O191" s="153">
        <f>N191/B191-1</f>
        <v>-0.14344450538433406</v>
      </c>
      <c r="P191" s="151"/>
      <c r="Q191" s="151"/>
      <c r="S191" s="110"/>
      <c r="T191" s="110"/>
      <c r="U191" s="110"/>
    </row>
    <row r="192" spans="1:21">
      <c r="A192" s="123" t="s">
        <v>71</v>
      </c>
      <c r="B192" s="110">
        <v>85.516738000000004</v>
      </c>
      <c r="C192" s="110">
        <v>100.845438</v>
      </c>
      <c r="D192" s="110">
        <v>88.146169</v>
      </c>
      <c r="E192" s="110">
        <v>58.699295999999997</v>
      </c>
      <c r="F192" s="110">
        <v>71.704355000000007</v>
      </c>
      <c r="G192" s="110">
        <v>68.034813999999997</v>
      </c>
      <c r="H192" s="110">
        <v>90.106879000000006</v>
      </c>
      <c r="I192" s="110">
        <v>88.275216</v>
      </c>
      <c r="J192" s="110">
        <v>92.510457000000002</v>
      </c>
      <c r="K192" s="110">
        <v>92.520251000000002</v>
      </c>
      <c r="L192" s="110">
        <v>69.668030000000002</v>
      </c>
      <c r="M192" s="110">
        <v>69.640814000000006</v>
      </c>
      <c r="N192" s="110">
        <v>74.917534000000003</v>
      </c>
      <c r="O192" s="153">
        <f>N192/B192-1</f>
        <v>-0.1239430344033936</v>
      </c>
      <c r="P192" s="153">
        <f>(N191+N192)/(B191+B192)-1</f>
        <v>-0.13408456940554059</v>
      </c>
      <c r="Q192" s="151"/>
      <c r="S192" s="110"/>
      <c r="T192" s="110"/>
      <c r="U192" s="110"/>
    </row>
    <row r="193" spans="1:17">
      <c r="B193" s="166"/>
      <c r="M193" s="166"/>
      <c r="N193" s="166"/>
    </row>
    <row r="194" spans="1:17">
      <c r="A194" s="84" t="s">
        <v>172</v>
      </c>
      <c r="C194" s="141" t="str">
        <f t="shared" ref="C194:O194" si="8">MID(C196,6,1)</f>
        <v>A</v>
      </c>
      <c r="D194" s="141" t="str">
        <f t="shared" si="8"/>
        <v>M</v>
      </c>
      <c r="E194" s="141" t="str">
        <f t="shared" si="8"/>
        <v>J</v>
      </c>
      <c r="F194" s="141" t="str">
        <f t="shared" si="8"/>
        <v>J</v>
      </c>
      <c r="G194" s="141" t="str">
        <f t="shared" si="8"/>
        <v>A</v>
      </c>
      <c r="H194" s="141" t="str">
        <f t="shared" si="8"/>
        <v>S</v>
      </c>
      <c r="I194" s="141" t="str">
        <f t="shared" si="8"/>
        <v>O</v>
      </c>
      <c r="J194" s="141" t="str">
        <f t="shared" si="8"/>
        <v>N</v>
      </c>
      <c r="K194" s="141" t="str">
        <f t="shared" si="8"/>
        <v>D</v>
      </c>
      <c r="L194" s="141" t="str">
        <f t="shared" si="8"/>
        <v>E</v>
      </c>
      <c r="M194" s="141" t="str">
        <f t="shared" si="8"/>
        <v>F</v>
      </c>
      <c r="N194" s="141" t="str">
        <f t="shared" si="8"/>
        <v>M</v>
      </c>
      <c r="O194" s="141" t="str">
        <f t="shared" si="8"/>
        <v>A</v>
      </c>
    </row>
    <row r="195" spans="1:17">
      <c r="A195" s="121"/>
      <c r="B195" s="121" t="s">
        <v>27</v>
      </c>
      <c r="C195" s="230" t="s">
        <v>156</v>
      </c>
      <c r="D195" s="231"/>
      <c r="E195" s="231"/>
      <c r="F195" s="231"/>
      <c r="G195" s="231"/>
      <c r="H195" s="231"/>
      <c r="I195" s="231"/>
      <c r="J195" s="231"/>
      <c r="K195" s="231"/>
      <c r="L195" s="231"/>
      <c r="M195" s="231"/>
      <c r="N195" s="231"/>
      <c r="O195" s="231"/>
      <c r="P195" s="151"/>
      <c r="Q195" s="151"/>
    </row>
    <row r="196" spans="1:17">
      <c r="A196" s="121"/>
      <c r="B196" s="122" t="s">
        <v>86</v>
      </c>
      <c r="C196" s="144" t="s">
        <v>216</v>
      </c>
      <c r="D196" s="144" t="s">
        <v>219</v>
      </c>
      <c r="E196" s="144" t="s">
        <v>221</v>
      </c>
      <c r="F196" s="144" t="s">
        <v>223</v>
      </c>
      <c r="G196" s="144" t="s">
        <v>226</v>
      </c>
      <c r="H196" s="144" t="s">
        <v>229</v>
      </c>
      <c r="I196" s="144" t="s">
        <v>233</v>
      </c>
      <c r="J196" s="144" t="s">
        <v>238</v>
      </c>
      <c r="K196" s="144" t="s">
        <v>241</v>
      </c>
      <c r="L196" s="144" t="s">
        <v>243</v>
      </c>
      <c r="M196" s="144" t="s">
        <v>247</v>
      </c>
      <c r="N196" s="144" t="s">
        <v>250</v>
      </c>
      <c r="O196" s="144" t="s">
        <v>285</v>
      </c>
      <c r="P196" s="151"/>
      <c r="Q196" s="151"/>
    </row>
    <row r="197" spans="1:17">
      <c r="A197" s="121" t="s">
        <v>119</v>
      </c>
      <c r="B197" s="121" t="s">
        <v>120</v>
      </c>
      <c r="C197" s="142"/>
      <c r="D197" s="142"/>
      <c r="E197" s="142"/>
      <c r="F197" s="142"/>
      <c r="G197" s="142"/>
      <c r="H197" s="142"/>
      <c r="I197" s="142"/>
      <c r="J197" s="142"/>
      <c r="K197" s="142"/>
      <c r="L197" s="142"/>
      <c r="M197" s="142"/>
      <c r="N197" s="142"/>
      <c r="O197" s="142"/>
      <c r="P197" s="151"/>
      <c r="Q197" s="151"/>
    </row>
    <row r="198" spans="1:17">
      <c r="A198" s="238" t="s">
        <v>71</v>
      </c>
      <c r="B198" s="123" t="s">
        <v>203</v>
      </c>
      <c r="C198" s="124">
        <v>0</v>
      </c>
      <c r="D198" s="124">
        <v>0</v>
      </c>
      <c r="E198" s="124">
        <v>0</v>
      </c>
      <c r="F198" s="124">
        <v>0</v>
      </c>
      <c r="G198" s="124">
        <v>0</v>
      </c>
      <c r="H198" s="124">
        <v>0</v>
      </c>
      <c r="I198" s="124">
        <v>0</v>
      </c>
      <c r="J198" s="124">
        <v>0</v>
      </c>
      <c r="K198" s="124">
        <v>0</v>
      </c>
      <c r="L198" s="124">
        <v>0</v>
      </c>
      <c r="M198" s="124">
        <v>4</v>
      </c>
      <c r="N198" s="124">
        <v>16.082999999999998</v>
      </c>
      <c r="O198" s="124">
        <v>8</v>
      </c>
      <c r="P198" s="151"/>
      <c r="Q198" s="151"/>
    </row>
    <row r="199" spans="1:17">
      <c r="A199" s="240"/>
      <c r="B199" s="123" t="s">
        <v>73</v>
      </c>
      <c r="C199" s="124">
        <v>30.05</v>
      </c>
      <c r="D199" s="124">
        <v>0</v>
      </c>
      <c r="E199" s="124">
        <v>83.15</v>
      </c>
      <c r="F199" s="124">
        <v>422.25</v>
      </c>
      <c r="G199" s="124">
        <v>0</v>
      </c>
      <c r="H199" s="124">
        <v>90</v>
      </c>
      <c r="I199" s="124">
        <v>457.41699999999997</v>
      </c>
      <c r="J199" s="124">
        <v>20</v>
      </c>
      <c r="K199" s="124">
        <v>252.51499999999999</v>
      </c>
      <c r="L199" s="124">
        <v>859</v>
      </c>
      <c r="M199" s="124">
        <v>0</v>
      </c>
      <c r="N199" s="124">
        <v>276.5</v>
      </c>
      <c r="O199" s="124">
        <v>2.5</v>
      </c>
      <c r="P199" s="151"/>
      <c r="Q199" s="151"/>
    </row>
    <row r="200" spans="1:17">
      <c r="A200" s="240"/>
      <c r="B200" s="123" t="s">
        <v>23</v>
      </c>
      <c r="C200" s="124">
        <v>21334.2</v>
      </c>
      <c r="D200" s="124">
        <v>43474.65</v>
      </c>
      <c r="E200" s="124">
        <v>226890.22500000001</v>
      </c>
      <c r="F200" s="124">
        <v>209561.22500000001</v>
      </c>
      <c r="G200" s="124">
        <v>179282</v>
      </c>
      <c r="H200" s="124">
        <v>112488.129</v>
      </c>
      <c r="I200" s="124">
        <v>211916.53700000001</v>
      </c>
      <c r="J200" s="124">
        <v>207366.633</v>
      </c>
      <c r="K200" s="124">
        <v>266092.64399999997</v>
      </c>
      <c r="L200" s="124">
        <v>302103.14199999999</v>
      </c>
      <c r="M200" s="124">
        <v>51089.714</v>
      </c>
      <c r="N200" s="124">
        <v>107733.439</v>
      </c>
      <c r="O200" s="124">
        <v>138822.27600000001</v>
      </c>
      <c r="P200" s="151"/>
      <c r="Q200" s="151"/>
    </row>
    <row r="201" spans="1:17">
      <c r="A201" s="240"/>
      <c r="B201" s="123" t="s">
        <v>80</v>
      </c>
      <c r="C201" s="124">
        <v>52.5</v>
      </c>
      <c r="D201" s="124">
        <v>92.75</v>
      </c>
      <c r="E201" s="124">
        <v>209.25</v>
      </c>
      <c r="F201" s="124">
        <v>318.75</v>
      </c>
      <c r="G201" s="124">
        <v>173.25</v>
      </c>
      <c r="H201" s="124">
        <v>239.75</v>
      </c>
      <c r="I201" s="124">
        <v>585.11699999999996</v>
      </c>
      <c r="J201" s="124">
        <v>165.75</v>
      </c>
      <c r="K201" s="124">
        <v>189.25</v>
      </c>
      <c r="L201" s="124">
        <v>228</v>
      </c>
      <c r="M201" s="124">
        <v>295.75</v>
      </c>
      <c r="N201" s="124">
        <v>316.5</v>
      </c>
      <c r="O201" s="124">
        <v>453.25</v>
      </c>
      <c r="P201" s="151"/>
      <c r="Q201" s="151"/>
    </row>
    <row r="202" spans="1:17">
      <c r="A202" s="240"/>
      <c r="B202" s="123" t="s">
        <v>74</v>
      </c>
      <c r="C202" s="124">
        <v>25127.55</v>
      </c>
      <c r="D202" s="124">
        <v>28512.400000000001</v>
      </c>
      <c r="E202" s="124">
        <v>19186.8</v>
      </c>
      <c r="F202" s="124">
        <v>17123.95</v>
      </c>
      <c r="G202" s="124">
        <v>17965.3</v>
      </c>
      <c r="H202" s="124">
        <v>19717.983</v>
      </c>
      <c r="I202" s="124">
        <v>20295.434000000001</v>
      </c>
      <c r="J202" s="124">
        <v>31749.741000000002</v>
      </c>
      <c r="K202" s="124">
        <v>19420.499</v>
      </c>
      <c r="L202" s="124">
        <v>21825</v>
      </c>
      <c r="M202" s="124">
        <v>12831.683999999999</v>
      </c>
      <c r="N202" s="124">
        <v>12645.133</v>
      </c>
      <c r="O202" s="124">
        <v>26044.350999999999</v>
      </c>
      <c r="P202" s="151"/>
      <c r="Q202" s="151"/>
    </row>
    <row r="203" spans="1:17">
      <c r="A203" s="240"/>
      <c r="B203" s="123" t="s">
        <v>83</v>
      </c>
      <c r="C203" s="124">
        <v>0</v>
      </c>
      <c r="D203" s="124">
        <v>0</v>
      </c>
      <c r="E203" s="124">
        <v>0</v>
      </c>
      <c r="F203" s="124">
        <v>0</v>
      </c>
      <c r="G203" s="124">
        <v>0</v>
      </c>
      <c r="H203" s="124">
        <v>0</v>
      </c>
      <c r="I203" s="124">
        <v>0</v>
      </c>
      <c r="J203" s="124">
        <v>0</v>
      </c>
      <c r="K203" s="124">
        <v>0</v>
      </c>
      <c r="L203" s="124">
        <v>0</v>
      </c>
      <c r="M203" s="124">
        <v>0</v>
      </c>
      <c r="N203" s="124">
        <v>0</v>
      </c>
      <c r="O203" s="124">
        <v>0</v>
      </c>
      <c r="P203" s="151"/>
      <c r="Q203" s="151"/>
    </row>
    <row r="204" spans="1:17">
      <c r="A204" s="240"/>
      <c r="B204" s="123" t="s">
        <v>77</v>
      </c>
      <c r="C204" s="124">
        <v>27130.85</v>
      </c>
      <c r="D204" s="124">
        <v>43167.925000000003</v>
      </c>
      <c r="E204" s="124">
        <v>27497.7</v>
      </c>
      <c r="F204" s="124">
        <v>13989.3</v>
      </c>
      <c r="G204" s="124">
        <v>16005.75</v>
      </c>
      <c r="H204" s="124">
        <v>16576.755000000001</v>
      </c>
      <c r="I204" s="124">
        <v>26293.483</v>
      </c>
      <c r="J204" s="124">
        <v>21238.094000000001</v>
      </c>
      <c r="K204" s="124">
        <v>18071.8</v>
      </c>
      <c r="L204" s="124">
        <v>31834.75</v>
      </c>
      <c r="M204" s="124">
        <v>56996.767999999996</v>
      </c>
      <c r="N204" s="124">
        <v>26623.45</v>
      </c>
      <c r="O204" s="124">
        <v>32199.156999999999</v>
      </c>
      <c r="P204" s="151"/>
      <c r="Q204" s="151"/>
    </row>
    <row r="205" spans="1:17">
      <c r="A205" s="240"/>
      <c r="B205" s="123" t="s">
        <v>225</v>
      </c>
      <c r="C205" s="124">
        <v>0</v>
      </c>
      <c r="D205" s="124">
        <v>0</v>
      </c>
      <c r="E205" s="124">
        <v>0</v>
      </c>
      <c r="F205" s="124">
        <v>0</v>
      </c>
      <c r="G205" s="124">
        <v>0</v>
      </c>
      <c r="H205" s="124">
        <v>0</v>
      </c>
      <c r="I205" s="124">
        <v>0</v>
      </c>
      <c r="J205" s="124">
        <v>0</v>
      </c>
      <c r="K205" s="124">
        <v>0</v>
      </c>
      <c r="L205" s="124">
        <v>0</v>
      </c>
      <c r="M205" s="124">
        <v>0</v>
      </c>
      <c r="N205" s="124">
        <v>0</v>
      </c>
      <c r="O205" s="124">
        <v>0</v>
      </c>
      <c r="P205" s="151"/>
      <c r="Q205" s="151"/>
    </row>
    <row r="206" spans="1:17">
      <c r="A206" s="240"/>
      <c r="B206" s="123" t="s">
        <v>204</v>
      </c>
      <c r="C206" s="124">
        <v>0</v>
      </c>
      <c r="D206" s="124">
        <v>0</v>
      </c>
      <c r="E206" s="124">
        <v>0</v>
      </c>
      <c r="F206" s="124">
        <v>0</v>
      </c>
      <c r="G206" s="124">
        <v>0</v>
      </c>
      <c r="H206" s="124">
        <v>29.75</v>
      </c>
      <c r="I206" s="124">
        <v>0</v>
      </c>
      <c r="J206" s="124">
        <v>0</v>
      </c>
      <c r="K206" s="124">
        <v>0</v>
      </c>
      <c r="L206" s="124">
        <v>0</v>
      </c>
      <c r="M206" s="124">
        <v>0</v>
      </c>
      <c r="N206" s="124">
        <v>297.25</v>
      </c>
      <c r="O206" s="124">
        <v>251.5</v>
      </c>
      <c r="P206" s="151"/>
      <c r="Q206" s="151"/>
    </row>
    <row r="207" spans="1:17">
      <c r="A207" s="240"/>
      <c r="B207" s="123" t="s">
        <v>19</v>
      </c>
      <c r="C207" s="124">
        <v>36079.15</v>
      </c>
      <c r="D207" s="124">
        <v>30711.75</v>
      </c>
      <c r="E207" s="124">
        <v>31774.95</v>
      </c>
      <c r="F207" s="124">
        <v>85316.175000000003</v>
      </c>
      <c r="G207" s="124">
        <v>54636.866999999998</v>
      </c>
      <c r="H207" s="124">
        <v>20999.040000000001</v>
      </c>
      <c r="I207" s="124">
        <v>53616.607000000004</v>
      </c>
      <c r="J207" s="124">
        <v>43671.635000000002</v>
      </c>
      <c r="K207" s="124">
        <v>78431.933999999994</v>
      </c>
      <c r="L207" s="124">
        <v>67707.217999999993</v>
      </c>
      <c r="M207" s="124">
        <v>34524.767999999996</v>
      </c>
      <c r="N207" s="124">
        <v>78338.381999999998</v>
      </c>
      <c r="O207" s="124">
        <v>90073.433999999994</v>
      </c>
      <c r="P207" s="151"/>
      <c r="Q207" s="151"/>
    </row>
    <row r="208" spans="1:17">
      <c r="A208" s="240"/>
      <c r="B208" s="123" t="s">
        <v>169</v>
      </c>
      <c r="C208" s="124">
        <v>0</v>
      </c>
      <c r="D208" s="124">
        <v>0</v>
      </c>
      <c r="E208" s="124">
        <v>0</v>
      </c>
      <c r="F208" s="124">
        <v>0</v>
      </c>
      <c r="G208" s="124">
        <v>0</v>
      </c>
      <c r="H208" s="124">
        <v>0</v>
      </c>
      <c r="I208" s="124">
        <v>0</v>
      </c>
      <c r="J208" s="124">
        <v>0</v>
      </c>
      <c r="K208" s="124">
        <v>0</v>
      </c>
      <c r="L208" s="124">
        <v>0</v>
      </c>
      <c r="M208" s="124">
        <v>0</v>
      </c>
      <c r="N208" s="124">
        <v>0</v>
      </c>
      <c r="O208" s="124">
        <v>0</v>
      </c>
      <c r="P208" s="151"/>
      <c r="Q208" s="151"/>
    </row>
    <row r="209" spans="1:17">
      <c r="A209" s="240"/>
      <c r="B209" s="123" t="s">
        <v>84</v>
      </c>
      <c r="C209" s="124">
        <v>26275.474999999999</v>
      </c>
      <c r="D209" s="124">
        <v>35039.25</v>
      </c>
      <c r="E209" s="124">
        <v>33961.75</v>
      </c>
      <c r="F209" s="124">
        <v>27631.25</v>
      </c>
      <c r="G209" s="124">
        <v>39299.75</v>
      </c>
      <c r="H209" s="124">
        <v>29569.5</v>
      </c>
      <c r="I209" s="124">
        <v>15003</v>
      </c>
      <c r="J209" s="124">
        <v>4295.125</v>
      </c>
      <c r="K209" s="124">
        <v>46489.75</v>
      </c>
      <c r="L209" s="124">
        <v>46037.25</v>
      </c>
      <c r="M209" s="124">
        <v>28493.75</v>
      </c>
      <c r="N209" s="124">
        <v>47083.724999999999</v>
      </c>
      <c r="O209" s="124">
        <v>34373</v>
      </c>
      <c r="P209" s="151"/>
      <c r="Q209" s="151"/>
    </row>
    <row r="210" spans="1:17">
      <c r="A210" s="240"/>
      <c r="B210" s="123" t="s">
        <v>72</v>
      </c>
      <c r="C210" s="124">
        <v>364</v>
      </c>
      <c r="D210" s="124">
        <v>1965.25</v>
      </c>
      <c r="E210" s="124">
        <v>659</v>
      </c>
      <c r="F210" s="124">
        <v>742</v>
      </c>
      <c r="G210" s="124">
        <v>632.15</v>
      </c>
      <c r="H210" s="124">
        <v>153.69999999999999</v>
      </c>
      <c r="I210" s="124">
        <v>197.75</v>
      </c>
      <c r="J210" s="124">
        <v>817.75</v>
      </c>
      <c r="K210" s="124">
        <v>393.5</v>
      </c>
      <c r="L210" s="124">
        <v>266.25</v>
      </c>
      <c r="M210" s="124">
        <v>83.75</v>
      </c>
      <c r="N210" s="124">
        <v>576.75</v>
      </c>
      <c r="O210" s="124">
        <v>5.25</v>
      </c>
      <c r="P210" s="151"/>
      <c r="Q210" s="151"/>
    </row>
    <row r="211" spans="1:17">
      <c r="A211" s="240"/>
      <c r="B211" s="123" t="s">
        <v>81</v>
      </c>
      <c r="C211" s="124">
        <v>299.3</v>
      </c>
      <c r="D211" s="124">
        <v>1099.6500000000001</v>
      </c>
      <c r="E211" s="124">
        <v>445.65</v>
      </c>
      <c r="F211" s="124">
        <v>454.7</v>
      </c>
      <c r="G211" s="124">
        <v>547.04999999999995</v>
      </c>
      <c r="H211" s="124">
        <v>388.13299999999998</v>
      </c>
      <c r="I211" s="124">
        <v>806.63199999999995</v>
      </c>
      <c r="J211" s="124">
        <v>592.50099999999998</v>
      </c>
      <c r="K211" s="124">
        <v>703.6</v>
      </c>
      <c r="L211" s="124">
        <v>1370.1489999999999</v>
      </c>
      <c r="M211" s="124">
        <v>1479.4169999999999</v>
      </c>
      <c r="N211" s="124">
        <v>1455.6669999999999</v>
      </c>
      <c r="O211" s="124">
        <v>3701.65</v>
      </c>
      <c r="P211" s="151"/>
      <c r="Q211" s="151"/>
    </row>
    <row r="212" spans="1:17">
      <c r="A212" s="240"/>
      <c r="B212" s="123" t="s">
        <v>85</v>
      </c>
      <c r="C212" s="124">
        <v>0</v>
      </c>
      <c r="D212" s="124">
        <v>0</v>
      </c>
      <c r="E212" s="124">
        <v>0</v>
      </c>
      <c r="F212" s="124">
        <v>0</v>
      </c>
      <c r="G212" s="124">
        <v>0</v>
      </c>
      <c r="H212" s="124">
        <v>0</v>
      </c>
      <c r="I212" s="124">
        <v>133.5</v>
      </c>
      <c r="J212" s="124">
        <v>901.5</v>
      </c>
      <c r="K212" s="124">
        <v>405.25</v>
      </c>
      <c r="L212" s="124">
        <v>414</v>
      </c>
      <c r="M212" s="124">
        <v>0</v>
      </c>
      <c r="N212" s="124">
        <v>0</v>
      </c>
      <c r="O212" s="124">
        <v>0</v>
      </c>
      <c r="P212" s="151"/>
      <c r="Q212" s="151"/>
    </row>
    <row r="213" spans="1:17">
      <c r="A213" s="240"/>
      <c r="B213" s="123" t="s">
        <v>78</v>
      </c>
      <c r="C213" s="124">
        <v>9781.15</v>
      </c>
      <c r="D213" s="124">
        <v>14137.575000000001</v>
      </c>
      <c r="E213" s="124">
        <v>20985.474999999999</v>
      </c>
      <c r="F213" s="124">
        <v>14673.875</v>
      </c>
      <c r="G213" s="124">
        <v>22896.5</v>
      </c>
      <c r="H213" s="124">
        <v>14205.386</v>
      </c>
      <c r="I213" s="124">
        <v>9987.0589999999993</v>
      </c>
      <c r="J213" s="124">
        <v>4838.0010000000002</v>
      </c>
      <c r="K213" s="124">
        <v>4763.4480000000003</v>
      </c>
      <c r="L213" s="124">
        <v>6277.7669999999998</v>
      </c>
      <c r="M213" s="124">
        <v>8331.3809999999994</v>
      </c>
      <c r="N213" s="124">
        <v>8738.0190000000002</v>
      </c>
      <c r="O213" s="124">
        <v>17272.044999999998</v>
      </c>
      <c r="P213" s="151"/>
      <c r="Q213" s="151"/>
    </row>
    <row r="214" spans="1:17">
      <c r="A214" s="240"/>
      <c r="B214" s="123" t="s">
        <v>79</v>
      </c>
      <c r="C214" s="124">
        <v>157.75</v>
      </c>
      <c r="D214" s="124">
        <v>300.5</v>
      </c>
      <c r="E214" s="124">
        <v>170.25</v>
      </c>
      <c r="F214" s="124">
        <v>455.92500000000001</v>
      </c>
      <c r="G214" s="124">
        <v>301.75</v>
      </c>
      <c r="H214" s="124">
        <v>325.25</v>
      </c>
      <c r="I214" s="124">
        <v>564.75</v>
      </c>
      <c r="J214" s="124">
        <v>122.25</v>
      </c>
      <c r="K214" s="124">
        <v>165.25</v>
      </c>
      <c r="L214" s="124">
        <v>126.25</v>
      </c>
      <c r="M214" s="124">
        <v>351</v>
      </c>
      <c r="N214" s="124">
        <v>1182.5</v>
      </c>
      <c r="O214" s="124">
        <v>1180.5</v>
      </c>
      <c r="P214" s="151"/>
      <c r="Q214" s="151"/>
    </row>
    <row r="215" spans="1:17">
      <c r="A215" s="240"/>
      <c r="B215" s="123" t="s">
        <v>76</v>
      </c>
      <c r="C215" s="124">
        <v>16764.75</v>
      </c>
      <c r="D215" s="124">
        <v>23021.55</v>
      </c>
      <c r="E215" s="124">
        <v>17574.599999999999</v>
      </c>
      <c r="F215" s="124">
        <v>21808.125</v>
      </c>
      <c r="G215" s="124">
        <v>20287.816999999999</v>
      </c>
      <c r="H215" s="124">
        <v>18414.18</v>
      </c>
      <c r="I215" s="124">
        <v>16800.466</v>
      </c>
      <c r="J215" s="124">
        <v>17768.901999999998</v>
      </c>
      <c r="K215" s="124">
        <v>29822.548999999999</v>
      </c>
      <c r="L215" s="124">
        <v>42487.55</v>
      </c>
      <c r="M215" s="124">
        <v>18170.684000000001</v>
      </c>
      <c r="N215" s="124">
        <v>34499.985000000001</v>
      </c>
      <c r="O215" s="124">
        <v>34189.949999999997</v>
      </c>
      <c r="P215" s="152"/>
      <c r="Q215" s="151"/>
    </row>
    <row r="216" spans="1:17">
      <c r="A216" s="239"/>
      <c r="B216" s="181" t="s">
        <v>0</v>
      </c>
      <c r="C216" s="189">
        <v>163396.72500000001</v>
      </c>
      <c r="D216" s="189">
        <v>221523.25</v>
      </c>
      <c r="E216" s="189">
        <v>379438.8</v>
      </c>
      <c r="F216" s="189">
        <v>392497.52500000002</v>
      </c>
      <c r="G216" s="189">
        <v>352028.18400000001</v>
      </c>
      <c r="H216" s="189">
        <v>233197.55600000001</v>
      </c>
      <c r="I216" s="189">
        <v>356657.75199999998</v>
      </c>
      <c r="J216" s="189">
        <v>333547.88199999998</v>
      </c>
      <c r="K216" s="189">
        <v>465201.989</v>
      </c>
      <c r="L216" s="189">
        <v>521536.326</v>
      </c>
      <c r="M216" s="189">
        <v>212652.666</v>
      </c>
      <c r="N216" s="189">
        <v>319783.38299999997</v>
      </c>
      <c r="O216" s="189">
        <v>378576.86300000001</v>
      </c>
      <c r="P216" s="152">
        <f>O216/C216-1</f>
        <v>1.3169183042071375</v>
      </c>
      <c r="Q216" s="151"/>
    </row>
    <row r="217" spans="1:17">
      <c r="A217" s="248" t="s">
        <v>75</v>
      </c>
      <c r="B217" s="123" t="s">
        <v>203</v>
      </c>
      <c r="C217" s="124">
        <v>0</v>
      </c>
      <c r="D217" s="124">
        <v>0</v>
      </c>
      <c r="E217" s="124">
        <v>0</v>
      </c>
      <c r="F217" s="124">
        <v>0</v>
      </c>
      <c r="G217" s="124">
        <v>0</v>
      </c>
      <c r="H217" s="124">
        <v>0</v>
      </c>
      <c r="I217" s="124">
        <v>0</v>
      </c>
      <c r="J217" s="124">
        <v>0</v>
      </c>
      <c r="K217" s="124">
        <v>0</v>
      </c>
      <c r="L217" s="124">
        <v>0</v>
      </c>
      <c r="M217" s="124">
        <v>0</v>
      </c>
      <c r="N217" s="124">
        <v>12.2</v>
      </c>
      <c r="O217" s="124">
        <v>11.317</v>
      </c>
      <c r="P217" s="153"/>
      <c r="Q217" s="151"/>
    </row>
    <row r="218" spans="1:17">
      <c r="A218" s="240"/>
      <c r="B218" s="123" t="s">
        <v>73</v>
      </c>
      <c r="C218" s="124">
        <v>105</v>
      </c>
      <c r="D218" s="124">
        <v>0</v>
      </c>
      <c r="E218" s="124">
        <v>83.75</v>
      </c>
      <c r="F218" s="124">
        <v>10</v>
      </c>
      <c r="G218" s="124">
        <v>0</v>
      </c>
      <c r="H218" s="124">
        <v>0</v>
      </c>
      <c r="I218" s="124">
        <v>0</v>
      </c>
      <c r="J218" s="124">
        <v>0</v>
      </c>
      <c r="K218" s="124">
        <v>2.5</v>
      </c>
      <c r="L218" s="124">
        <v>0</v>
      </c>
      <c r="M218" s="124">
        <v>0</v>
      </c>
      <c r="N218" s="124">
        <v>132</v>
      </c>
      <c r="O218" s="124">
        <v>0</v>
      </c>
      <c r="P218" s="195"/>
      <c r="Q218" s="151"/>
    </row>
    <row r="219" spans="1:17">
      <c r="A219" s="240"/>
      <c r="B219" s="123" t="s">
        <v>23</v>
      </c>
      <c r="C219" s="124">
        <v>16612.3</v>
      </c>
      <c r="D219" s="124">
        <v>9449.5499999999993</v>
      </c>
      <c r="E219" s="124">
        <v>34376.15</v>
      </c>
      <c r="F219" s="124">
        <v>27134.55</v>
      </c>
      <c r="G219" s="124">
        <v>23693.05</v>
      </c>
      <c r="H219" s="124">
        <v>36576.124000000003</v>
      </c>
      <c r="I219" s="124">
        <v>44677.858999999997</v>
      </c>
      <c r="J219" s="124">
        <v>15669.689</v>
      </c>
      <c r="K219" s="124">
        <v>18577.234</v>
      </c>
      <c r="L219" s="124">
        <v>26667.285</v>
      </c>
      <c r="M219" s="124">
        <v>6967.4669999999996</v>
      </c>
      <c r="N219" s="124">
        <v>4851.6670000000004</v>
      </c>
      <c r="O219" s="124">
        <v>4275.6840000000002</v>
      </c>
      <c r="P219" s="151"/>
      <c r="Q219" s="151"/>
    </row>
    <row r="220" spans="1:17">
      <c r="A220" s="240"/>
      <c r="B220" s="123" t="s">
        <v>80</v>
      </c>
      <c r="C220" s="124">
        <v>1568.95</v>
      </c>
      <c r="D220" s="124">
        <v>863.15</v>
      </c>
      <c r="E220" s="124">
        <v>366.5</v>
      </c>
      <c r="F220" s="124">
        <v>941.3</v>
      </c>
      <c r="G220" s="124">
        <v>409.5</v>
      </c>
      <c r="H220" s="124">
        <v>383.58300000000003</v>
      </c>
      <c r="I220" s="124">
        <v>701.5</v>
      </c>
      <c r="J220" s="124">
        <v>436.983</v>
      </c>
      <c r="K220" s="124">
        <v>509.983</v>
      </c>
      <c r="L220" s="124">
        <v>1312.75</v>
      </c>
      <c r="M220" s="124">
        <v>1237.567</v>
      </c>
      <c r="N220" s="124">
        <v>1030.75</v>
      </c>
      <c r="O220" s="124">
        <v>1191.55</v>
      </c>
      <c r="P220" s="151"/>
      <c r="Q220" s="151"/>
    </row>
    <row r="221" spans="1:17">
      <c r="A221" s="240"/>
      <c r="B221" s="123" t="s">
        <v>74</v>
      </c>
      <c r="C221" s="124">
        <v>44515.75</v>
      </c>
      <c r="D221" s="124">
        <v>21756.775000000001</v>
      </c>
      <c r="E221" s="124">
        <v>9671.85</v>
      </c>
      <c r="F221" s="124">
        <v>22367.341</v>
      </c>
      <c r="G221" s="124">
        <v>22439.35</v>
      </c>
      <c r="H221" s="124">
        <v>24097.200000000001</v>
      </c>
      <c r="I221" s="124">
        <v>24976.831999999999</v>
      </c>
      <c r="J221" s="124">
        <v>15651.814</v>
      </c>
      <c r="K221" s="124">
        <v>21209.651000000002</v>
      </c>
      <c r="L221" s="124">
        <v>65291.366000000002</v>
      </c>
      <c r="M221" s="124">
        <v>38186.917999999998</v>
      </c>
      <c r="N221" s="124">
        <v>48358.516000000003</v>
      </c>
      <c r="O221" s="124">
        <v>50625.148000000001</v>
      </c>
      <c r="P221" s="151"/>
      <c r="Q221" s="151"/>
    </row>
    <row r="222" spans="1:17">
      <c r="A222" s="240"/>
      <c r="B222" s="123" t="s">
        <v>83</v>
      </c>
      <c r="C222" s="124">
        <v>0</v>
      </c>
      <c r="D222" s="124">
        <v>0</v>
      </c>
      <c r="E222" s="124">
        <v>0</v>
      </c>
      <c r="F222" s="124">
        <v>0</v>
      </c>
      <c r="G222" s="124">
        <v>0</v>
      </c>
      <c r="H222" s="124">
        <v>0</v>
      </c>
      <c r="I222" s="124">
        <v>0</v>
      </c>
      <c r="J222" s="124">
        <v>0</v>
      </c>
      <c r="K222" s="124">
        <v>0</v>
      </c>
      <c r="L222" s="124">
        <v>0</v>
      </c>
      <c r="M222" s="124">
        <v>0</v>
      </c>
      <c r="N222" s="124">
        <v>0</v>
      </c>
      <c r="O222" s="124">
        <v>0</v>
      </c>
      <c r="P222" s="151"/>
      <c r="Q222" s="151"/>
    </row>
    <row r="223" spans="1:17">
      <c r="A223" s="240"/>
      <c r="B223" s="123" t="s">
        <v>77</v>
      </c>
      <c r="C223" s="124">
        <v>130290.417</v>
      </c>
      <c r="D223" s="124">
        <v>60074.966999999997</v>
      </c>
      <c r="E223" s="124">
        <v>26082.375</v>
      </c>
      <c r="F223" s="124">
        <v>69061.966</v>
      </c>
      <c r="G223" s="124">
        <v>52735.925999999999</v>
      </c>
      <c r="H223" s="124">
        <v>63325.637000000002</v>
      </c>
      <c r="I223" s="124">
        <v>57328.411</v>
      </c>
      <c r="J223" s="124">
        <v>74208.519</v>
      </c>
      <c r="K223" s="124">
        <v>31529.169000000002</v>
      </c>
      <c r="L223" s="124">
        <v>172075.13800000001</v>
      </c>
      <c r="M223" s="124">
        <v>226398.48300000001</v>
      </c>
      <c r="N223" s="124">
        <v>166041.867</v>
      </c>
      <c r="O223" s="124">
        <v>94856.077999999994</v>
      </c>
      <c r="P223" s="151"/>
      <c r="Q223" s="151"/>
    </row>
    <row r="224" spans="1:17">
      <c r="A224" s="240"/>
      <c r="B224" s="123" t="s">
        <v>225</v>
      </c>
      <c r="C224" s="124">
        <v>0</v>
      </c>
      <c r="D224" s="124">
        <v>0</v>
      </c>
      <c r="E224" s="124">
        <v>0</v>
      </c>
      <c r="F224" s="124">
        <v>0</v>
      </c>
      <c r="G224" s="124">
        <v>0</v>
      </c>
      <c r="H224" s="124">
        <v>0</v>
      </c>
      <c r="I224" s="124">
        <v>0</v>
      </c>
      <c r="J224" s="124">
        <v>0</v>
      </c>
      <c r="K224" s="124">
        <v>0</v>
      </c>
      <c r="L224" s="124">
        <v>0</v>
      </c>
      <c r="M224" s="124">
        <v>0</v>
      </c>
      <c r="N224" s="124">
        <v>0</v>
      </c>
      <c r="O224" s="124">
        <v>0</v>
      </c>
      <c r="P224" s="151"/>
      <c r="Q224" s="151"/>
    </row>
    <row r="225" spans="1:28">
      <c r="A225" s="240"/>
      <c r="B225" s="123" t="s">
        <v>204</v>
      </c>
      <c r="C225" s="124">
        <v>22.75</v>
      </c>
      <c r="D225" s="124">
        <v>22</v>
      </c>
      <c r="E225" s="124">
        <v>0</v>
      </c>
      <c r="F225" s="124">
        <v>0</v>
      </c>
      <c r="G225" s="124">
        <v>0</v>
      </c>
      <c r="H225" s="124">
        <v>211.4</v>
      </c>
      <c r="I225" s="124">
        <v>15.25</v>
      </c>
      <c r="J225" s="124">
        <v>0</v>
      </c>
      <c r="K225" s="124">
        <v>0.5</v>
      </c>
      <c r="L225" s="124">
        <v>25.3</v>
      </c>
      <c r="M225" s="124">
        <v>20.417000000000002</v>
      </c>
      <c r="N225" s="124">
        <v>604.35</v>
      </c>
      <c r="O225" s="124">
        <v>28.25</v>
      </c>
      <c r="P225" s="151"/>
      <c r="Q225" s="151"/>
    </row>
    <row r="226" spans="1:28">
      <c r="A226" s="240"/>
      <c r="B226" s="123" t="s">
        <v>19</v>
      </c>
      <c r="C226" s="124">
        <v>66805.399999999994</v>
      </c>
      <c r="D226" s="124">
        <v>38696.474999999999</v>
      </c>
      <c r="E226" s="124">
        <v>56107.25</v>
      </c>
      <c r="F226" s="124">
        <v>28608.517</v>
      </c>
      <c r="G226" s="124">
        <v>11833.25</v>
      </c>
      <c r="H226" s="124">
        <v>35547.775999999998</v>
      </c>
      <c r="I226" s="124">
        <v>21124.741000000002</v>
      </c>
      <c r="J226" s="124">
        <v>14523.97</v>
      </c>
      <c r="K226" s="124">
        <v>20973.499</v>
      </c>
      <c r="L226" s="124">
        <v>50957.332999999999</v>
      </c>
      <c r="M226" s="124">
        <v>33449.748</v>
      </c>
      <c r="N226" s="124">
        <v>98937.600000000006</v>
      </c>
      <c r="O226" s="124">
        <v>32663.774000000001</v>
      </c>
      <c r="P226" s="151"/>
      <c r="Q226" s="151"/>
    </row>
    <row r="227" spans="1:28">
      <c r="A227" s="240"/>
      <c r="B227" s="123" t="s">
        <v>169</v>
      </c>
      <c r="C227" s="124">
        <v>0</v>
      </c>
      <c r="D227" s="124">
        <v>0</v>
      </c>
      <c r="E227" s="124">
        <v>0</v>
      </c>
      <c r="F227" s="124">
        <v>0</v>
      </c>
      <c r="G227" s="124">
        <v>0</v>
      </c>
      <c r="H227" s="124">
        <v>0</v>
      </c>
      <c r="I227" s="124">
        <v>0</v>
      </c>
      <c r="J227" s="124">
        <v>0</v>
      </c>
      <c r="K227" s="124">
        <v>0</v>
      </c>
      <c r="L227" s="124">
        <v>0</v>
      </c>
      <c r="M227" s="124">
        <v>0</v>
      </c>
      <c r="N227" s="124">
        <v>0</v>
      </c>
      <c r="O227" s="124">
        <v>0</v>
      </c>
      <c r="P227" s="151"/>
      <c r="Q227" s="151"/>
    </row>
    <row r="228" spans="1:28">
      <c r="A228" s="240"/>
      <c r="B228" s="123" t="s">
        <v>84</v>
      </c>
      <c r="C228" s="124">
        <v>42367.775000000001</v>
      </c>
      <c r="D228" s="124">
        <v>23024.25</v>
      </c>
      <c r="E228" s="124">
        <v>44160.5</v>
      </c>
      <c r="F228" s="124">
        <v>32261.5</v>
      </c>
      <c r="G228" s="124">
        <v>35004.25</v>
      </c>
      <c r="H228" s="124">
        <v>45108.25</v>
      </c>
      <c r="I228" s="124">
        <v>21705.724999999999</v>
      </c>
      <c r="J228" s="124">
        <v>6274.25</v>
      </c>
      <c r="K228" s="124">
        <v>33295.5</v>
      </c>
      <c r="L228" s="124">
        <v>33967.75</v>
      </c>
      <c r="M228" s="124">
        <v>12881.5</v>
      </c>
      <c r="N228" s="124">
        <v>21034.724999999999</v>
      </c>
      <c r="O228" s="124">
        <v>22465.174999999999</v>
      </c>
      <c r="P228" s="151"/>
      <c r="Q228" s="151"/>
    </row>
    <row r="229" spans="1:28">
      <c r="A229" s="240"/>
      <c r="B229" s="123" t="s">
        <v>72</v>
      </c>
      <c r="C229" s="124">
        <v>203.75</v>
      </c>
      <c r="D229" s="124">
        <v>2702</v>
      </c>
      <c r="E229" s="124">
        <v>200.75</v>
      </c>
      <c r="F229" s="124">
        <v>0.5</v>
      </c>
      <c r="G229" s="124">
        <v>8</v>
      </c>
      <c r="H229" s="124">
        <v>350.21699999999998</v>
      </c>
      <c r="I229" s="124">
        <v>1195</v>
      </c>
      <c r="J229" s="124">
        <v>416.85</v>
      </c>
      <c r="K229" s="124">
        <v>643.25</v>
      </c>
      <c r="L229" s="124">
        <v>60.75</v>
      </c>
      <c r="M229" s="124">
        <v>441.5</v>
      </c>
      <c r="N229" s="124">
        <v>444.93299999999999</v>
      </c>
      <c r="O229" s="124">
        <v>401.25</v>
      </c>
      <c r="P229" s="151"/>
      <c r="Q229" s="151"/>
    </row>
    <row r="230" spans="1:28">
      <c r="A230" s="240"/>
      <c r="B230" s="123" t="s">
        <v>81</v>
      </c>
      <c r="C230" s="124">
        <v>3896.5160000000001</v>
      </c>
      <c r="D230" s="124">
        <v>4437.6490000000003</v>
      </c>
      <c r="E230" s="124">
        <v>3327.3</v>
      </c>
      <c r="F230" s="124">
        <v>2881.4830000000002</v>
      </c>
      <c r="G230" s="124">
        <v>2162.366</v>
      </c>
      <c r="H230" s="124">
        <v>1952.1</v>
      </c>
      <c r="I230" s="124">
        <v>2307.5140000000001</v>
      </c>
      <c r="J230" s="124">
        <v>1742.778</v>
      </c>
      <c r="K230" s="124">
        <v>2462.2339999999999</v>
      </c>
      <c r="L230" s="124">
        <v>4065.0329999999999</v>
      </c>
      <c r="M230" s="124">
        <v>3720.0479999999998</v>
      </c>
      <c r="N230" s="124">
        <v>4124.4660000000003</v>
      </c>
      <c r="O230" s="124">
        <v>4307.8339999999998</v>
      </c>
      <c r="P230" s="151"/>
      <c r="Q230" s="151"/>
    </row>
    <row r="231" spans="1:28">
      <c r="A231" s="240"/>
      <c r="B231" s="123" t="s">
        <v>85</v>
      </c>
      <c r="C231" s="124">
        <v>0</v>
      </c>
      <c r="D231" s="124">
        <v>0</v>
      </c>
      <c r="E231" s="124">
        <v>0</v>
      </c>
      <c r="F231" s="124">
        <v>0</v>
      </c>
      <c r="G231" s="124">
        <v>0</v>
      </c>
      <c r="H231" s="124">
        <v>0</v>
      </c>
      <c r="I231" s="124">
        <v>24</v>
      </c>
      <c r="J231" s="124">
        <v>11.75</v>
      </c>
      <c r="K231" s="124">
        <v>5</v>
      </c>
      <c r="L231" s="124">
        <v>0</v>
      </c>
      <c r="M231" s="124">
        <v>0</v>
      </c>
      <c r="N231" s="124">
        <v>0</v>
      </c>
      <c r="O231" s="124">
        <v>0</v>
      </c>
      <c r="P231" s="151"/>
      <c r="Q231" s="151"/>
    </row>
    <row r="232" spans="1:28">
      <c r="A232" s="240"/>
      <c r="B232" s="123" t="s">
        <v>78</v>
      </c>
      <c r="C232" s="124">
        <v>104779.283</v>
      </c>
      <c r="D232" s="124">
        <v>99194.45</v>
      </c>
      <c r="E232" s="124">
        <v>21212.375</v>
      </c>
      <c r="F232" s="124">
        <v>83232.362999999998</v>
      </c>
      <c r="G232" s="124">
        <v>66270.042000000001</v>
      </c>
      <c r="H232" s="124">
        <v>79062.11</v>
      </c>
      <c r="I232" s="124">
        <v>49350.519</v>
      </c>
      <c r="J232" s="124">
        <v>25768.780999999999</v>
      </c>
      <c r="K232" s="124">
        <v>6381.4690000000001</v>
      </c>
      <c r="L232" s="124">
        <v>37857.144999999997</v>
      </c>
      <c r="M232" s="124">
        <v>244589.13800000001</v>
      </c>
      <c r="N232" s="124">
        <v>297394.19300000003</v>
      </c>
      <c r="O232" s="124">
        <v>192102.17</v>
      </c>
      <c r="P232" s="151"/>
      <c r="Q232" s="151"/>
    </row>
    <row r="233" spans="1:28">
      <c r="A233" s="240"/>
      <c r="B233" s="123" t="s">
        <v>79</v>
      </c>
      <c r="C233" s="124">
        <v>679</v>
      </c>
      <c r="D233" s="124">
        <v>1243.3</v>
      </c>
      <c r="E233" s="124">
        <v>979.75</v>
      </c>
      <c r="F233" s="124">
        <v>771.75</v>
      </c>
      <c r="G233" s="124">
        <v>1365</v>
      </c>
      <c r="H233" s="124">
        <v>807.75</v>
      </c>
      <c r="I233" s="124">
        <v>909</v>
      </c>
      <c r="J233" s="124">
        <v>86.75</v>
      </c>
      <c r="K233" s="124">
        <v>606.25</v>
      </c>
      <c r="L233" s="124">
        <v>1893.25</v>
      </c>
      <c r="M233" s="124">
        <v>2902.5</v>
      </c>
      <c r="N233" s="124">
        <v>2653.5</v>
      </c>
      <c r="O233" s="124">
        <v>3265.75</v>
      </c>
      <c r="P233" s="152"/>
      <c r="Q233" s="152"/>
    </row>
    <row r="234" spans="1:28">
      <c r="A234" s="240"/>
      <c r="B234" s="123" t="s">
        <v>76</v>
      </c>
      <c r="C234" s="124">
        <v>24323</v>
      </c>
      <c r="D234" s="124">
        <v>15956.517</v>
      </c>
      <c r="E234" s="124">
        <v>10532.25</v>
      </c>
      <c r="F234" s="124">
        <v>10383.450000000001</v>
      </c>
      <c r="G234" s="124">
        <v>10664.65</v>
      </c>
      <c r="H234" s="124">
        <v>13546.782999999999</v>
      </c>
      <c r="I234" s="124">
        <v>17828.25</v>
      </c>
      <c r="J234" s="124">
        <v>8942.5499999999993</v>
      </c>
      <c r="K234" s="124">
        <v>10255.6</v>
      </c>
      <c r="L234" s="124">
        <v>30050.967000000001</v>
      </c>
      <c r="M234" s="124">
        <v>29190.814999999999</v>
      </c>
      <c r="N234" s="124">
        <v>23030.532999999999</v>
      </c>
      <c r="O234" s="124">
        <v>23938.75</v>
      </c>
      <c r="P234" s="118"/>
      <c r="Q234" s="118"/>
    </row>
    <row r="235" spans="1:28">
      <c r="A235" s="239"/>
      <c r="B235" s="181" t="s">
        <v>0</v>
      </c>
      <c r="C235" s="189">
        <v>436169.891</v>
      </c>
      <c r="D235" s="189">
        <v>277421.08299999998</v>
      </c>
      <c r="E235" s="189">
        <v>207100.79999999999</v>
      </c>
      <c r="F235" s="189">
        <v>277654.71999999997</v>
      </c>
      <c r="G235" s="189">
        <v>226585.38399999999</v>
      </c>
      <c r="H235" s="189">
        <v>300968.93</v>
      </c>
      <c r="I235" s="189">
        <v>242144.601</v>
      </c>
      <c r="J235" s="189">
        <v>163734.68400000001</v>
      </c>
      <c r="K235" s="189">
        <v>146451.83900000001</v>
      </c>
      <c r="L235" s="189">
        <v>424224.06699999998</v>
      </c>
      <c r="M235" s="189">
        <v>599986.10100000002</v>
      </c>
      <c r="N235" s="189">
        <v>668651.30000000005</v>
      </c>
      <c r="O235" s="189">
        <v>430132.73</v>
      </c>
      <c r="P235" s="152">
        <f>O235/C235-1</f>
        <v>-1.3841306162052369E-2</v>
      </c>
      <c r="Q235" s="152">
        <f>(O216+O235)/(C235+C216)-1</f>
        <v>0.34882358593494467</v>
      </c>
    </row>
    <row r="236" spans="1:28">
      <c r="C236" s="167"/>
      <c r="O236" s="167"/>
      <c r="P236" s="160"/>
      <c r="Q236" s="160"/>
      <c r="R236" s="160"/>
      <c r="S236" s="160"/>
      <c r="T236" s="160"/>
      <c r="U236" s="160"/>
      <c r="V236" s="160"/>
      <c r="W236" s="160"/>
      <c r="X236" s="160"/>
      <c r="Y236" s="160"/>
      <c r="Z236" s="160"/>
      <c r="AA236" s="160"/>
      <c r="AB236" s="160"/>
    </row>
    <row r="237" spans="1:28">
      <c r="O237" s="167"/>
      <c r="P237" s="160"/>
      <c r="Q237" s="160"/>
      <c r="R237" s="160"/>
      <c r="S237" s="160"/>
      <c r="T237" s="160"/>
      <c r="U237" s="160"/>
      <c r="V237" s="160"/>
      <c r="W237" s="160"/>
      <c r="X237" s="160"/>
      <c r="Y237" s="160"/>
      <c r="Z237" s="160"/>
      <c r="AA237" s="160"/>
      <c r="AB237" s="160"/>
    </row>
    <row r="238" spans="1:28">
      <c r="P238" s="160"/>
      <c r="Q238" s="160"/>
      <c r="R238" s="160"/>
      <c r="S238" s="160"/>
      <c r="T238" s="160"/>
      <c r="U238" s="160"/>
      <c r="V238" s="160"/>
      <c r="W238" s="160"/>
      <c r="X238" s="160"/>
      <c r="Y238" s="160"/>
      <c r="Z238" s="160"/>
      <c r="AA238" s="160"/>
      <c r="AB238" s="160"/>
    </row>
    <row r="239" spans="1:28">
      <c r="P239" s="160"/>
      <c r="Q239" s="160"/>
      <c r="R239" s="160"/>
      <c r="S239" s="160"/>
      <c r="T239" s="160"/>
      <c r="U239" s="160"/>
      <c r="V239" s="160"/>
      <c r="W239" s="160"/>
      <c r="X239" s="160"/>
      <c r="Y239" s="160"/>
      <c r="Z239" s="160"/>
      <c r="AA239" s="160"/>
      <c r="AB239" s="160"/>
    </row>
    <row r="240" spans="1:28">
      <c r="P240" s="160"/>
      <c r="Q240" s="160"/>
      <c r="R240" s="160"/>
      <c r="S240" s="160"/>
      <c r="T240" s="160"/>
      <c r="U240" s="160"/>
      <c r="V240" s="160"/>
      <c r="W240" s="160"/>
      <c r="X240" s="160"/>
      <c r="Y240" s="160"/>
      <c r="Z240" s="160"/>
      <c r="AA240" s="160"/>
      <c r="AB240" s="160"/>
    </row>
    <row r="241" spans="1:28">
      <c r="P241" s="160"/>
      <c r="Q241" s="160"/>
      <c r="R241" s="160"/>
      <c r="S241" s="160"/>
      <c r="T241" s="160"/>
      <c r="U241" s="160"/>
      <c r="V241" s="160"/>
      <c r="W241" s="160"/>
      <c r="X241" s="160"/>
      <c r="Y241" s="160"/>
      <c r="Z241" s="160"/>
      <c r="AA241" s="160"/>
      <c r="AB241" s="160"/>
    </row>
    <row r="242" spans="1:28">
      <c r="O242" s="167"/>
      <c r="P242" s="160"/>
      <c r="Q242" s="160"/>
      <c r="R242" s="160"/>
      <c r="S242" s="160"/>
      <c r="T242" s="160"/>
      <c r="U242" s="160"/>
      <c r="V242" s="160"/>
      <c r="W242" s="160"/>
      <c r="X242" s="160"/>
      <c r="Y242" s="160"/>
      <c r="Z242" s="160"/>
      <c r="AA242" s="160"/>
      <c r="AB242" s="160"/>
    </row>
    <row r="243" spans="1:28">
      <c r="O243" s="167"/>
      <c r="P243" s="160"/>
      <c r="Q243" s="160"/>
      <c r="R243" s="160"/>
      <c r="S243" s="160"/>
      <c r="T243" s="160"/>
      <c r="U243" s="160"/>
      <c r="V243" s="160"/>
      <c r="W243" s="160"/>
      <c r="X243" s="160"/>
      <c r="Y243" s="160"/>
      <c r="Z243" s="160"/>
      <c r="AA243" s="160"/>
      <c r="AB243" s="160"/>
    </row>
    <row r="244" spans="1:28">
      <c r="O244" s="167"/>
      <c r="P244" s="160"/>
      <c r="Q244" s="160"/>
      <c r="R244" s="160"/>
      <c r="S244" s="160"/>
      <c r="T244" s="160"/>
      <c r="U244" s="160"/>
      <c r="V244" s="160"/>
      <c r="W244" s="160"/>
      <c r="X244" s="160"/>
      <c r="Y244" s="160"/>
      <c r="Z244" s="160"/>
      <c r="AA244" s="160"/>
      <c r="AB244" s="160"/>
    </row>
    <row r="245" spans="1:28">
      <c r="P245" s="160"/>
      <c r="Q245" s="160"/>
      <c r="R245" s="160"/>
      <c r="S245" s="160"/>
      <c r="T245" s="160"/>
      <c r="U245" s="160"/>
      <c r="V245" s="160"/>
      <c r="W245" s="160"/>
      <c r="X245" s="160"/>
      <c r="Y245" s="160"/>
      <c r="Z245" s="160"/>
      <c r="AA245" s="160"/>
      <c r="AB245" s="160"/>
    </row>
    <row r="246" spans="1:28">
      <c r="P246" s="160"/>
      <c r="Q246" s="160"/>
      <c r="R246" s="160"/>
      <c r="S246" s="160"/>
      <c r="T246" s="160"/>
      <c r="U246" s="160"/>
      <c r="V246" s="160"/>
      <c r="W246" s="160"/>
      <c r="X246" s="160"/>
      <c r="Y246" s="160"/>
      <c r="Z246" s="160"/>
      <c r="AA246" s="160"/>
      <c r="AB246" s="160"/>
    </row>
    <row r="247" spans="1:28">
      <c r="O247" s="160"/>
      <c r="P247" s="160"/>
      <c r="Q247" s="160"/>
      <c r="R247" s="160"/>
      <c r="S247" s="160"/>
      <c r="T247" s="160"/>
      <c r="U247" s="160"/>
      <c r="V247" s="160"/>
      <c r="W247" s="160"/>
      <c r="X247" s="160"/>
      <c r="Y247" s="160"/>
      <c r="Z247" s="160"/>
      <c r="AA247" s="160"/>
      <c r="AB247" s="160"/>
    </row>
    <row r="248" spans="1:28">
      <c r="O248" s="160"/>
      <c r="P248" s="160"/>
      <c r="Q248" s="160"/>
      <c r="R248" s="160"/>
      <c r="S248" s="160"/>
      <c r="T248" s="160"/>
      <c r="U248" s="160"/>
      <c r="V248" s="160"/>
      <c r="W248" s="160"/>
      <c r="X248" s="160"/>
      <c r="Y248" s="160"/>
      <c r="Z248" s="160"/>
      <c r="AA248" s="160"/>
      <c r="AB248" s="160"/>
    </row>
    <row r="249" spans="1:28">
      <c r="A249" s="161"/>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c r="AB249" s="160"/>
    </row>
    <row r="250" spans="1:28">
      <c r="P250" s="160"/>
      <c r="Q250" s="160"/>
      <c r="R250" s="160"/>
      <c r="S250" s="160"/>
      <c r="T250" s="160"/>
      <c r="U250" s="160"/>
      <c r="V250" s="160"/>
      <c r="W250" s="160"/>
      <c r="X250" s="160"/>
      <c r="Y250" s="160"/>
      <c r="Z250" s="160"/>
      <c r="AA250" s="160"/>
      <c r="AB250" s="160"/>
    </row>
    <row r="251" spans="1:28">
      <c r="P251" s="160"/>
      <c r="Q251" s="160"/>
      <c r="R251" s="160"/>
      <c r="S251" s="160"/>
      <c r="T251" s="160"/>
      <c r="U251" s="160"/>
      <c r="V251" s="160"/>
      <c r="W251" s="160"/>
      <c r="X251" s="160"/>
      <c r="Y251" s="160"/>
      <c r="Z251" s="160"/>
      <c r="AA251" s="160"/>
      <c r="AB251" s="160"/>
    </row>
    <row r="252" spans="1:28">
      <c r="Q252" s="160"/>
      <c r="R252" s="160"/>
      <c r="S252" s="160"/>
      <c r="T252" s="160"/>
      <c r="U252" s="160"/>
      <c r="V252" s="160"/>
      <c r="W252" s="160"/>
      <c r="X252" s="160"/>
      <c r="Y252" s="160"/>
      <c r="Z252" s="160"/>
      <c r="AA252" s="160"/>
      <c r="AB252" s="160"/>
    </row>
    <row r="253" spans="1:28">
      <c r="Q253" s="151"/>
    </row>
    <row r="254" spans="1:28">
      <c r="Q254" s="151"/>
    </row>
    <row r="255" spans="1:28">
      <c r="Q255" s="151"/>
    </row>
    <row r="256" spans="1:28">
      <c r="A256" s="84" t="s">
        <v>173</v>
      </c>
      <c r="C256" s="163" t="str">
        <f>MID(C258,6,1)</f>
        <v>A</v>
      </c>
      <c r="D256" s="163" t="str">
        <f t="shared" ref="D256:O256" si="9">MID(D258,6,1)</f>
        <v>M</v>
      </c>
      <c r="E256" s="163" t="str">
        <f t="shared" si="9"/>
        <v>J</v>
      </c>
      <c r="F256" s="163" t="str">
        <f t="shared" si="9"/>
        <v>J</v>
      </c>
      <c r="G256" s="163" t="str">
        <f t="shared" si="9"/>
        <v>A</v>
      </c>
      <c r="H256" s="163" t="str">
        <f t="shared" si="9"/>
        <v>S</v>
      </c>
      <c r="I256" s="163" t="str">
        <f t="shared" si="9"/>
        <v>O</v>
      </c>
      <c r="J256" s="163" t="str">
        <f t="shared" si="9"/>
        <v>N</v>
      </c>
      <c r="K256" s="163" t="str">
        <f t="shared" si="9"/>
        <v>D</v>
      </c>
      <c r="L256" s="163" t="str">
        <f t="shared" si="9"/>
        <v>E</v>
      </c>
      <c r="M256" s="163" t="str">
        <f t="shared" si="9"/>
        <v>F</v>
      </c>
      <c r="N256" s="163" t="str">
        <f t="shared" si="9"/>
        <v>M</v>
      </c>
      <c r="O256" s="163" t="str">
        <f t="shared" si="9"/>
        <v>A</v>
      </c>
      <c r="Q256" s="151"/>
    </row>
    <row r="257" spans="1:17">
      <c r="A257" s="121"/>
      <c r="B257" s="121" t="s">
        <v>27</v>
      </c>
      <c r="C257" s="236" t="s">
        <v>170</v>
      </c>
      <c r="D257" s="237"/>
      <c r="E257" s="237"/>
      <c r="F257" s="237"/>
      <c r="G257" s="237"/>
      <c r="H257" s="237"/>
      <c r="I257" s="237"/>
      <c r="J257" s="237"/>
      <c r="K257" s="237"/>
      <c r="L257" s="237"/>
      <c r="M257" s="237"/>
      <c r="N257" s="237"/>
      <c r="O257" s="237"/>
      <c r="Q257" s="151"/>
    </row>
    <row r="258" spans="1:17">
      <c r="A258" s="121"/>
      <c r="B258" s="121" t="s">
        <v>86</v>
      </c>
      <c r="C258" s="144" t="s">
        <v>216</v>
      </c>
      <c r="D258" s="144" t="s">
        <v>219</v>
      </c>
      <c r="E258" s="144" t="s">
        <v>221</v>
      </c>
      <c r="F258" s="144" t="s">
        <v>223</v>
      </c>
      <c r="G258" s="144" t="s">
        <v>226</v>
      </c>
      <c r="H258" s="144" t="s">
        <v>229</v>
      </c>
      <c r="I258" s="144" t="s">
        <v>233</v>
      </c>
      <c r="J258" s="144" t="s">
        <v>238</v>
      </c>
      <c r="K258" s="144" t="s">
        <v>241</v>
      </c>
      <c r="L258" s="144" t="s">
        <v>243</v>
      </c>
      <c r="M258" s="144" t="s">
        <v>247</v>
      </c>
      <c r="N258" s="144" t="s">
        <v>250</v>
      </c>
      <c r="O258" s="144" t="s">
        <v>285</v>
      </c>
      <c r="Q258" s="151"/>
    </row>
    <row r="259" spans="1:17">
      <c r="A259" s="121" t="s">
        <v>119</v>
      </c>
      <c r="B259" s="121" t="s">
        <v>120</v>
      </c>
      <c r="C259" s="142"/>
      <c r="D259" s="142"/>
      <c r="E259" s="142"/>
      <c r="F259" s="142"/>
      <c r="G259" s="142"/>
      <c r="H259" s="142"/>
      <c r="I259" s="142"/>
      <c r="J259" s="142"/>
      <c r="K259" s="142"/>
      <c r="L259" s="142"/>
      <c r="M259" s="142"/>
      <c r="N259" s="142"/>
      <c r="O259" s="142"/>
      <c r="Q259" s="151"/>
    </row>
    <row r="260" spans="1:17">
      <c r="A260" s="241" t="s">
        <v>71</v>
      </c>
      <c r="B260" s="123" t="s">
        <v>82</v>
      </c>
      <c r="C260" s="124">
        <v>0</v>
      </c>
      <c r="D260" s="124">
        <v>0</v>
      </c>
      <c r="E260" s="124">
        <v>0</v>
      </c>
      <c r="F260" s="124">
        <v>0</v>
      </c>
      <c r="G260" s="124">
        <v>0</v>
      </c>
      <c r="H260" s="124">
        <v>0</v>
      </c>
      <c r="I260" s="124">
        <v>0</v>
      </c>
      <c r="J260" s="124">
        <v>0</v>
      </c>
      <c r="K260" s="124">
        <v>0</v>
      </c>
      <c r="L260" s="124"/>
      <c r="M260" s="124"/>
      <c r="N260" s="124"/>
      <c r="O260" s="124"/>
      <c r="Q260" s="151"/>
    </row>
    <row r="261" spans="1:17">
      <c r="A261" s="242"/>
      <c r="B261" s="123" t="s">
        <v>73</v>
      </c>
      <c r="C261" s="124">
        <v>298.75</v>
      </c>
      <c r="D261" s="124">
        <v>0</v>
      </c>
      <c r="E261" s="124">
        <v>45</v>
      </c>
      <c r="F261" s="124">
        <v>75.974999999999994</v>
      </c>
      <c r="G261" s="124">
        <v>0</v>
      </c>
      <c r="H261" s="124">
        <v>140</v>
      </c>
      <c r="I261" s="124">
        <v>133</v>
      </c>
      <c r="J261" s="124">
        <v>0</v>
      </c>
      <c r="K261" s="124">
        <v>0</v>
      </c>
      <c r="L261" s="124"/>
      <c r="M261" s="124"/>
      <c r="N261" s="124"/>
      <c r="O261" s="124"/>
      <c r="Q261" s="151"/>
    </row>
    <row r="262" spans="1:17">
      <c r="A262" s="242"/>
      <c r="B262" s="123" t="s">
        <v>23</v>
      </c>
      <c r="C262" s="124">
        <v>18888.825000000001</v>
      </c>
      <c r="D262" s="124">
        <v>20152.424999999999</v>
      </c>
      <c r="E262" s="124">
        <v>150562.97500000001</v>
      </c>
      <c r="F262" s="124">
        <v>111394.65</v>
      </c>
      <c r="G262" s="124">
        <v>161963.32500000001</v>
      </c>
      <c r="H262" s="124">
        <v>74319.425000000003</v>
      </c>
      <c r="I262" s="124">
        <v>99176.3</v>
      </c>
      <c r="J262" s="124">
        <v>179691.27499999999</v>
      </c>
      <c r="K262" s="124">
        <v>264347.05</v>
      </c>
      <c r="L262" s="124"/>
      <c r="M262" s="124"/>
      <c r="N262" s="124"/>
      <c r="O262" s="124"/>
      <c r="P262" s="151"/>
      <c r="Q262" s="151"/>
    </row>
    <row r="263" spans="1:17">
      <c r="A263" s="242"/>
      <c r="B263" s="123" t="s">
        <v>80</v>
      </c>
      <c r="C263" s="124">
        <v>7.25</v>
      </c>
      <c r="D263" s="124">
        <v>35.174999999999997</v>
      </c>
      <c r="E263" s="124">
        <v>74.724999999999994</v>
      </c>
      <c r="F263" s="124">
        <v>111</v>
      </c>
      <c r="G263" s="124">
        <v>60.625</v>
      </c>
      <c r="H263" s="124">
        <v>75.25</v>
      </c>
      <c r="I263" s="124">
        <v>415.25</v>
      </c>
      <c r="J263" s="124">
        <v>69</v>
      </c>
      <c r="K263" s="124">
        <v>129</v>
      </c>
      <c r="L263" s="124"/>
      <c r="M263" s="124"/>
      <c r="N263" s="124"/>
      <c r="O263" s="124"/>
      <c r="P263" s="151"/>
      <c r="Q263" s="151"/>
    </row>
    <row r="264" spans="1:17">
      <c r="A264" s="242"/>
      <c r="B264" s="123" t="s">
        <v>74</v>
      </c>
      <c r="C264" s="124">
        <v>7157.5749999999998</v>
      </c>
      <c r="D264" s="124">
        <v>13771.375</v>
      </c>
      <c r="E264" s="124">
        <v>10233.450000000001</v>
      </c>
      <c r="F264" s="124">
        <v>3364.5</v>
      </c>
      <c r="G264" s="124">
        <v>4842.1000000000004</v>
      </c>
      <c r="H264" s="124">
        <v>4681.25</v>
      </c>
      <c r="I264" s="124">
        <v>6193.5</v>
      </c>
      <c r="J264" s="124">
        <v>15193.5</v>
      </c>
      <c r="K264" s="124">
        <v>10242.799999999999</v>
      </c>
      <c r="L264" s="124"/>
      <c r="M264" s="124"/>
      <c r="N264" s="124"/>
      <c r="O264" s="124"/>
      <c r="P264" s="151"/>
      <c r="Q264" s="151"/>
    </row>
    <row r="265" spans="1:17">
      <c r="A265" s="242"/>
      <c r="B265" s="123" t="s">
        <v>83</v>
      </c>
      <c r="C265" s="124">
        <v>0</v>
      </c>
      <c r="D265" s="124">
        <v>0</v>
      </c>
      <c r="E265" s="124">
        <v>0</v>
      </c>
      <c r="F265" s="124">
        <v>0</v>
      </c>
      <c r="G265" s="124">
        <v>0</v>
      </c>
      <c r="H265" s="124">
        <v>0</v>
      </c>
      <c r="I265" s="124">
        <v>0</v>
      </c>
      <c r="J265" s="124">
        <v>0</v>
      </c>
      <c r="K265" s="124">
        <v>0</v>
      </c>
      <c r="L265" s="124"/>
      <c r="M265" s="124"/>
      <c r="N265" s="124"/>
      <c r="O265" s="124"/>
      <c r="P265" s="152"/>
      <c r="Q265" s="151"/>
    </row>
    <row r="266" spans="1:17">
      <c r="A266" s="242"/>
      <c r="B266" s="123" t="s">
        <v>77</v>
      </c>
      <c r="C266" s="124">
        <v>14921.8</v>
      </c>
      <c r="D266" s="124">
        <v>16516.95</v>
      </c>
      <c r="E266" s="124">
        <v>18618.8</v>
      </c>
      <c r="F266" s="124">
        <v>14987.65</v>
      </c>
      <c r="G266" s="124">
        <v>13106.95</v>
      </c>
      <c r="H266" s="124">
        <v>8238.0249999999996</v>
      </c>
      <c r="I266" s="124">
        <v>13448.6</v>
      </c>
      <c r="J266" s="124">
        <v>27925.05</v>
      </c>
      <c r="K266" s="124">
        <v>15554.725</v>
      </c>
      <c r="L266" s="124"/>
      <c r="M266" s="124"/>
      <c r="N266" s="124"/>
      <c r="O266" s="124"/>
      <c r="P266" s="151"/>
      <c r="Q266" s="151"/>
    </row>
    <row r="267" spans="1:17">
      <c r="A267" s="242"/>
      <c r="B267" s="123" t="s">
        <v>225</v>
      </c>
      <c r="C267" s="124">
        <v>0</v>
      </c>
      <c r="D267" s="124">
        <v>0</v>
      </c>
      <c r="E267" s="124">
        <v>0</v>
      </c>
      <c r="F267" s="124">
        <v>0</v>
      </c>
      <c r="G267" s="124">
        <v>0</v>
      </c>
      <c r="H267" s="124">
        <v>0</v>
      </c>
      <c r="I267" s="124">
        <v>0</v>
      </c>
      <c r="J267" s="124">
        <v>0</v>
      </c>
      <c r="K267" s="124">
        <v>0</v>
      </c>
      <c r="L267" s="124"/>
      <c r="M267" s="124"/>
      <c r="N267" s="124"/>
      <c r="O267" s="124"/>
      <c r="P267" s="151"/>
      <c r="Q267" s="151"/>
    </row>
    <row r="268" spans="1:17">
      <c r="A268" s="242"/>
      <c r="B268" s="123" t="s">
        <v>204</v>
      </c>
      <c r="C268" s="124">
        <v>0</v>
      </c>
      <c r="D268" s="124">
        <v>0</v>
      </c>
      <c r="E268" s="124">
        <v>0</v>
      </c>
      <c r="F268" s="124">
        <v>0</v>
      </c>
      <c r="G268" s="124">
        <v>0</v>
      </c>
      <c r="H268" s="124">
        <v>0.57499999999999996</v>
      </c>
      <c r="I268" s="124">
        <v>0</v>
      </c>
      <c r="J268" s="124">
        <v>0</v>
      </c>
      <c r="K268" s="124">
        <v>0</v>
      </c>
      <c r="L268" s="124"/>
      <c r="M268" s="124"/>
      <c r="N268" s="124"/>
      <c r="O268" s="124"/>
      <c r="P268" s="151"/>
      <c r="Q268" s="151"/>
    </row>
    <row r="269" spans="1:17">
      <c r="A269" s="242"/>
      <c r="B269" s="123" t="s">
        <v>19</v>
      </c>
      <c r="C269" s="124">
        <v>24686.325000000001</v>
      </c>
      <c r="D269" s="124">
        <v>20361.7</v>
      </c>
      <c r="E269" s="124">
        <v>15819.9</v>
      </c>
      <c r="F269" s="124">
        <v>27721.9</v>
      </c>
      <c r="G269" s="124">
        <v>27274.55</v>
      </c>
      <c r="H269" s="124">
        <v>9782.4750000000004</v>
      </c>
      <c r="I269" s="124">
        <v>15907.825000000001</v>
      </c>
      <c r="J269" s="124">
        <v>30043.625</v>
      </c>
      <c r="K269" s="124">
        <v>50532.5</v>
      </c>
      <c r="L269" s="124"/>
      <c r="M269" s="124"/>
      <c r="N269" s="124"/>
      <c r="O269" s="124"/>
      <c r="P269" s="151"/>
      <c r="Q269" s="151"/>
    </row>
    <row r="270" spans="1:17">
      <c r="A270" s="242"/>
      <c r="B270" s="123" t="s">
        <v>169</v>
      </c>
      <c r="C270" s="124">
        <v>0</v>
      </c>
      <c r="D270" s="124">
        <v>0</v>
      </c>
      <c r="E270" s="124">
        <v>0</v>
      </c>
      <c r="F270" s="124">
        <v>0</v>
      </c>
      <c r="G270" s="124">
        <v>0</v>
      </c>
      <c r="H270" s="124">
        <v>0</v>
      </c>
      <c r="I270" s="124">
        <v>0</v>
      </c>
      <c r="J270" s="124">
        <v>0</v>
      </c>
      <c r="K270" s="124">
        <v>0</v>
      </c>
      <c r="L270" s="124"/>
      <c r="M270" s="124"/>
      <c r="N270" s="124"/>
      <c r="O270" s="124"/>
      <c r="P270" s="151"/>
      <c r="Q270" s="151"/>
    </row>
    <row r="271" spans="1:17">
      <c r="A271" s="242"/>
      <c r="B271" s="123" t="s">
        <v>84</v>
      </c>
      <c r="C271" s="124">
        <v>0</v>
      </c>
      <c r="D271" s="124">
        <v>0</v>
      </c>
      <c r="E271" s="124">
        <v>0</v>
      </c>
      <c r="F271" s="124">
        <v>0</v>
      </c>
      <c r="G271" s="124">
        <v>0</v>
      </c>
      <c r="H271" s="124">
        <v>0</v>
      </c>
      <c r="I271" s="124">
        <v>0</v>
      </c>
      <c r="J271" s="124">
        <v>0</v>
      </c>
      <c r="K271" s="124">
        <v>0</v>
      </c>
      <c r="L271" s="124"/>
      <c r="M271" s="124"/>
      <c r="N271" s="124"/>
      <c r="O271" s="124"/>
      <c r="P271" s="151"/>
      <c r="Q271" s="151"/>
    </row>
    <row r="272" spans="1:17">
      <c r="A272" s="242"/>
      <c r="B272" s="123" t="s">
        <v>72</v>
      </c>
      <c r="C272" s="124">
        <v>324.5</v>
      </c>
      <c r="D272" s="124">
        <v>1562.875</v>
      </c>
      <c r="E272" s="124">
        <v>1112.175</v>
      </c>
      <c r="F272" s="124">
        <v>171.25</v>
      </c>
      <c r="G272" s="124">
        <v>85</v>
      </c>
      <c r="H272" s="124">
        <v>0.25</v>
      </c>
      <c r="I272" s="124">
        <v>18.75</v>
      </c>
      <c r="J272" s="124">
        <v>649.5</v>
      </c>
      <c r="K272" s="124">
        <v>24.25</v>
      </c>
      <c r="L272" s="124"/>
      <c r="M272" s="124"/>
      <c r="N272" s="124"/>
      <c r="O272" s="124"/>
      <c r="P272" s="151"/>
      <c r="Q272" s="151"/>
    </row>
    <row r="273" spans="1:18">
      <c r="A273" s="242"/>
      <c r="B273" s="123" t="s">
        <v>81</v>
      </c>
      <c r="C273" s="124">
        <v>44.25</v>
      </c>
      <c r="D273" s="124">
        <v>17.75</v>
      </c>
      <c r="E273" s="124">
        <v>4</v>
      </c>
      <c r="F273" s="124">
        <v>3</v>
      </c>
      <c r="G273" s="124">
        <v>46.25</v>
      </c>
      <c r="H273" s="124">
        <v>10.75</v>
      </c>
      <c r="I273" s="124">
        <v>9.5</v>
      </c>
      <c r="J273" s="124">
        <v>27.25</v>
      </c>
      <c r="K273" s="124">
        <v>3</v>
      </c>
      <c r="L273" s="124"/>
      <c r="M273" s="124"/>
      <c r="N273" s="124"/>
      <c r="O273" s="124"/>
      <c r="P273" s="151"/>
      <c r="Q273" s="151"/>
    </row>
    <row r="274" spans="1:18">
      <c r="A274" s="242"/>
      <c r="B274" s="123" t="s">
        <v>85</v>
      </c>
      <c r="C274" s="124">
        <v>0</v>
      </c>
      <c r="D274" s="124">
        <v>0</v>
      </c>
      <c r="E274" s="124">
        <v>0</v>
      </c>
      <c r="F274" s="124">
        <v>0</v>
      </c>
      <c r="G274" s="124">
        <v>0</v>
      </c>
      <c r="H274" s="124">
        <v>0</v>
      </c>
      <c r="I274" s="124">
        <v>0</v>
      </c>
      <c r="J274" s="124">
        <v>0</v>
      </c>
      <c r="K274" s="124">
        <v>0</v>
      </c>
      <c r="L274" s="124"/>
      <c r="M274" s="124"/>
      <c r="N274" s="124"/>
      <c r="O274" s="124"/>
      <c r="P274" s="151"/>
      <c r="Q274" s="151"/>
    </row>
    <row r="275" spans="1:18">
      <c r="A275" s="242"/>
      <c r="B275" s="123" t="s">
        <v>78</v>
      </c>
      <c r="C275" s="124">
        <v>4274.6750000000002</v>
      </c>
      <c r="D275" s="124">
        <v>6754.4</v>
      </c>
      <c r="E275" s="124">
        <v>14755.35</v>
      </c>
      <c r="F275" s="124">
        <v>7808.2749999999996</v>
      </c>
      <c r="G275" s="124">
        <v>13868.125</v>
      </c>
      <c r="H275" s="124">
        <v>5893.8</v>
      </c>
      <c r="I275" s="124">
        <v>3504.1</v>
      </c>
      <c r="J275" s="124">
        <v>5531.55</v>
      </c>
      <c r="K275" s="124">
        <v>5355.3</v>
      </c>
      <c r="L275" s="124"/>
      <c r="M275" s="124"/>
      <c r="N275" s="124"/>
      <c r="O275" s="124"/>
      <c r="P275" s="151"/>
      <c r="Q275" s="151"/>
    </row>
    <row r="276" spans="1:18">
      <c r="A276" s="242"/>
      <c r="B276" s="123" t="s">
        <v>79</v>
      </c>
      <c r="C276" s="124">
        <v>984</v>
      </c>
      <c r="D276" s="124">
        <v>815.25</v>
      </c>
      <c r="E276" s="124">
        <v>770.25</v>
      </c>
      <c r="F276" s="124">
        <v>864.57500000000005</v>
      </c>
      <c r="G276" s="124">
        <v>907.3</v>
      </c>
      <c r="H276" s="124">
        <v>575.5</v>
      </c>
      <c r="I276" s="124">
        <v>788.17499999999995</v>
      </c>
      <c r="J276" s="124">
        <v>691.75</v>
      </c>
      <c r="K276" s="124">
        <v>392.375</v>
      </c>
      <c r="L276" s="124"/>
      <c r="M276" s="124"/>
      <c r="N276" s="124"/>
      <c r="O276" s="124"/>
      <c r="P276" s="151"/>
      <c r="Q276" s="151"/>
    </row>
    <row r="277" spans="1:18">
      <c r="A277" s="242"/>
      <c r="B277" s="123" t="s">
        <v>76</v>
      </c>
      <c r="C277" s="124">
        <v>13137.825000000001</v>
      </c>
      <c r="D277" s="124">
        <v>16514.55</v>
      </c>
      <c r="E277" s="124">
        <v>15115.8</v>
      </c>
      <c r="F277" s="124">
        <v>6738.7</v>
      </c>
      <c r="G277" s="124">
        <v>19303.125</v>
      </c>
      <c r="H277" s="124">
        <v>6517.85</v>
      </c>
      <c r="I277" s="124">
        <v>6593.15</v>
      </c>
      <c r="J277" s="124">
        <v>13094.475</v>
      </c>
      <c r="K277" s="124">
        <v>11431.225</v>
      </c>
      <c r="L277" s="124"/>
      <c r="M277" s="124"/>
      <c r="N277" s="124"/>
      <c r="O277" s="124"/>
      <c r="P277" s="152"/>
      <c r="Q277" s="152"/>
    </row>
    <row r="278" spans="1:18">
      <c r="A278" s="243"/>
      <c r="B278" s="181" t="s">
        <v>0</v>
      </c>
      <c r="C278" s="189">
        <v>84725.774999999994</v>
      </c>
      <c r="D278" s="189">
        <v>96502.45</v>
      </c>
      <c r="E278" s="189">
        <v>227112.42499999999</v>
      </c>
      <c r="F278" s="189">
        <v>173241.47500000001</v>
      </c>
      <c r="G278" s="189">
        <v>241457.35</v>
      </c>
      <c r="H278" s="189">
        <v>110235.15</v>
      </c>
      <c r="I278" s="189">
        <v>146188.15</v>
      </c>
      <c r="J278" s="189">
        <v>272916.97499999998</v>
      </c>
      <c r="K278" s="189">
        <v>358012.22499999998</v>
      </c>
      <c r="L278" s="189"/>
      <c r="M278" s="189"/>
      <c r="N278" s="189"/>
      <c r="O278" s="189"/>
      <c r="P278" s="152">
        <f>O278/C278-1</f>
        <v>-1</v>
      </c>
      <c r="Q278" s="152"/>
    </row>
    <row r="279" spans="1:18">
      <c r="A279" s="244" t="s">
        <v>75</v>
      </c>
      <c r="B279" s="123" t="s">
        <v>82</v>
      </c>
      <c r="C279" s="124">
        <v>0</v>
      </c>
      <c r="D279" s="124">
        <v>0</v>
      </c>
      <c r="E279" s="124">
        <v>0</v>
      </c>
      <c r="F279" s="124">
        <v>0</v>
      </c>
      <c r="G279" s="124">
        <v>0</v>
      </c>
      <c r="H279" s="124">
        <v>0</v>
      </c>
      <c r="I279" s="124">
        <v>0</v>
      </c>
      <c r="J279" s="124">
        <v>0</v>
      </c>
      <c r="K279" s="124">
        <v>0</v>
      </c>
      <c r="L279" s="124"/>
      <c r="M279" s="124"/>
      <c r="N279" s="124"/>
      <c r="O279" s="124"/>
    </row>
    <row r="280" spans="1:18">
      <c r="A280" s="245"/>
      <c r="B280" s="123" t="s">
        <v>73</v>
      </c>
      <c r="C280" s="124">
        <v>155.75</v>
      </c>
      <c r="D280" s="124">
        <v>0</v>
      </c>
      <c r="E280" s="124">
        <v>11.5</v>
      </c>
      <c r="F280" s="124">
        <v>0</v>
      </c>
      <c r="G280" s="124">
        <v>0</v>
      </c>
      <c r="H280" s="124">
        <v>0</v>
      </c>
      <c r="I280" s="124">
        <v>0</v>
      </c>
      <c r="J280" s="124">
        <v>0</v>
      </c>
      <c r="K280" s="124">
        <v>8</v>
      </c>
      <c r="L280" s="124"/>
      <c r="M280" s="124"/>
      <c r="N280" s="124"/>
      <c r="O280" s="124"/>
    </row>
    <row r="281" spans="1:18">
      <c r="A281" s="245"/>
      <c r="B281" s="123" t="s">
        <v>23</v>
      </c>
      <c r="C281" s="124">
        <v>15588.025</v>
      </c>
      <c r="D281" s="124">
        <v>9638.65</v>
      </c>
      <c r="E281" s="124">
        <v>14278.375</v>
      </c>
      <c r="F281" s="124">
        <v>13517.6</v>
      </c>
      <c r="G281" s="124">
        <v>17210.974999999999</v>
      </c>
      <c r="H281" s="124">
        <v>26083.525000000001</v>
      </c>
      <c r="I281" s="124">
        <v>27133.95</v>
      </c>
      <c r="J281" s="124">
        <v>4904.3500000000004</v>
      </c>
      <c r="K281" s="124">
        <v>14093.6</v>
      </c>
      <c r="L281" s="124"/>
      <c r="M281" s="124"/>
      <c r="N281" s="124"/>
      <c r="O281" s="124"/>
      <c r="P281" s="160"/>
      <c r="Q281" s="160"/>
      <c r="R281" s="160"/>
    </row>
    <row r="282" spans="1:18">
      <c r="A282" s="245"/>
      <c r="B282" s="123" t="s">
        <v>80</v>
      </c>
      <c r="C282" s="124">
        <v>424</v>
      </c>
      <c r="D282" s="124">
        <v>44.6</v>
      </c>
      <c r="E282" s="124">
        <v>142.15</v>
      </c>
      <c r="F282" s="124">
        <v>382.25</v>
      </c>
      <c r="G282" s="124">
        <v>334.7</v>
      </c>
      <c r="H282" s="124">
        <v>675.3</v>
      </c>
      <c r="I282" s="124">
        <v>329.2</v>
      </c>
      <c r="J282" s="124">
        <v>159.92500000000001</v>
      </c>
      <c r="K282" s="124">
        <v>146.75</v>
      </c>
      <c r="L282" s="124"/>
      <c r="M282" s="124"/>
      <c r="N282" s="124"/>
      <c r="O282" s="124"/>
      <c r="P282" s="160"/>
      <c r="Q282" s="160"/>
      <c r="R282" s="160"/>
    </row>
    <row r="283" spans="1:18">
      <c r="A283" s="245"/>
      <c r="B283" s="123" t="s">
        <v>74</v>
      </c>
      <c r="C283" s="124">
        <v>60650.9</v>
      </c>
      <c r="D283" s="124">
        <v>30223.3</v>
      </c>
      <c r="E283" s="124">
        <v>10803.025</v>
      </c>
      <c r="F283" s="124">
        <v>29063.4</v>
      </c>
      <c r="G283" s="124">
        <v>33584.800000000003</v>
      </c>
      <c r="H283" s="124">
        <v>50212.175000000003</v>
      </c>
      <c r="I283" s="124">
        <v>31660.924999999999</v>
      </c>
      <c r="J283" s="124">
        <v>18738</v>
      </c>
      <c r="K283" s="124">
        <v>17762.55</v>
      </c>
      <c r="L283" s="124"/>
      <c r="M283" s="124"/>
      <c r="N283" s="124"/>
      <c r="O283" s="124"/>
      <c r="P283" s="160"/>
      <c r="Q283" s="160"/>
      <c r="R283" s="160"/>
    </row>
    <row r="284" spans="1:18">
      <c r="A284" s="245"/>
      <c r="B284" s="123" t="s">
        <v>83</v>
      </c>
      <c r="C284" s="124">
        <v>0</v>
      </c>
      <c r="D284" s="124">
        <v>0</v>
      </c>
      <c r="E284" s="124">
        <v>0</v>
      </c>
      <c r="F284" s="124">
        <v>0</v>
      </c>
      <c r="G284" s="124">
        <v>0</v>
      </c>
      <c r="H284" s="124">
        <v>0</v>
      </c>
      <c r="I284" s="124">
        <v>0</v>
      </c>
      <c r="J284" s="124">
        <v>0</v>
      </c>
      <c r="K284" s="124">
        <v>0</v>
      </c>
      <c r="L284" s="124"/>
      <c r="M284" s="124"/>
      <c r="N284" s="124"/>
      <c r="O284" s="124"/>
      <c r="P284" s="160"/>
      <c r="Q284" s="160"/>
      <c r="R284" s="160"/>
    </row>
    <row r="285" spans="1:18">
      <c r="A285" s="245"/>
      <c r="B285" s="123" t="s">
        <v>77</v>
      </c>
      <c r="C285" s="124">
        <v>142915.9</v>
      </c>
      <c r="D285" s="124">
        <v>40362.474999999999</v>
      </c>
      <c r="E285" s="124">
        <v>27645.625</v>
      </c>
      <c r="F285" s="124">
        <v>78708.975000000006</v>
      </c>
      <c r="G285" s="124">
        <v>84855.975000000006</v>
      </c>
      <c r="H285" s="124">
        <v>132430.125</v>
      </c>
      <c r="I285" s="124">
        <v>76987.074999999997</v>
      </c>
      <c r="J285" s="124">
        <v>68351.8</v>
      </c>
      <c r="K285" s="124">
        <v>26891.474999999999</v>
      </c>
      <c r="L285" s="124"/>
      <c r="M285" s="124"/>
      <c r="N285" s="124"/>
      <c r="O285" s="124"/>
      <c r="P285" s="160"/>
      <c r="Q285" s="160"/>
      <c r="R285" s="160"/>
    </row>
    <row r="286" spans="1:18">
      <c r="A286" s="245"/>
      <c r="B286" s="123" t="s">
        <v>225</v>
      </c>
      <c r="C286" s="124">
        <v>0</v>
      </c>
      <c r="D286" s="124">
        <v>0</v>
      </c>
      <c r="E286" s="124">
        <v>0</v>
      </c>
      <c r="F286" s="124">
        <v>0</v>
      </c>
      <c r="G286" s="124">
        <v>0</v>
      </c>
      <c r="H286" s="124">
        <v>0</v>
      </c>
      <c r="I286" s="124">
        <v>0</v>
      </c>
      <c r="J286" s="124">
        <v>0</v>
      </c>
      <c r="K286" s="124">
        <v>0</v>
      </c>
      <c r="L286" s="124"/>
      <c r="M286" s="124"/>
      <c r="N286" s="124"/>
      <c r="O286" s="124"/>
      <c r="P286" s="160"/>
      <c r="Q286" s="160"/>
      <c r="R286" s="160"/>
    </row>
    <row r="287" spans="1:18">
      <c r="A287" s="245"/>
      <c r="B287" s="123" t="s">
        <v>204</v>
      </c>
      <c r="C287" s="124">
        <v>27</v>
      </c>
      <c r="D287" s="124">
        <v>41.875</v>
      </c>
      <c r="E287" s="124">
        <v>0</v>
      </c>
      <c r="F287" s="124">
        <v>0</v>
      </c>
      <c r="G287" s="124">
        <v>0</v>
      </c>
      <c r="H287" s="124">
        <v>594.22500000000002</v>
      </c>
      <c r="I287" s="124">
        <v>0</v>
      </c>
      <c r="J287" s="124">
        <v>0</v>
      </c>
      <c r="K287" s="124">
        <v>0</v>
      </c>
      <c r="L287" s="124"/>
      <c r="M287" s="124"/>
      <c r="N287" s="124"/>
      <c r="O287" s="124"/>
      <c r="P287" s="160"/>
      <c r="Q287" s="160"/>
      <c r="R287" s="160"/>
    </row>
    <row r="288" spans="1:18">
      <c r="A288" s="245"/>
      <c r="B288" s="123" t="s">
        <v>19</v>
      </c>
      <c r="C288" s="124">
        <v>66921.95</v>
      </c>
      <c r="D288" s="124">
        <v>28568.724999999999</v>
      </c>
      <c r="E288" s="124">
        <v>34246.75</v>
      </c>
      <c r="F288" s="124">
        <v>23127.05</v>
      </c>
      <c r="G288" s="124">
        <v>12644.575000000001</v>
      </c>
      <c r="H288" s="124">
        <v>32428.275000000001</v>
      </c>
      <c r="I288" s="124">
        <v>15988.174999999999</v>
      </c>
      <c r="J288" s="124">
        <v>15686.325000000001</v>
      </c>
      <c r="K288" s="124">
        <v>17452.025000000001</v>
      </c>
      <c r="L288" s="124"/>
      <c r="M288" s="124"/>
      <c r="N288" s="124"/>
      <c r="O288" s="124"/>
      <c r="P288" s="160"/>
      <c r="Q288" s="160"/>
      <c r="R288" s="160"/>
    </row>
    <row r="289" spans="1:18">
      <c r="A289" s="245"/>
      <c r="B289" s="123" t="s">
        <v>169</v>
      </c>
      <c r="C289" s="124">
        <v>0</v>
      </c>
      <c r="D289" s="124">
        <v>0</v>
      </c>
      <c r="E289" s="124">
        <v>0</v>
      </c>
      <c r="F289" s="124">
        <v>0</v>
      </c>
      <c r="G289" s="124">
        <v>0</v>
      </c>
      <c r="H289" s="124">
        <v>0</v>
      </c>
      <c r="I289" s="124">
        <v>0</v>
      </c>
      <c r="J289" s="124">
        <v>0</v>
      </c>
      <c r="K289" s="124">
        <v>0</v>
      </c>
      <c r="L289" s="124"/>
      <c r="M289" s="124"/>
      <c r="N289" s="124"/>
      <c r="O289" s="124"/>
      <c r="P289" s="160"/>
      <c r="Q289" s="160"/>
      <c r="R289" s="160"/>
    </row>
    <row r="290" spans="1:18">
      <c r="A290" s="245"/>
      <c r="B290" s="123" t="s">
        <v>84</v>
      </c>
      <c r="C290" s="124">
        <v>0</v>
      </c>
      <c r="D290" s="124">
        <v>0</v>
      </c>
      <c r="E290" s="124">
        <v>0</v>
      </c>
      <c r="F290" s="124">
        <v>0</v>
      </c>
      <c r="G290" s="124">
        <v>0</v>
      </c>
      <c r="H290" s="124">
        <v>0</v>
      </c>
      <c r="I290" s="124">
        <v>0</v>
      </c>
      <c r="J290" s="124">
        <v>0</v>
      </c>
      <c r="K290" s="124">
        <v>0</v>
      </c>
      <c r="L290" s="124"/>
      <c r="M290" s="124"/>
      <c r="N290" s="124"/>
      <c r="O290" s="124"/>
      <c r="P290" s="160"/>
      <c r="Q290" s="160"/>
      <c r="R290" s="160"/>
    </row>
    <row r="291" spans="1:18">
      <c r="A291" s="245"/>
      <c r="B291" s="123" t="s">
        <v>72</v>
      </c>
      <c r="C291" s="124">
        <v>1670.625</v>
      </c>
      <c r="D291" s="124">
        <v>4390.55</v>
      </c>
      <c r="E291" s="124">
        <v>1115.9000000000001</v>
      </c>
      <c r="F291" s="124">
        <v>0</v>
      </c>
      <c r="G291" s="124">
        <v>33</v>
      </c>
      <c r="H291" s="124">
        <v>321.97500000000002</v>
      </c>
      <c r="I291" s="124">
        <v>2131.5</v>
      </c>
      <c r="J291" s="124">
        <v>572.57500000000005</v>
      </c>
      <c r="K291" s="124">
        <v>80.525000000000006</v>
      </c>
      <c r="L291" s="124"/>
      <c r="M291" s="124"/>
      <c r="N291" s="124"/>
      <c r="O291" s="124"/>
      <c r="P291" s="160"/>
      <c r="Q291" s="160"/>
      <c r="R291" s="160"/>
    </row>
    <row r="292" spans="1:18">
      <c r="A292" s="245"/>
      <c r="B292" s="123" t="s">
        <v>81</v>
      </c>
      <c r="C292" s="124">
        <v>406.75</v>
      </c>
      <c r="D292" s="124">
        <v>112</v>
      </c>
      <c r="E292" s="124">
        <v>60</v>
      </c>
      <c r="F292" s="124">
        <v>17.5</v>
      </c>
      <c r="G292" s="124">
        <v>210</v>
      </c>
      <c r="H292" s="124">
        <v>36</v>
      </c>
      <c r="I292" s="124">
        <v>72</v>
      </c>
      <c r="J292" s="124">
        <v>70</v>
      </c>
      <c r="K292" s="124">
        <v>194.5</v>
      </c>
      <c r="L292" s="124"/>
      <c r="M292" s="124"/>
      <c r="N292" s="124"/>
      <c r="O292" s="124"/>
      <c r="P292" s="160"/>
      <c r="Q292" s="160"/>
      <c r="R292" s="160"/>
    </row>
    <row r="293" spans="1:18">
      <c r="A293" s="245"/>
      <c r="B293" s="123" t="s">
        <v>85</v>
      </c>
      <c r="C293" s="124">
        <v>0</v>
      </c>
      <c r="D293" s="124">
        <v>0</v>
      </c>
      <c r="E293" s="124">
        <v>0</v>
      </c>
      <c r="F293" s="124">
        <v>0</v>
      </c>
      <c r="G293" s="124">
        <v>0</v>
      </c>
      <c r="H293" s="124">
        <v>0</v>
      </c>
      <c r="I293" s="124">
        <v>0</v>
      </c>
      <c r="J293" s="124">
        <v>0</v>
      </c>
      <c r="K293" s="124">
        <v>0</v>
      </c>
      <c r="L293" s="124"/>
      <c r="M293" s="124"/>
      <c r="N293" s="124"/>
      <c r="O293" s="124"/>
      <c r="P293" s="160"/>
      <c r="Q293" s="160"/>
      <c r="R293" s="160"/>
    </row>
    <row r="294" spans="1:18">
      <c r="A294" s="245"/>
      <c r="B294" s="123" t="s">
        <v>78</v>
      </c>
      <c r="C294" s="124">
        <v>144982.54999999999</v>
      </c>
      <c r="D294" s="124">
        <v>92281.725000000006</v>
      </c>
      <c r="E294" s="124">
        <v>30492.3</v>
      </c>
      <c r="F294" s="124">
        <v>78426.2</v>
      </c>
      <c r="G294" s="124">
        <v>114413.125</v>
      </c>
      <c r="H294" s="124">
        <v>117703.4</v>
      </c>
      <c r="I294" s="124">
        <v>50232.224999999999</v>
      </c>
      <c r="J294" s="124">
        <v>24104.95</v>
      </c>
      <c r="K294" s="124">
        <v>8104.4250000000002</v>
      </c>
      <c r="L294" s="124"/>
      <c r="M294" s="124"/>
      <c r="N294" s="124"/>
      <c r="O294" s="124"/>
      <c r="P294" s="160"/>
      <c r="Q294" s="160"/>
      <c r="R294" s="160"/>
    </row>
    <row r="295" spans="1:18">
      <c r="A295" s="245"/>
      <c r="B295" s="123" t="s">
        <v>79</v>
      </c>
      <c r="C295" s="124">
        <v>9716.75</v>
      </c>
      <c r="D295" s="124">
        <v>3151.25</v>
      </c>
      <c r="E295" s="124">
        <v>3067.5</v>
      </c>
      <c r="F295" s="124">
        <v>1371</v>
      </c>
      <c r="G295" s="124">
        <v>1764.75</v>
      </c>
      <c r="H295" s="124">
        <v>2619</v>
      </c>
      <c r="I295" s="124">
        <v>1674.45</v>
      </c>
      <c r="J295" s="124">
        <v>1156.5</v>
      </c>
      <c r="K295" s="124">
        <v>591.35</v>
      </c>
      <c r="L295" s="124"/>
      <c r="M295" s="124"/>
      <c r="N295" s="124"/>
      <c r="O295" s="124"/>
      <c r="P295" s="160"/>
      <c r="Q295" s="160"/>
      <c r="R295" s="160"/>
    </row>
    <row r="296" spans="1:18">
      <c r="A296" s="245"/>
      <c r="B296" s="123" t="s">
        <v>76</v>
      </c>
      <c r="C296" s="124">
        <v>27303.9</v>
      </c>
      <c r="D296" s="124">
        <v>14841.9</v>
      </c>
      <c r="E296" s="124">
        <v>10692.35</v>
      </c>
      <c r="F296" s="124">
        <v>13728.975</v>
      </c>
      <c r="G296" s="124">
        <v>13260.225</v>
      </c>
      <c r="H296" s="124">
        <v>20307.424999999999</v>
      </c>
      <c r="I296" s="124">
        <v>19480.775000000001</v>
      </c>
      <c r="J296" s="124">
        <v>10449.799999999999</v>
      </c>
      <c r="K296" s="124">
        <v>10315.25</v>
      </c>
      <c r="L296" s="124"/>
      <c r="M296" s="124"/>
      <c r="N296" s="124"/>
      <c r="O296" s="124"/>
      <c r="P296" s="160"/>
      <c r="Q296" s="160"/>
      <c r="R296" s="160"/>
    </row>
    <row r="297" spans="1:18">
      <c r="A297" s="246"/>
      <c r="B297" s="181" t="s">
        <v>0</v>
      </c>
      <c r="C297" s="189">
        <v>470764.1</v>
      </c>
      <c r="D297" s="189">
        <v>223657.05</v>
      </c>
      <c r="E297" s="189">
        <v>132555.47500000001</v>
      </c>
      <c r="F297" s="189">
        <v>238342.95</v>
      </c>
      <c r="G297" s="189">
        <v>278312.125</v>
      </c>
      <c r="H297" s="189">
        <v>383411.42499999999</v>
      </c>
      <c r="I297" s="189">
        <v>225690.27499999999</v>
      </c>
      <c r="J297" s="189">
        <v>144194.22500000001</v>
      </c>
      <c r="K297" s="189">
        <v>95640.45</v>
      </c>
      <c r="L297" s="189"/>
      <c r="M297" s="189"/>
      <c r="N297" s="189"/>
      <c r="O297" s="189"/>
      <c r="P297" s="152">
        <f>O297/C297-1</f>
        <v>-1</v>
      </c>
      <c r="Q297" s="152">
        <f>(O278+O297)/(C297+C278)-1</f>
        <v>-1</v>
      </c>
      <c r="R297" s="160"/>
    </row>
    <row r="298" spans="1:18">
      <c r="P298" s="183"/>
      <c r="Q298" s="183"/>
      <c r="R298" s="160"/>
    </row>
    <row r="299" spans="1:18">
      <c r="P299" s="183"/>
      <c r="Q299" s="183"/>
      <c r="R299" s="160"/>
    </row>
    <row r="300" spans="1:18">
      <c r="P300" s="183"/>
      <c r="Q300" s="183"/>
    </row>
    <row r="301" spans="1:18">
      <c r="P301" s="184"/>
      <c r="Q301" s="184"/>
    </row>
    <row r="305" spans="1:18">
      <c r="Q305" s="151"/>
      <c r="R305" s="151"/>
    </row>
    <row r="306" spans="1:18">
      <c r="Q306" s="151"/>
      <c r="R306" s="151"/>
    </row>
    <row r="307" spans="1:18">
      <c r="Q307" s="151"/>
      <c r="R307" s="151"/>
    </row>
    <row r="308" spans="1:18">
      <c r="P308" s="124"/>
      <c r="Q308" s="151"/>
      <c r="R308" s="151"/>
    </row>
    <row r="309" spans="1:18">
      <c r="P309" s="124"/>
      <c r="Q309" s="151"/>
      <c r="R309" s="151"/>
    </row>
    <row r="310" spans="1:18">
      <c r="P310" s="124"/>
      <c r="Q310" s="151"/>
      <c r="R310" s="151"/>
    </row>
    <row r="311" spans="1:18">
      <c r="P311" s="124"/>
      <c r="Q311" s="151"/>
      <c r="R311" s="151"/>
    </row>
    <row r="312" spans="1:18">
      <c r="A312" s="84" t="s">
        <v>174</v>
      </c>
      <c r="B312" s="163" t="str">
        <f>MID(B313,6,1)</f>
        <v>A</v>
      </c>
      <c r="C312" s="163" t="str">
        <f t="shared" ref="C312:N312" si="10">MID(C313,6,1)</f>
        <v>M</v>
      </c>
      <c r="D312" s="163" t="str">
        <f t="shared" si="10"/>
        <v>J</v>
      </c>
      <c r="E312" s="163" t="str">
        <f t="shared" si="10"/>
        <v>J</v>
      </c>
      <c r="F312" s="163" t="str">
        <f t="shared" si="10"/>
        <v>A</v>
      </c>
      <c r="G312" s="163" t="str">
        <f t="shared" si="10"/>
        <v>S</v>
      </c>
      <c r="H312" s="163" t="str">
        <f t="shared" si="10"/>
        <v>O</v>
      </c>
      <c r="I312" s="163" t="str">
        <f t="shared" si="10"/>
        <v>N</v>
      </c>
      <c r="J312" s="163" t="str">
        <f t="shared" si="10"/>
        <v>D</v>
      </c>
      <c r="K312" s="163" t="str">
        <f t="shared" si="10"/>
        <v>E</v>
      </c>
      <c r="L312" s="163" t="str">
        <f t="shared" si="10"/>
        <v>F</v>
      </c>
      <c r="M312" s="163" t="str">
        <f t="shared" si="10"/>
        <v>M</v>
      </c>
      <c r="N312" s="163" t="str">
        <f t="shared" si="10"/>
        <v>A</v>
      </c>
      <c r="O312" s="124"/>
      <c r="P312" s="124"/>
      <c r="Q312" s="151"/>
      <c r="R312" s="151"/>
    </row>
    <row r="313" spans="1:18">
      <c r="A313" s="121" t="s">
        <v>86</v>
      </c>
      <c r="B313" s="144" t="s">
        <v>216</v>
      </c>
      <c r="C313" s="144" t="s">
        <v>219</v>
      </c>
      <c r="D313" s="144" t="s">
        <v>221</v>
      </c>
      <c r="E313" s="144" t="s">
        <v>223</v>
      </c>
      <c r="F313" s="144" t="s">
        <v>226</v>
      </c>
      <c r="G313" s="144" t="s">
        <v>229</v>
      </c>
      <c r="H313" s="144" t="s">
        <v>233</v>
      </c>
      <c r="I313" s="144" t="s">
        <v>238</v>
      </c>
      <c r="J313" s="144" t="s">
        <v>241</v>
      </c>
      <c r="K313" s="144" t="s">
        <v>243</v>
      </c>
      <c r="L313" s="144" t="s">
        <v>247</v>
      </c>
      <c r="M313" s="144" t="s">
        <v>250</v>
      </c>
      <c r="N313" s="144" t="s">
        <v>285</v>
      </c>
      <c r="O313" s="124"/>
      <c r="P313" s="124"/>
      <c r="Q313" s="151"/>
      <c r="R313" s="151"/>
    </row>
    <row r="314" spans="1:18">
      <c r="A314" s="121" t="s">
        <v>27</v>
      </c>
      <c r="B314" s="142"/>
      <c r="C314" s="142"/>
      <c r="D314" s="142"/>
      <c r="E314" s="142"/>
      <c r="F314" s="142"/>
      <c r="G314" s="142"/>
      <c r="H314" s="142"/>
      <c r="I314" s="142"/>
      <c r="J314" s="142"/>
      <c r="K314" s="142"/>
      <c r="L314" s="142"/>
      <c r="M314" s="142"/>
      <c r="N314" s="142"/>
      <c r="P314" s="124"/>
      <c r="Q314" s="151"/>
      <c r="R314" s="151"/>
    </row>
    <row r="315" spans="1:18">
      <c r="A315" s="123" t="s">
        <v>71</v>
      </c>
      <c r="B315" s="124">
        <v>41863.5</v>
      </c>
      <c r="C315" s="124">
        <v>74085.75</v>
      </c>
      <c r="D315" s="124">
        <v>181182</v>
      </c>
      <c r="E315" s="124">
        <v>130987</v>
      </c>
      <c r="F315" s="124">
        <v>228947.75</v>
      </c>
      <c r="G315" s="124">
        <v>79264.25</v>
      </c>
      <c r="H315" s="124">
        <v>101717.5</v>
      </c>
      <c r="I315" s="124">
        <v>243754</v>
      </c>
      <c r="J315" s="124">
        <v>287199.25</v>
      </c>
      <c r="K315" s="124">
        <v>0</v>
      </c>
      <c r="L315" s="124">
        <v>0</v>
      </c>
      <c r="M315" s="124">
        <v>0</v>
      </c>
      <c r="N315" s="124">
        <v>0</v>
      </c>
      <c r="Q315" s="151"/>
      <c r="R315" s="151"/>
    </row>
    <row r="316" spans="1:18">
      <c r="A316" s="123" t="s">
        <v>75</v>
      </c>
      <c r="B316" s="124">
        <v>399899.75</v>
      </c>
      <c r="C316" s="124">
        <v>196774</v>
      </c>
      <c r="D316" s="124">
        <v>82639.5</v>
      </c>
      <c r="E316" s="124">
        <v>181301.75</v>
      </c>
      <c r="F316" s="124">
        <v>169070</v>
      </c>
      <c r="G316" s="124">
        <v>238398.25</v>
      </c>
      <c r="H316" s="124">
        <v>145326</v>
      </c>
      <c r="I316" s="124">
        <v>85584.5</v>
      </c>
      <c r="J316" s="124">
        <v>31645</v>
      </c>
      <c r="K316" s="124">
        <v>0</v>
      </c>
      <c r="L316" s="124">
        <v>0</v>
      </c>
      <c r="M316" s="124">
        <v>0</v>
      </c>
      <c r="N316" s="124">
        <v>0</v>
      </c>
    </row>
    <row r="317" spans="1:18">
      <c r="A317" s="193" t="s">
        <v>235</v>
      </c>
      <c r="B317" s="194">
        <f t="shared" ref="B317:N317" si="11">SUM(B315:B316)</f>
        <v>441763.25</v>
      </c>
      <c r="C317" s="194">
        <f t="shared" si="11"/>
        <v>270859.75</v>
      </c>
      <c r="D317" s="194">
        <f t="shared" si="11"/>
        <v>263821.5</v>
      </c>
      <c r="E317" s="194">
        <f t="shared" si="11"/>
        <v>312288.75</v>
      </c>
      <c r="F317" s="194">
        <f t="shared" si="11"/>
        <v>398017.75</v>
      </c>
      <c r="G317" s="194">
        <f t="shared" si="11"/>
        <v>317662.5</v>
      </c>
      <c r="H317" s="194">
        <f t="shared" si="11"/>
        <v>247043.5</v>
      </c>
      <c r="I317" s="194">
        <f t="shared" si="11"/>
        <v>329338.5</v>
      </c>
      <c r="J317" s="194">
        <f t="shared" si="11"/>
        <v>318844.25</v>
      </c>
      <c r="K317" s="194">
        <f t="shared" si="11"/>
        <v>0</v>
      </c>
      <c r="L317" s="194">
        <f t="shared" si="11"/>
        <v>0</v>
      </c>
      <c r="M317" s="194">
        <f t="shared" si="11"/>
        <v>0</v>
      </c>
      <c r="N317" s="194">
        <f t="shared" si="11"/>
        <v>0</v>
      </c>
      <c r="P317" s="151"/>
      <c r="Q317" s="151"/>
    </row>
    <row r="318" spans="1:18">
      <c r="A318" s="84" t="s">
        <v>162</v>
      </c>
      <c r="P318" s="151"/>
      <c r="Q318" s="151"/>
    </row>
    <row r="319" spans="1:18">
      <c r="A319" s="121"/>
      <c r="B319" s="121"/>
      <c r="C319" s="121" t="s">
        <v>27</v>
      </c>
      <c r="D319" s="224" t="s">
        <v>192</v>
      </c>
      <c r="E319" s="225"/>
      <c r="F319" s="225"/>
      <c r="G319" s="225"/>
      <c r="H319" s="225"/>
      <c r="I319" s="225"/>
      <c r="J319" s="225"/>
      <c r="K319" s="225"/>
      <c r="L319" s="225"/>
      <c r="M319" s="225"/>
      <c r="N319" s="225"/>
      <c r="O319" s="225"/>
      <c r="P319" s="225"/>
      <c r="Q319" s="151"/>
    </row>
    <row r="320" spans="1:18">
      <c r="A320" s="121"/>
      <c r="B320" s="121"/>
      <c r="C320" s="121" t="s">
        <v>86</v>
      </c>
      <c r="D320" s="144" t="s">
        <v>216</v>
      </c>
      <c r="E320" s="144" t="s">
        <v>219</v>
      </c>
      <c r="F320" s="144" t="s">
        <v>221</v>
      </c>
      <c r="G320" s="144" t="s">
        <v>223</v>
      </c>
      <c r="H320" s="144" t="s">
        <v>226</v>
      </c>
      <c r="I320" s="144" t="s">
        <v>229</v>
      </c>
      <c r="J320" s="144" t="s">
        <v>233</v>
      </c>
      <c r="K320" s="144" t="s">
        <v>238</v>
      </c>
      <c r="L320" s="144" t="s">
        <v>241</v>
      </c>
      <c r="M320" s="144" t="s">
        <v>243</v>
      </c>
      <c r="N320" s="144" t="s">
        <v>247</v>
      </c>
      <c r="O320" s="144" t="s">
        <v>250</v>
      </c>
      <c r="P320" s="144" t="s">
        <v>285</v>
      </c>
      <c r="Q320" s="151"/>
    </row>
    <row r="321" spans="1:21">
      <c r="A321" s="121" t="s">
        <v>119</v>
      </c>
      <c r="B321" s="121" t="s">
        <v>142</v>
      </c>
      <c r="C321" s="121" t="s">
        <v>143</v>
      </c>
      <c r="D321" s="142"/>
      <c r="E321" s="142"/>
      <c r="F321" s="142"/>
      <c r="G321" s="142"/>
      <c r="H321" s="142"/>
      <c r="I321" s="142"/>
      <c r="J321" s="142"/>
      <c r="K321" s="142"/>
      <c r="L321" s="142"/>
      <c r="M321" s="142"/>
      <c r="N321" s="142"/>
      <c r="O321" s="142"/>
      <c r="P321" s="142"/>
      <c r="Q321" s="151"/>
    </row>
    <row r="322" spans="1:21">
      <c r="A322" s="238" t="s">
        <v>137</v>
      </c>
      <c r="B322" s="238" t="s">
        <v>138</v>
      </c>
      <c r="C322" s="123" t="s">
        <v>139</v>
      </c>
      <c r="D322" s="124">
        <v>681.75</v>
      </c>
      <c r="E322" s="124">
        <v>287.25</v>
      </c>
      <c r="F322" s="124">
        <v>5295.4750000000004</v>
      </c>
      <c r="G322" s="124">
        <v>2319</v>
      </c>
      <c r="H322" s="124">
        <v>3809</v>
      </c>
      <c r="I322" s="124">
        <v>515.75</v>
      </c>
      <c r="J322" s="124">
        <v>499.25</v>
      </c>
      <c r="K322" s="124">
        <v>106.52500000000001</v>
      </c>
      <c r="L322" s="124">
        <v>7.25</v>
      </c>
      <c r="M322" s="124">
        <v>0</v>
      </c>
      <c r="N322" s="124">
        <v>0</v>
      </c>
      <c r="O322" s="124">
        <v>0</v>
      </c>
      <c r="P322" s="124">
        <v>0</v>
      </c>
      <c r="Q322" s="151"/>
      <c r="U322" s="167"/>
    </row>
    <row r="323" spans="1:21">
      <c r="A323" s="240"/>
      <c r="B323" s="239"/>
      <c r="C323" s="123" t="s">
        <v>140</v>
      </c>
      <c r="D323" s="124">
        <v>107349.6</v>
      </c>
      <c r="E323" s="124">
        <v>45497.95</v>
      </c>
      <c r="F323" s="124">
        <v>58107.324999999997</v>
      </c>
      <c r="G323" s="124">
        <v>87431.875</v>
      </c>
      <c r="H323" s="124">
        <v>151069.52499999999</v>
      </c>
      <c r="I323" s="124">
        <v>169281.95</v>
      </c>
      <c r="J323" s="124">
        <v>87906.774999999994</v>
      </c>
      <c r="K323" s="124">
        <v>79773.399999999994</v>
      </c>
      <c r="L323" s="124">
        <v>68561.274999999994</v>
      </c>
      <c r="M323" s="124">
        <v>0</v>
      </c>
      <c r="N323" s="124">
        <v>0</v>
      </c>
      <c r="O323" s="124">
        <v>0</v>
      </c>
      <c r="P323" s="124">
        <v>0</v>
      </c>
      <c r="Q323" s="151"/>
    </row>
    <row r="324" spans="1:21">
      <c r="A324" s="240"/>
      <c r="B324" s="248" t="s">
        <v>141</v>
      </c>
      <c r="C324" s="123" t="s">
        <v>139</v>
      </c>
      <c r="D324" s="124">
        <v>0</v>
      </c>
      <c r="E324" s="124">
        <v>0</v>
      </c>
      <c r="F324" s="124">
        <v>0</v>
      </c>
      <c r="G324" s="124">
        <v>0</v>
      </c>
      <c r="H324" s="124">
        <v>0</v>
      </c>
      <c r="I324" s="124">
        <v>0</v>
      </c>
      <c r="J324" s="124">
        <v>0</v>
      </c>
      <c r="K324" s="124">
        <v>0</v>
      </c>
      <c r="L324" s="124">
        <v>0</v>
      </c>
      <c r="M324" s="124">
        <v>0</v>
      </c>
      <c r="N324" s="124">
        <v>0</v>
      </c>
      <c r="O324" s="124">
        <v>0</v>
      </c>
      <c r="P324" s="124">
        <v>0</v>
      </c>
      <c r="Q324" s="151"/>
    </row>
    <row r="325" spans="1:21">
      <c r="A325" s="239"/>
      <c r="B325" s="239"/>
      <c r="C325" s="123" t="s">
        <v>140</v>
      </c>
      <c r="D325" s="124">
        <v>0</v>
      </c>
      <c r="E325" s="124">
        <v>0</v>
      </c>
      <c r="F325" s="124">
        <v>0</v>
      </c>
      <c r="G325" s="124">
        <v>0</v>
      </c>
      <c r="H325" s="124">
        <v>0</v>
      </c>
      <c r="I325" s="124">
        <v>0</v>
      </c>
      <c r="J325" s="124">
        <v>0</v>
      </c>
      <c r="K325" s="124">
        <v>0</v>
      </c>
      <c r="L325" s="124">
        <v>0</v>
      </c>
      <c r="M325" s="124">
        <v>0</v>
      </c>
      <c r="N325" s="124">
        <v>0</v>
      </c>
      <c r="O325" s="124">
        <v>0</v>
      </c>
      <c r="P325" s="124">
        <v>0</v>
      </c>
      <c r="Q325" s="151"/>
    </row>
    <row r="326" spans="1:21">
      <c r="A326" s="248" t="s">
        <v>166</v>
      </c>
      <c r="B326" s="248" t="s">
        <v>138</v>
      </c>
      <c r="C326" s="123" t="s">
        <v>139</v>
      </c>
      <c r="D326" s="124">
        <v>7049</v>
      </c>
      <c r="E326" s="124">
        <v>2391.75</v>
      </c>
      <c r="F326" s="124">
        <v>1830.55</v>
      </c>
      <c r="G326" s="124">
        <v>6831.75</v>
      </c>
      <c r="H326" s="124">
        <v>22222.5</v>
      </c>
      <c r="I326" s="124">
        <v>11528</v>
      </c>
      <c r="J326" s="124">
        <v>5142.5</v>
      </c>
      <c r="K326" s="124">
        <v>1643.75</v>
      </c>
      <c r="L326" s="124">
        <v>348</v>
      </c>
      <c r="M326" s="124">
        <v>0</v>
      </c>
      <c r="N326" s="124">
        <v>0</v>
      </c>
      <c r="O326" s="124">
        <v>0</v>
      </c>
      <c r="P326" s="124">
        <v>0</v>
      </c>
      <c r="Q326" s="151"/>
    </row>
    <row r="327" spans="1:21">
      <c r="A327" s="240"/>
      <c r="B327" s="239"/>
      <c r="C327" s="123" t="s">
        <v>140</v>
      </c>
      <c r="D327" s="124">
        <v>72019.05</v>
      </c>
      <c r="E327" s="124">
        <v>38927.1</v>
      </c>
      <c r="F327" s="124">
        <v>57586.7</v>
      </c>
      <c r="G327" s="124">
        <v>68132.399999999994</v>
      </c>
      <c r="H327" s="124">
        <v>35923.474999999999</v>
      </c>
      <c r="I327" s="124">
        <v>44227.425000000003</v>
      </c>
      <c r="J327" s="124">
        <v>47369.9</v>
      </c>
      <c r="K327" s="124">
        <v>48789.425000000003</v>
      </c>
      <c r="L327" s="124">
        <v>75038.05</v>
      </c>
      <c r="M327" s="124">
        <v>0</v>
      </c>
      <c r="N327" s="124">
        <v>0</v>
      </c>
      <c r="O327" s="124">
        <v>0</v>
      </c>
      <c r="P327" s="124">
        <v>0</v>
      </c>
      <c r="Q327" s="151"/>
    </row>
    <row r="328" spans="1:21">
      <c r="A328" s="240"/>
      <c r="B328" s="248" t="s">
        <v>141</v>
      </c>
      <c r="C328" s="123" t="s">
        <v>139</v>
      </c>
      <c r="D328" s="124">
        <v>0</v>
      </c>
      <c r="E328" s="124">
        <v>0</v>
      </c>
      <c r="F328" s="124">
        <v>0</v>
      </c>
      <c r="G328" s="124">
        <v>0</v>
      </c>
      <c r="H328" s="124">
        <v>0</v>
      </c>
      <c r="I328" s="124">
        <v>0</v>
      </c>
      <c r="J328" s="124">
        <v>0</v>
      </c>
      <c r="K328" s="124">
        <v>0</v>
      </c>
      <c r="L328" s="124">
        <v>0</v>
      </c>
      <c r="M328" s="124">
        <v>0</v>
      </c>
      <c r="N328" s="124">
        <v>0</v>
      </c>
      <c r="O328" s="124">
        <v>0</v>
      </c>
      <c r="P328" s="124">
        <v>0</v>
      </c>
      <c r="Q328" s="151"/>
    </row>
    <row r="329" spans="1:21">
      <c r="A329" s="239"/>
      <c r="B329" s="239"/>
      <c r="C329" s="123" t="s">
        <v>140</v>
      </c>
      <c r="D329" s="124">
        <v>0</v>
      </c>
      <c r="E329" s="124">
        <v>0</v>
      </c>
      <c r="F329" s="124">
        <v>0</v>
      </c>
      <c r="G329" s="124">
        <v>0</v>
      </c>
      <c r="H329" s="124">
        <v>0</v>
      </c>
      <c r="I329" s="124">
        <v>0</v>
      </c>
      <c r="J329" s="124">
        <v>0</v>
      </c>
      <c r="K329" s="124">
        <v>0</v>
      </c>
      <c r="L329" s="124">
        <v>0</v>
      </c>
      <c r="M329" s="124">
        <v>0</v>
      </c>
      <c r="N329" s="124">
        <v>0</v>
      </c>
      <c r="O329" s="124">
        <v>0</v>
      </c>
      <c r="P329" s="124">
        <v>0</v>
      </c>
      <c r="Q329" s="151"/>
    </row>
    <row r="330" spans="1:21">
      <c r="Q330" s="151"/>
    </row>
    <row r="331" spans="1:21">
      <c r="A331" s="158"/>
      <c r="B331" s="123"/>
      <c r="C331" s="124"/>
      <c r="D331" s="124"/>
      <c r="E331" s="124"/>
      <c r="F331" s="124"/>
      <c r="G331" s="124"/>
      <c r="H331" s="124"/>
      <c r="I331" s="124"/>
      <c r="J331" s="124"/>
      <c r="K331" s="124"/>
      <c r="L331" s="124"/>
      <c r="M331" s="124"/>
      <c r="N331" s="124"/>
      <c r="O331" s="124"/>
      <c r="P331" s="151"/>
      <c r="Q331" s="151"/>
    </row>
    <row r="332" spans="1:21">
      <c r="A332" s="158"/>
      <c r="B332" s="123"/>
      <c r="C332" s="124"/>
      <c r="D332" s="124"/>
      <c r="E332" s="124"/>
      <c r="F332" s="124"/>
      <c r="G332" s="124"/>
      <c r="H332" s="124"/>
      <c r="I332" s="124"/>
      <c r="J332" s="124"/>
      <c r="K332" s="124"/>
      <c r="L332" s="124"/>
      <c r="M332" s="124"/>
      <c r="N332" s="124"/>
      <c r="O332" s="124"/>
      <c r="P332" s="151"/>
      <c r="Q332" s="151"/>
    </row>
    <row r="333" spans="1:21">
      <c r="A333" s="158"/>
      <c r="B333" s="123"/>
      <c r="C333" s="124"/>
      <c r="D333" s="124"/>
      <c r="E333" s="124"/>
      <c r="F333" s="124"/>
      <c r="G333" s="124"/>
      <c r="H333" s="124"/>
      <c r="I333" s="124"/>
      <c r="J333" s="124"/>
      <c r="K333" s="124"/>
      <c r="L333" s="124"/>
      <c r="M333" s="124"/>
      <c r="N333" s="124"/>
      <c r="O333" s="124"/>
      <c r="P333" s="151"/>
      <c r="Q333" s="151"/>
    </row>
    <row r="334" spans="1:21">
      <c r="A334" s="158"/>
      <c r="B334" s="123"/>
      <c r="C334" s="124"/>
      <c r="D334" s="124"/>
      <c r="E334" s="124"/>
      <c r="F334" s="124"/>
      <c r="G334" s="124"/>
      <c r="H334" s="124"/>
      <c r="I334" s="124"/>
      <c r="J334" s="124"/>
      <c r="K334" s="124"/>
      <c r="L334" s="124"/>
      <c r="M334" s="124"/>
      <c r="N334" s="124"/>
      <c r="O334" s="124"/>
      <c r="P334" s="151"/>
      <c r="Q334" s="151"/>
    </row>
    <row r="335" spans="1:21">
      <c r="A335" s="84" t="s">
        <v>175</v>
      </c>
      <c r="C335" s="141" t="str">
        <f>MID(C337,6,1)</f>
        <v>A</v>
      </c>
      <c r="D335" s="141" t="str">
        <f t="shared" ref="D335:O335" si="12">MID(D337,6,1)</f>
        <v>M</v>
      </c>
      <c r="E335" s="141" t="str">
        <f t="shared" si="12"/>
        <v>J</v>
      </c>
      <c r="F335" s="141" t="str">
        <f t="shared" si="12"/>
        <v>J</v>
      </c>
      <c r="G335" s="141" t="str">
        <f t="shared" si="12"/>
        <v>A</v>
      </c>
      <c r="H335" s="141" t="str">
        <f t="shared" si="12"/>
        <v>S</v>
      </c>
      <c r="I335" s="141" t="str">
        <f t="shared" si="12"/>
        <v>O</v>
      </c>
      <c r="J335" s="141" t="str">
        <f t="shared" si="12"/>
        <v>N</v>
      </c>
      <c r="K335" s="141" t="str">
        <f t="shared" si="12"/>
        <v>D</v>
      </c>
      <c r="L335" s="141" t="str">
        <f t="shared" si="12"/>
        <v>E</v>
      </c>
      <c r="M335" s="141" t="str">
        <f t="shared" si="12"/>
        <v>F</v>
      </c>
      <c r="N335" s="141" t="str">
        <f t="shared" si="12"/>
        <v>M</v>
      </c>
      <c r="O335" s="141" t="str">
        <f t="shared" si="12"/>
        <v>A</v>
      </c>
      <c r="P335" s="151"/>
      <c r="Q335" s="151"/>
    </row>
    <row r="336" spans="1:21">
      <c r="A336" s="121"/>
      <c r="B336" s="121" t="s">
        <v>27</v>
      </c>
      <c r="C336" s="247" t="s">
        <v>152</v>
      </c>
      <c r="D336" s="229"/>
      <c r="E336" s="229"/>
      <c r="F336" s="229"/>
      <c r="G336" s="229"/>
      <c r="H336" s="229"/>
      <c r="I336" s="229"/>
      <c r="J336" s="229"/>
      <c r="K336" s="229"/>
      <c r="L336" s="229"/>
      <c r="M336" s="229"/>
      <c r="N336" s="229"/>
      <c r="O336" s="229"/>
      <c r="P336" s="151"/>
      <c r="Q336" s="151"/>
    </row>
    <row r="337" spans="1:22">
      <c r="A337" s="121"/>
      <c r="B337" s="121" t="s">
        <v>86</v>
      </c>
      <c r="C337" s="144" t="s">
        <v>216</v>
      </c>
      <c r="D337" s="144" t="s">
        <v>219</v>
      </c>
      <c r="E337" s="144" t="s">
        <v>221</v>
      </c>
      <c r="F337" s="144" t="s">
        <v>223</v>
      </c>
      <c r="G337" s="144" t="s">
        <v>226</v>
      </c>
      <c r="H337" s="144" t="s">
        <v>229</v>
      </c>
      <c r="I337" s="144" t="s">
        <v>233</v>
      </c>
      <c r="J337" s="144" t="s">
        <v>238</v>
      </c>
      <c r="K337" s="144" t="s">
        <v>241</v>
      </c>
      <c r="L337" s="144" t="s">
        <v>243</v>
      </c>
      <c r="M337" s="144" t="s">
        <v>247</v>
      </c>
      <c r="N337" s="144" t="s">
        <v>250</v>
      </c>
      <c r="O337" s="144" t="s">
        <v>285</v>
      </c>
      <c r="P337" s="151"/>
      <c r="Q337" s="151"/>
    </row>
    <row r="338" spans="1:22">
      <c r="A338" s="121" t="s">
        <v>119</v>
      </c>
      <c r="B338" s="121" t="s">
        <v>120</v>
      </c>
      <c r="C338" s="142"/>
      <c r="D338" s="142"/>
      <c r="E338" s="142"/>
      <c r="F338" s="142"/>
      <c r="G338" s="142"/>
      <c r="H338" s="142"/>
      <c r="I338" s="142"/>
      <c r="J338" s="142"/>
      <c r="K338" s="142"/>
      <c r="L338" s="142"/>
      <c r="M338" s="142"/>
      <c r="N338" s="142"/>
      <c r="O338" s="142"/>
      <c r="P338" s="151"/>
      <c r="Q338" s="151"/>
    </row>
    <row r="339" spans="1:22">
      <c r="A339" s="249" t="s">
        <v>71</v>
      </c>
      <c r="B339" s="123" t="s">
        <v>203</v>
      </c>
      <c r="C339" s="124">
        <v>0</v>
      </c>
      <c r="D339" s="124">
        <v>0</v>
      </c>
      <c r="E339" s="124">
        <v>0</v>
      </c>
      <c r="F339" s="124">
        <v>0</v>
      </c>
      <c r="G339" s="124">
        <v>0</v>
      </c>
      <c r="H339" s="124">
        <v>0</v>
      </c>
      <c r="I339" s="124">
        <v>0</v>
      </c>
      <c r="J339" s="124">
        <v>0</v>
      </c>
      <c r="K339" s="124">
        <v>0</v>
      </c>
      <c r="L339" s="124">
        <v>0</v>
      </c>
      <c r="M339" s="124">
        <v>0</v>
      </c>
      <c r="N339" s="124">
        <v>0</v>
      </c>
      <c r="O339" s="124">
        <v>0</v>
      </c>
      <c r="P339" s="151"/>
      <c r="Q339" s="154"/>
    </row>
    <row r="340" spans="1:22">
      <c r="A340" s="240"/>
      <c r="B340" s="123" t="s">
        <v>73</v>
      </c>
      <c r="C340" s="124">
        <v>3547.56</v>
      </c>
      <c r="D340" s="124">
        <v>0</v>
      </c>
      <c r="E340" s="124">
        <v>9705</v>
      </c>
      <c r="F340" s="124">
        <v>3130</v>
      </c>
      <c r="G340" s="124">
        <v>0</v>
      </c>
      <c r="H340" s="124">
        <v>3588.75</v>
      </c>
      <c r="I340" s="124">
        <v>6311.25</v>
      </c>
      <c r="J340" s="124">
        <v>165</v>
      </c>
      <c r="K340" s="124">
        <v>421.8</v>
      </c>
      <c r="L340" s="124">
        <v>1340.95</v>
      </c>
      <c r="M340" s="124">
        <v>0</v>
      </c>
      <c r="N340" s="124">
        <v>0</v>
      </c>
      <c r="O340" s="124">
        <v>0</v>
      </c>
      <c r="P340" s="151"/>
      <c r="Q340" s="151"/>
    </row>
    <row r="341" spans="1:22">
      <c r="A341" s="240"/>
      <c r="B341" s="123" t="s">
        <v>23</v>
      </c>
      <c r="C341" s="124">
        <v>339272.77500000002</v>
      </c>
      <c r="D341" s="124">
        <v>190030.19</v>
      </c>
      <c r="E341" s="124">
        <v>486259.94</v>
      </c>
      <c r="F341" s="124">
        <v>438078.424</v>
      </c>
      <c r="G341" s="124">
        <v>365321.88400000002</v>
      </c>
      <c r="H341" s="124">
        <v>477468.94300000003</v>
      </c>
      <c r="I341" s="124">
        <v>388843.01699999999</v>
      </c>
      <c r="J341" s="124">
        <v>137334.99900000001</v>
      </c>
      <c r="K341" s="124">
        <v>144683.02499999999</v>
      </c>
      <c r="L341" s="124">
        <v>225679.55</v>
      </c>
      <c r="M341" s="124">
        <v>119868.325</v>
      </c>
      <c r="N341" s="124">
        <v>100998.25</v>
      </c>
      <c r="O341" s="124">
        <v>100322.65</v>
      </c>
      <c r="P341" s="151"/>
      <c r="Q341" s="151"/>
    </row>
    <row r="342" spans="1:22">
      <c r="A342" s="240"/>
      <c r="B342" s="123" t="s">
        <v>80</v>
      </c>
      <c r="C342" s="124">
        <v>0</v>
      </c>
      <c r="D342" s="124">
        <v>48.424999999999997</v>
      </c>
      <c r="E342" s="124">
        <v>0</v>
      </c>
      <c r="F342" s="124">
        <v>0</v>
      </c>
      <c r="G342" s="124">
        <v>0</v>
      </c>
      <c r="H342" s="124">
        <v>0</v>
      </c>
      <c r="I342" s="124">
        <v>0</v>
      </c>
      <c r="J342" s="124">
        <v>0</v>
      </c>
      <c r="K342" s="124">
        <v>16.5</v>
      </c>
      <c r="L342" s="124">
        <v>0</v>
      </c>
      <c r="M342" s="124">
        <v>0.83299999999999996</v>
      </c>
      <c r="N342" s="124">
        <v>0</v>
      </c>
      <c r="O342" s="124">
        <v>0</v>
      </c>
      <c r="P342" s="151"/>
      <c r="Q342" s="151"/>
    </row>
    <row r="343" spans="1:22">
      <c r="A343" s="240"/>
      <c r="B343" s="123" t="s">
        <v>74</v>
      </c>
      <c r="C343" s="124">
        <v>2631.1329999999998</v>
      </c>
      <c r="D343" s="124">
        <v>948.5</v>
      </c>
      <c r="E343" s="124">
        <v>12797.075000000001</v>
      </c>
      <c r="F343" s="124">
        <v>12438.968000000001</v>
      </c>
      <c r="G343" s="124">
        <v>7902.0079999999998</v>
      </c>
      <c r="H343" s="124">
        <v>3616.067</v>
      </c>
      <c r="I343" s="124">
        <v>10614.259</v>
      </c>
      <c r="J343" s="124">
        <v>2955</v>
      </c>
      <c r="K343" s="124">
        <v>596.20000000000005</v>
      </c>
      <c r="L343" s="124">
        <v>6614.0829999999996</v>
      </c>
      <c r="M343" s="124">
        <v>0</v>
      </c>
      <c r="N343" s="124">
        <v>0</v>
      </c>
      <c r="O343" s="124">
        <v>1070.8330000000001</v>
      </c>
      <c r="P343" s="151"/>
      <c r="Q343" s="151"/>
    </row>
    <row r="344" spans="1:22">
      <c r="A344" s="240"/>
      <c r="B344" s="123" t="s">
        <v>83</v>
      </c>
      <c r="C344" s="124">
        <v>554.1</v>
      </c>
      <c r="D344" s="124">
        <v>910.22500000000002</v>
      </c>
      <c r="E344" s="124">
        <v>984</v>
      </c>
      <c r="F344" s="124">
        <v>2865.4</v>
      </c>
      <c r="G344" s="124">
        <v>1132.875</v>
      </c>
      <c r="H344" s="124">
        <v>479.1</v>
      </c>
      <c r="I344" s="124">
        <v>621.32500000000005</v>
      </c>
      <c r="J344" s="124">
        <v>399</v>
      </c>
      <c r="K344" s="124">
        <v>0</v>
      </c>
      <c r="L344" s="124">
        <v>1193</v>
      </c>
      <c r="M344" s="124">
        <v>403.75</v>
      </c>
      <c r="N344" s="124">
        <v>438.6</v>
      </c>
      <c r="O344" s="124">
        <v>76.025000000000006</v>
      </c>
      <c r="P344" s="151"/>
      <c r="Q344" s="151"/>
    </row>
    <row r="345" spans="1:22">
      <c r="A345" s="240"/>
      <c r="B345" s="123" t="s">
        <v>77</v>
      </c>
      <c r="C345" s="124">
        <v>0</v>
      </c>
      <c r="D345" s="124">
        <v>5.8</v>
      </c>
      <c r="E345" s="124">
        <v>0</v>
      </c>
      <c r="F345" s="124">
        <v>54.15</v>
      </c>
      <c r="G345" s="124">
        <v>137.5</v>
      </c>
      <c r="H345" s="124">
        <v>0</v>
      </c>
      <c r="I345" s="124">
        <v>0</v>
      </c>
      <c r="J345" s="124">
        <v>0</v>
      </c>
      <c r="K345" s="124">
        <v>0</v>
      </c>
      <c r="L345" s="124">
        <v>0</v>
      </c>
      <c r="M345" s="124">
        <v>23.925000000000001</v>
      </c>
      <c r="N345" s="124">
        <v>0.42499999999999999</v>
      </c>
      <c r="O345" s="124">
        <v>0</v>
      </c>
      <c r="P345" s="151"/>
      <c r="Q345" s="151"/>
    </row>
    <row r="346" spans="1:22">
      <c r="A346" s="240"/>
      <c r="B346" s="123" t="s">
        <v>204</v>
      </c>
      <c r="C346" s="124">
        <v>0</v>
      </c>
      <c r="D346" s="124">
        <v>0</v>
      </c>
      <c r="E346" s="124">
        <v>0</v>
      </c>
      <c r="F346" s="124">
        <v>0</v>
      </c>
      <c r="G346" s="124">
        <v>0</v>
      </c>
      <c r="H346" s="124">
        <v>0</v>
      </c>
      <c r="I346" s="124">
        <v>0</v>
      </c>
      <c r="J346" s="124">
        <v>0</v>
      </c>
      <c r="K346" s="124">
        <v>0</v>
      </c>
      <c r="L346" s="124">
        <v>0</v>
      </c>
      <c r="M346" s="124">
        <v>7.4999999999999997E-2</v>
      </c>
      <c r="N346" s="124">
        <v>0</v>
      </c>
      <c r="O346" s="124">
        <v>0</v>
      </c>
      <c r="P346" s="151"/>
      <c r="Q346" s="151"/>
    </row>
    <row r="347" spans="1:22">
      <c r="A347" s="240"/>
      <c r="B347" s="123" t="s">
        <v>19</v>
      </c>
      <c r="C347" s="124">
        <v>5753.75</v>
      </c>
      <c r="D347" s="124">
        <v>7951.9669999999996</v>
      </c>
      <c r="E347" s="124">
        <v>7231.6369999999997</v>
      </c>
      <c r="F347" s="124">
        <v>502</v>
      </c>
      <c r="G347" s="124">
        <v>455</v>
      </c>
      <c r="H347" s="124">
        <v>0</v>
      </c>
      <c r="I347" s="124">
        <v>5425.1909999999998</v>
      </c>
      <c r="J347" s="124">
        <v>20969.683000000001</v>
      </c>
      <c r="K347" s="124">
        <v>5425.7330000000002</v>
      </c>
      <c r="L347" s="124">
        <v>4712.3</v>
      </c>
      <c r="M347" s="124">
        <v>2.7709999999999999</v>
      </c>
      <c r="N347" s="124">
        <v>6377.6660000000002</v>
      </c>
      <c r="O347" s="124">
        <v>15699.883</v>
      </c>
      <c r="P347" s="151"/>
      <c r="Q347" s="152"/>
    </row>
    <row r="348" spans="1:22">
      <c r="A348" s="240"/>
      <c r="B348" s="123" t="s">
        <v>169</v>
      </c>
      <c r="C348" s="124">
        <v>0</v>
      </c>
      <c r="D348" s="124">
        <v>0</v>
      </c>
      <c r="E348" s="124">
        <v>0</v>
      </c>
      <c r="F348" s="124">
        <v>0</v>
      </c>
      <c r="G348" s="124">
        <v>0</v>
      </c>
      <c r="H348" s="124">
        <v>0</v>
      </c>
      <c r="I348" s="124">
        <v>0</v>
      </c>
      <c r="J348" s="124">
        <v>0</v>
      </c>
      <c r="K348" s="124">
        <v>0</v>
      </c>
      <c r="L348" s="124">
        <v>0</v>
      </c>
      <c r="M348" s="124">
        <v>0</v>
      </c>
      <c r="N348" s="124">
        <v>0</v>
      </c>
      <c r="O348" s="124">
        <v>0</v>
      </c>
      <c r="P348" s="151"/>
      <c r="Q348" s="152"/>
    </row>
    <row r="349" spans="1:22">
      <c r="A349" s="240"/>
      <c r="B349" s="123" t="s">
        <v>84</v>
      </c>
      <c r="C349" s="124">
        <v>0</v>
      </c>
      <c r="D349" s="124">
        <v>0</v>
      </c>
      <c r="E349" s="124">
        <v>801.6</v>
      </c>
      <c r="F349" s="124">
        <v>0</v>
      </c>
      <c r="G349" s="124">
        <v>471.21699999999998</v>
      </c>
      <c r="H349" s="124">
        <v>0</v>
      </c>
      <c r="I349" s="124">
        <v>71.599999999999994</v>
      </c>
      <c r="J349" s="124">
        <v>0</v>
      </c>
      <c r="K349" s="124">
        <v>0</v>
      </c>
      <c r="L349" s="124">
        <v>0</v>
      </c>
      <c r="M349" s="124">
        <v>2302.9</v>
      </c>
      <c r="N349" s="124">
        <v>171.55</v>
      </c>
      <c r="O349" s="124">
        <v>0</v>
      </c>
      <c r="P349" s="151"/>
      <c r="Q349" s="159"/>
      <c r="R349" s="159"/>
      <c r="S349" s="159"/>
      <c r="T349" s="159"/>
      <c r="U349" s="159"/>
      <c r="V349" s="159"/>
    </row>
    <row r="350" spans="1:22">
      <c r="A350" s="240"/>
      <c r="B350" s="123" t="s">
        <v>72</v>
      </c>
      <c r="C350" s="124">
        <v>4387.5</v>
      </c>
      <c r="D350" s="124">
        <v>0</v>
      </c>
      <c r="E350" s="124">
        <v>0</v>
      </c>
      <c r="F350" s="124">
        <v>0</v>
      </c>
      <c r="G350" s="124">
        <v>0</v>
      </c>
      <c r="H350" s="124">
        <v>0</v>
      </c>
      <c r="I350" s="124">
        <v>0</v>
      </c>
      <c r="J350" s="124">
        <v>0</v>
      </c>
      <c r="K350" s="124">
        <v>0</v>
      </c>
      <c r="L350" s="124">
        <v>0</v>
      </c>
      <c r="M350" s="124">
        <v>30.216999999999999</v>
      </c>
      <c r="N350" s="124">
        <v>0</v>
      </c>
      <c r="O350" s="124">
        <v>0</v>
      </c>
      <c r="P350" s="151"/>
      <c r="Q350" s="159"/>
      <c r="R350" s="159"/>
      <c r="S350" s="159"/>
      <c r="T350" s="159"/>
      <c r="U350" s="159"/>
      <c r="V350" s="159"/>
    </row>
    <row r="351" spans="1:22">
      <c r="A351" s="240"/>
      <c r="B351" s="123" t="s">
        <v>81</v>
      </c>
      <c r="C351" s="124">
        <v>0</v>
      </c>
      <c r="D351" s="124">
        <v>5.5</v>
      </c>
      <c r="E351" s="124">
        <v>0</v>
      </c>
      <c r="F351" s="124">
        <v>0</v>
      </c>
      <c r="G351" s="124">
        <v>0</v>
      </c>
      <c r="H351" s="124">
        <v>0</v>
      </c>
      <c r="I351" s="124">
        <v>0</v>
      </c>
      <c r="J351" s="124">
        <v>0</v>
      </c>
      <c r="K351" s="124">
        <v>0</v>
      </c>
      <c r="L351" s="124">
        <v>0</v>
      </c>
      <c r="M351" s="124">
        <v>6.0670000000000002</v>
      </c>
      <c r="N351" s="124">
        <v>0</v>
      </c>
      <c r="O351" s="124">
        <v>37.582000000000001</v>
      </c>
      <c r="P351" s="151"/>
      <c r="Q351" s="159"/>
      <c r="R351" s="159"/>
      <c r="S351" s="159"/>
      <c r="T351" s="159"/>
      <c r="U351" s="159"/>
      <c r="V351" s="159"/>
    </row>
    <row r="352" spans="1:22">
      <c r="A352" s="240"/>
      <c r="B352" s="123" t="s">
        <v>85</v>
      </c>
      <c r="C352" s="124">
        <v>0</v>
      </c>
      <c r="D352" s="124">
        <v>0</v>
      </c>
      <c r="E352" s="124">
        <v>0</v>
      </c>
      <c r="F352" s="124">
        <v>0</v>
      </c>
      <c r="G352" s="124">
        <v>0</v>
      </c>
      <c r="H352" s="124">
        <v>0</v>
      </c>
      <c r="I352" s="124">
        <v>0</v>
      </c>
      <c r="J352" s="124">
        <v>0</v>
      </c>
      <c r="K352" s="124">
        <v>0</v>
      </c>
      <c r="L352" s="124">
        <v>0</v>
      </c>
      <c r="M352" s="124">
        <v>2.7749999999999999</v>
      </c>
      <c r="N352" s="124">
        <v>0</v>
      </c>
      <c r="O352" s="124">
        <v>0</v>
      </c>
      <c r="P352" s="151"/>
      <c r="Q352" s="159"/>
      <c r="R352" s="159"/>
      <c r="S352" s="159"/>
      <c r="T352" s="159"/>
      <c r="U352" s="159"/>
      <c r="V352" s="159"/>
    </row>
    <row r="353" spans="1:22">
      <c r="A353" s="240"/>
      <c r="B353" s="123" t="s">
        <v>78</v>
      </c>
      <c r="C353" s="124">
        <v>0</v>
      </c>
      <c r="D353" s="124">
        <v>3.5</v>
      </c>
      <c r="E353" s="124">
        <v>1.425</v>
      </c>
      <c r="F353" s="124">
        <v>0.75</v>
      </c>
      <c r="G353" s="124">
        <v>3.6749999999999998</v>
      </c>
      <c r="H353" s="124">
        <v>0</v>
      </c>
      <c r="I353" s="124">
        <v>0.15</v>
      </c>
      <c r="J353" s="124">
        <v>0</v>
      </c>
      <c r="K353" s="124">
        <v>0</v>
      </c>
      <c r="L353" s="124">
        <v>0</v>
      </c>
      <c r="M353" s="124">
        <v>3</v>
      </c>
      <c r="N353" s="124">
        <v>0.25</v>
      </c>
      <c r="O353" s="124">
        <v>0</v>
      </c>
      <c r="P353" s="151"/>
      <c r="Q353" s="159"/>
      <c r="R353" s="159"/>
      <c r="S353" s="159"/>
      <c r="T353" s="159"/>
      <c r="U353" s="159"/>
      <c r="V353" s="159"/>
    </row>
    <row r="354" spans="1:22">
      <c r="A354" s="240"/>
      <c r="B354" s="123" t="s">
        <v>79</v>
      </c>
      <c r="C354" s="124">
        <v>0</v>
      </c>
      <c r="D354" s="124">
        <v>0</v>
      </c>
      <c r="E354" s="124">
        <v>0</v>
      </c>
      <c r="F354" s="124">
        <v>0</v>
      </c>
      <c r="G354" s="124">
        <v>0</v>
      </c>
      <c r="H354" s="124">
        <v>0</v>
      </c>
      <c r="I354" s="124">
        <v>0</v>
      </c>
      <c r="J354" s="124">
        <v>0</v>
      </c>
      <c r="K354" s="124">
        <v>0</v>
      </c>
      <c r="L354" s="124">
        <v>0</v>
      </c>
      <c r="M354" s="124">
        <v>0</v>
      </c>
      <c r="N354" s="124">
        <v>0</v>
      </c>
      <c r="O354" s="124">
        <v>0</v>
      </c>
      <c r="P354" s="152">
        <f>O357/C357-1</f>
        <v>-0.66022840733187249</v>
      </c>
      <c r="Q354" s="159"/>
      <c r="R354" s="159"/>
      <c r="S354" s="159"/>
      <c r="T354" s="159"/>
      <c r="U354" s="159"/>
      <c r="V354" s="159"/>
    </row>
    <row r="355" spans="1:22">
      <c r="A355" s="240"/>
      <c r="B355" s="123" t="s">
        <v>225</v>
      </c>
      <c r="C355" s="124">
        <v>0</v>
      </c>
      <c r="D355" s="124">
        <v>0</v>
      </c>
      <c r="E355" s="124">
        <v>0</v>
      </c>
      <c r="F355" s="124">
        <v>22</v>
      </c>
      <c r="G355" s="124">
        <v>0</v>
      </c>
      <c r="H355" s="124">
        <v>0</v>
      </c>
      <c r="I355" s="124">
        <v>0</v>
      </c>
      <c r="J355" s="124">
        <v>0</v>
      </c>
      <c r="K355" s="124">
        <v>1007.875</v>
      </c>
      <c r="L355" s="124">
        <v>222.07499999999999</v>
      </c>
      <c r="M355" s="124">
        <v>0</v>
      </c>
      <c r="N355" s="124">
        <v>0</v>
      </c>
      <c r="O355" s="124">
        <v>0</v>
      </c>
      <c r="P355" s="152"/>
      <c r="Q355" s="159"/>
      <c r="R355" s="159"/>
      <c r="S355" s="159"/>
      <c r="T355" s="159"/>
      <c r="U355" s="159"/>
      <c r="V355" s="159"/>
    </row>
    <row r="356" spans="1:22">
      <c r="A356" s="240"/>
      <c r="B356" s="123" t="s">
        <v>76</v>
      </c>
      <c r="C356" s="124">
        <v>497.25</v>
      </c>
      <c r="D356" s="124">
        <v>325</v>
      </c>
      <c r="E356" s="124">
        <v>860</v>
      </c>
      <c r="F356" s="124">
        <v>2186.4</v>
      </c>
      <c r="G356" s="124">
        <v>4850.1750000000002</v>
      </c>
      <c r="H356" s="124">
        <v>9429.009</v>
      </c>
      <c r="I356" s="124">
        <v>4580.5249999999996</v>
      </c>
      <c r="J356" s="124">
        <v>1509.3330000000001</v>
      </c>
      <c r="K356" s="124">
        <v>2219.7420000000002</v>
      </c>
      <c r="L356" s="124">
        <v>8314.2829999999994</v>
      </c>
      <c r="M356" s="124">
        <v>0</v>
      </c>
      <c r="N356" s="124">
        <v>306.25</v>
      </c>
      <c r="O356" s="124">
        <v>3970.55</v>
      </c>
      <c r="P356" s="151"/>
      <c r="Q356" s="159"/>
      <c r="R356" s="159"/>
      <c r="S356" s="159"/>
      <c r="T356" s="159"/>
      <c r="U356" s="159"/>
      <c r="V356" s="159"/>
    </row>
    <row r="357" spans="1:22">
      <c r="A357" s="239"/>
      <c r="B357" s="181" t="s">
        <v>0</v>
      </c>
      <c r="C357" s="189">
        <v>356644.06800000003</v>
      </c>
      <c r="D357" s="189">
        <v>200229.10699999999</v>
      </c>
      <c r="E357" s="189">
        <v>518640.67700000003</v>
      </c>
      <c r="F357" s="189">
        <v>459278.092</v>
      </c>
      <c r="G357" s="189">
        <v>380274.33399999997</v>
      </c>
      <c r="H357" s="189">
        <v>494581.86900000001</v>
      </c>
      <c r="I357" s="189">
        <v>416467.31699999998</v>
      </c>
      <c r="J357" s="189">
        <v>163333.01500000001</v>
      </c>
      <c r="K357" s="189">
        <v>154370.875</v>
      </c>
      <c r="L357" s="189">
        <v>248076.24100000001</v>
      </c>
      <c r="M357" s="189">
        <v>122644.63800000001</v>
      </c>
      <c r="N357" s="189">
        <v>108292.99099999999</v>
      </c>
      <c r="O357" s="189">
        <v>121177.523</v>
      </c>
      <c r="P357" s="151"/>
      <c r="Q357" s="159"/>
      <c r="R357" s="159"/>
      <c r="S357" s="159"/>
      <c r="T357" s="159"/>
      <c r="U357" s="159"/>
      <c r="V357" s="159"/>
    </row>
    <row r="358" spans="1:22">
      <c r="A358" s="250" t="s">
        <v>75</v>
      </c>
      <c r="B358" s="123" t="s">
        <v>203</v>
      </c>
      <c r="C358" s="124">
        <v>0</v>
      </c>
      <c r="D358" s="124">
        <v>0</v>
      </c>
      <c r="E358" s="124">
        <v>0</v>
      </c>
      <c r="F358" s="124">
        <v>0</v>
      </c>
      <c r="G358" s="124">
        <v>0</v>
      </c>
      <c r="H358" s="124">
        <v>0</v>
      </c>
      <c r="I358" s="124">
        <v>0</v>
      </c>
      <c r="J358" s="124">
        <v>0</v>
      </c>
      <c r="K358" s="124">
        <v>0</v>
      </c>
      <c r="L358" s="124">
        <v>0</v>
      </c>
      <c r="M358" s="124">
        <v>0</v>
      </c>
      <c r="N358" s="124">
        <v>0</v>
      </c>
      <c r="O358" s="124">
        <v>0</v>
      </c>
      <c r="P358" s="151"/>
      <c r="Q358" s="159"/>
      <c r="R358" s="159"/>
      <c r="S358" s="159"/>
      <c r="T358" s="159"/>
      <c r="U358" s="159"/>
      <c r="V358" s="159"/>
    </row>
    <row r="359" spans="1:22">
      <c r="A359" s="240"/>
      <c r="B359" s="123" t="s">
        <v>73</v>
      </c>
      <c r="C359" s="124">
        <v>0</v>
      </c>
      <c r="D359" s="124">
        <v>0</v>
      </c>
      <c r="E359" s="124">
        <v>0</v>
      </c>
      <c r="F359" s="124">
        <v>0</v>
      </c>
      <c r="G359" s="124">
        <v>0</v>
      </c>
      <c r="H359" s="124">
        <v>0</v>
      </c>
      <c r="I359" s="124">
        <v>0</v>
      </c>
      <c r="J359" s="124">
        <v>0</v>
      </c>
      <c r="K359" s="124">
        <v>0</v>
      </c>
      <c r="L359" s="124">
        <v>0</v>
      </c>
      <c r="M359" s="124">
        <v>0</v>
      </c>
      <c r="N359" s="124">
        <v>0</v>
      </c>
      <c r="O359" s="124">
        <v>0</v>
      </c>
      <c r="P359" s="151"/>
      <c r="Q359" s="159"/>
      <c r="R359" s="159"/>
      <c r="S359" s="159"/>
      <c r="T359" s="159"/>
      <c r="U359" s="159"/>
      <c r="V359" s="159"/>
    </row>
    <row r="360" spans="1:22">
      <c r="A360" s="240"/>
      <c r="B360" s="123" t="s">
        <v>23</v>
      </c>
      <c r="C360" s="124">
        <v>139.28299999999999</v>
      </c>
      <c r="D360" s="124">
        <v>2.5000000000000001E-2</v>
      </c>
      <c r="E360" s="124">
        <v>625.5</v>
      </c>
      <c r="F360" s="124">
        <v>3000.125</v>
      </c>
      <c r="G360" s="124">
        <v>1021.775</v>
      </c>
      <c r="H360" s="124">
        <v>3133.625</v>
      </c>
      <c r="I360" s="124">
        <v>12633.041999999999</v>
      </c>
      <c r="J360" s="124">
        <v>572.625</v>
      </c>
      <c r="K360" s="124">
        <v>1128.8</v>
      </c>
      <c r="L360" s="124">
        <v>1669.25</v>
      </c>
      <c r="M360" s="124">
        <v>4.9000000000000004</v>
      </c>
      <c r="N360" s="124">
        <v>0</v>
      </c>
      <c r="O360" s="124">
        <v>0</v>
      </c>
      <c r="P360" s="151"/>
      <c r="Q360" s="159"/>
      <c r="R360" s="159"/>
      <c r="S360" s="159"/>
      <c r="T360" s="159"/>
      <c r="U360" s="159"/>
      <c r="V360" s="159"/>
    </row>
    <row r="361" spans="1:22">
      <c r="A361" s="240"/>
      <c r="B361" s="123" t="s">
        <v>80</v>
      </c>
      <c r="C361" s="124">
        <v>1314.1389999999999</v>
      </c>
      <c r="D361" s="124">
        <v>893.82399999999996</v>
      </c>
      <c r="E361" s="124">
        <v>2378.8139999999999</v>
      </c>
      <c r="F361" s="124">
        <v>6273.4949999999999</v>
      </c>
      <c r="G361" s="124">
        <v>4302.4539999999997</v>
      </c>
      <c r="H361" s="124">
        <v>2024.335</v>
      </c>
      <c r="I361" s="124">
        <v>2029.9390000000001</v>
      </c>
      <c r="J361" s="124">
        <v>273.53800000000001</v>
      </c>
      <c r="K361" s="124">
        <v>377.13200000000001</v>
      </c>
      <c r="L361" s="124">
        <v>786.62800000000004</v>
      </c>
      <c r="M361" s="124">
        <v>37.953000000000003</v>
      </c>
      <c r="N361" s="124">
        <v>621.33600000000001</v>
      </c>
      <c r="O361" s="124">
        <v>2516.587</v>
      </c>
      <c r="P361" s="151"/>
      <c r="Q361" s="159"/>
      <c r="R361" s="159"/>
      <c r="S361" s="159"/>
      <c r="T361" s="159"/>
      <c r="U361" s="159"/>
      <c r="V361" s="159"/>
    </row>
    <row r="362" spans="1:22">
      <c r="A362" s="240"/>
      <c r="B362" s="123" t="s">
        <v>74</v>
      </c>
      <c r="C362" s="124">
        <v>2159.3330000000001</v>
      </c>
      <c r="D362" s="124">
        <v>5583.5</v>
      </c>
      <c r="E362" s="124">
        <v>2946.4760000000001</v>
      </c>
      <c r="F362" s="124">
        <v>3981.25</v>
      </c>
      <c r="G362" s="124">
        <v>6001.4319999999998</v>
      </c>
      <c r="H362" s="124">
        <v>3894.6080000000002</v>
      </c>
      <c r="I362" s="124">
        <v>15149.841</v>
      </c>
      <c r="J362" s="124">
        <v>10963.05</v>
      </c>
      <c r="K362" s="124">
        <v>25532.89</v>
      </c>
      <c r="L362" s="124">
        <v>14325.141</v>
      </c>
      <c r="M362" s="124">
        <v>3178.55</v>
      </c>
      <c r="N362" s="124">
        <v>16107.041999999999</v>
      </c>
      <c r="O362" s="124">
        <v>9517.1579999999994</v>
      </c>
      <c r="P362" s="151"/>
      <c r="Q362" s="159"/>
      <c r="R362" s="159"/>
      <c r="S362" s="159"/>
      <c r="T362" s="159"/>
      <c r="U362" s="159"/>
      <c r="V362" s="159"/>
    </row>
    <row r="363" spans="1:22">
      <c r="A363" s="240"/>
      <c r="B363" s="123" t="s">
        <v>83</v>
      </c>
      <c r="C363" s="124">
        <v>42.7</v>
      </c>
      <c r="D363" s="124">
        <v>0</v>
      </c>
      <c r="E363" s="124">
        <v>0</v>
      </c>
      <c r="F363" s="124">
        <v>17.925000000000001</v>
      </c>
      <c r="G363" s="124">
        <v>13.3</v>
      </c>
      <c r="H363" s="124">
        <v>0</v>
      </c>
      <c r="I363" s="124">
        <v>0.1</v>
      </c>
      <c r="J363" s="124">
        <v>40</v>
      </c>
      <c r="K363" s="124">
        <v>0</v>
      </c>
      <c r="L363" s="124">
        <v>0</v>
      </c>
      <c r="M363" s="124">
        <v>0</v>
      </c>
      <c r="N363" s="124">
        <v>0</v>
      </c>
      <c r="O363" s="124">
        <v>0</v>
      </c>
      <c r="P363" s="151"/>
      <c r="Q363" s="159"/>
      <c r="R363" s="159"/>
      <c r="S363" s="159"/>
      <c r="T363" s="159"/>
      <c r="U363" s="159"/>
      <c r="V363" s="159"/>
    </row>
    <row r="364" spans="1:22">
      <c r="A364" s="240"/>
      <c r="B364" s="123" t="s">
        <v>77</v>
      </c>
      <c r="C364" s="124">
        <v>10600.206</v>
      </c>
      <c r="D364" s="124">
        <v>15107.638999999999</v>
      </c>
      <c r="E364" s="124">
        <v>13384.953</v>
      </c>
      <c r="F364" s="124">
        <v>131985.40100000001</v>
      </c>
      <c r="G364" s="124">
        <v>53466.71</v>
      </c>
      <c r="H364" s="124">
        <v>31702.144</v>
      </c>
      <c r="I364" s="124">
        <v>78564.706000000006</v>
      </c>
      <c r="J364" s="124">
        <v>31349.627</v>
      </c>
      <c r="K364" s="124">
        <v>41919.404000000002</v>
      </c>
      <c r="L364" s="124">
        <v>19108.333999999999</v>
      </c>
      <c r="M364" s="124">
        <v>4270.6970000000001</v>
      </c>
      <c r="N364" s="124">
        <v>62427.396000000001</v>
      </c>
      <c r="O364" s="124">
        <v>64769.294999999998</v>
      </c>
      <c r="P364" s="151"/>
      <c r="Q364" s="159"/>
      <c r="R364" s="159"/>
      <c r="S364" s="159"/>
      <c r="T364" s="159"/>
      <c r="U364" s="159"/>
      <c r="V364" s="159"/>
    </row>
    <row r="365" spans="1:22">
      <c r="A365" s="240"/>
      <c r="B365" s="123" t="s">
        <v>204</v>
      </c>
      <c r="C365" s="124">
        <v>1319.4960000000001</v>
      </c>
      <c r="D365" s="124">
        <v>943.077</v>
      </c>
      <c r="E365" s="124">
        <v>2505.9189999999999</v>
      </c>
      <c r="F365" s="124">
        <v>4386.8270000000002</v>
      </c>
      <c r="G365" s="124">
        <v>1433.252</v>
      </c>
      <c r="H365" s="124">
        <v>1680.0920000000001</v>
      </c>
      <c r="I365" s="124">
        <v>3212.7779999999998</v>
      </c>
      <c r="J365" s="124">
        <v>1972.2629999999999</v>
      </c>
      <c r="K365" s="124">
        <v>1066.75</v>
      </c>
      <c r="L365" s="124">
        <v>3413.56</v>
      </c>
      <c r="M365" s="124">
        <v>10.952999999999999</v>
      </c>
      <c r="N365" s="124">
        <v>898.26599999999996</v>
      </c>
      <c r="O365" s="124">
        <v>2585.2570000000001</v>
      </c>
      <c r="P365" s="151"/>
      <c r="Q365" s="159"/>
      <c r="R365" s="159"/>
      <c r="S365" s="159"/>
      <c r="T365" s="159"/>
      <c r="U365" s="159"/>
      <c r="V365" s="159"/>
    </row>
    <row r="366" spans="1:22">
      <c r="A366" s="240"/>
      <c r="B366" s="123" t="s">
        <v>19</v>
      </c>
      <c r="C366" s="124">
        <v>2249.5949999999998</v>
      </c>
      <c r="D366" s="124">
        <v>2043.925</v>
      </c>
      <c r="E366" s="124">
        <v>3560.598</v>
      </c>
      <c r="F366" s="124">
        <v>5141.38</v>
      </c>
      <c r="G366" s="124">
        <v>5499.3530000000001</v>
      </c>
      <c r="H366" s="124">
        <v>188.095</v>
      </c>
      <c r="I366" s="124">
        <v>505.98399999999998</v>
      </c>
      <c r="J366" s="124">
        <v>150.90899999999999</v>
      </c>
      <c r="K366" s="124">
        <v>733.23500000000001</v>
      </c>
      <c r="L366" s="124">
        <v>800.19</v>
      </c>
      <c r="M366" s="124">
        <v>608.26800000000003</v>
      </c>
      <c r="N366" s="124">
        <v>2561.46</v>
      </c>
      <c r="O366" s="124">
        <v>1065.028</v>
      </c>
      <c r="P366" s="151"/>
      <c r="Q366" s="159"/>
      <c r="R366" s="159"/>
      <c r="S366" s="159"/>
      <c r="T366" s="159"/>
      <c r="U366" s="159"/>
      <c r="V366" s="159"/>
    </row>
    <row r="367" spans="1:22">
      <c r="A367" s="240"/>
      <c r="B367" s="123" t="s">
        <v>169</v>
      </c>
      <c r="C367" s="124">
        <v>0</v>
      </c>
      <c r="D367" s="124">
        <v>0</v>
      </c>
      <c r="E367" s="124">
        <v>0</v>
      </c>
      <c r="F367" s="124">
        <v>0</v>
      </c>
      <c r="G367" s="124">
        <v>0</v>
      </c>
      <c r="H367" s="124">
        <v>0</v>
      </c>
      <c r="I367" s="124">
        <v>0</v>
      </c>
      <c r="J367" s="124">
        <v>0</v>
      </c>
      <c r="K367" s="124">
        <v>0</v>
      </c>
      <c r="L367" s="124">
        <v>0</v>
      </c>
      <c r="M367" s="124">
        <v>0</v>
      </c>
      <c r="N367" s="124">
        <v>0</v>
      </c>
      <c r="O367" s="124">
        <v>0</v>
      </c>
      <c r="P367" s="151"/>
      <c r="Q367" s="159"/>
      <c r="R367" s="159"/>
      <c r="S367" s="159"/>
      <c r="T367" s="159"/>
      <c r="U367" s="159"/>
      <c r="V367" s="159"/>
    </row>
    <row r="368" spans="1:22">
      <c r="A368" s="240"/>
      <c r="B368" s="123" t="s">
        <v>84</v>
      </c>
      <c r="C368" s="124">
        <v>0</v>
      </c>
      <c r="D368" s="124">
        <v>0</v>
      </c>
      <c r="E368" s="124">
        <v>0</v>
      </c>
      <c r="F368" s="124">
        <v>0</v>
      </c>
      <c r="G368" s="124">
        <v>0</v>
      </c>
      <c r="H368" s="124">
        <v>0</v>
      </c>
      <c r="I368" s="124">
        <v>0</v>
      </c>
      <c r="J368" s="124">
        <v>0</v>
      </c>
      <c r="K368" s="124">
        <v>0</v>
      </c>
      <c r="L368" s="124">
        <v>0</v>
      </c>
      <c r="M368" s="124">
        <v>0</v>
      </c>
      <c r="N368" s="124">
        <v>0</v>
      </c>
      <c r="O368" s="124">
        <v>0</v>
      </c>
      <c r="P368" s="151"/>
      <c r="Q368" s="159"/>
      <c r="R368" s="159"/>
      <c r="S368" s="159"/>
      <c r="T368" s="159"/>
      <c r="U368" s="159"/>
      <c r="V368" s="159"/>
    </row>
    <row r="369" spans="1:17">
      <c r="A369" s="240"/>
      <c r="B369" s="123" t="s">
        <v>72</v>
      </c>
      <c r="C369" s="124">
        <v>0</v>
      </c>
      <c r="D369" s="124">
        <v>0</v>
      </c>
      <c r="E369" s="124">
        <v>0</v>
      </c>
      <c r="F369" s="124">
        <v>0</v>
      </c>
      <c r="G369" s="124">
        <v>0</v>
      </c>
      <c r="H369" s="124">
        <v>0</v>
      </c>
      <c r="I369" s="124">
        <v>0</v>
      </c>
      <c r="J369" s="124">
        <v>0</v>
      </c>
      <c r="K369" s="124">
        <v>0</v>
      </c>
      <c r="L369" s="124">
        <v>0</v>
      </c>
      <c r="M369" s="124">
        <v>0</v>
      </c>
      <c r="N369" s="124">
        <v>0</v>
      </c>
      <c r="O369" s="124">
        <v>0</v>
      </c>
      <c r="P369" s="151"/>
    </row>
    <row r="370" spans="1:17">
      <c r="A370" s="240"/>
      <c r="B370" s="123" t="s">
        <v>81</v>
      </c>
      <c r="C370" s="124">
        <v>1254.827</v>
      </c>
      <c r="D370" s="124">
        <v>1793.0419999999999</v>
      </c>
      <c r="E370" s="124">
        <v>2355.221</v>
      </c>
      <c r="F370" s="124">
        <v>2419.3009999999999</v>
      </c>
      <c r="G370" s="124">
        <v>1658.9880000000001</v>
      </c>
      <c r="H370" s="124">
        <v>1278.7840000000001</v>
      </c>
      <c r="I370" s="124">
        <v>1742.4670000000001</v>
      </c>
      <c r="J370" s="124">
        <v>18.949000000000002</v>
      </c>
      <c r="K370" s="124">
        <v>39.518999999999998</v>
      </c>
      <c r="L370" s="124">
        <v>262.69600000000003</v>
      </c>
      <c r="M370" s="124">
        <v>19.006</v>
      </c>
      <c r="N370" s="124">
        <v>530.85799999999995</v>
      </c>
      <c r="O370" s="124">
        <v>1598.1</v>
      </c>
      <c r="P370" s="151"/>
    </row>
    <row r="371" spans="1:17">
      <c r="A371" s="240"/>
      <c r="B371" s="123" t="s">
        <v>85</v>
      </c>
      <c r="C371" s="124">
        <v>0</v>
      </c>
      <c r="D371" s="124">
        <v>0</v>
      </c>
      <c r="E371" s="124">
        <v>122.68300000000001</v>
      </c>
      <c r="F371" s="124">
        <v>1111.912</v>
      </c>
      <c r="G371" s="124">
        <v>779.20500000000004</v>
      </c>
      <c r="H371" s="124">
        <v>0</v>
      </c>
      <c r="I371" s="124">
        <v>0.16800000000000001</v>
      </c>
      <c r="J371" s="124">
        <v>25.091000000000001</v>
      </c>
      <c r="K371" s="124">
        <v>0</v>
      </c>
      <c r="L371" s="124">
        <v>0</v>
      </c>
      <c r="M371" s="124">
        <v>0</v>
      </c>
      <c r="N371" s="124">
        <v>0</v>
      </c>
      <c r="O371" s="124">
        <v>0</v>
      </c>
      <c r="P371" s="152">
        <f>O376/C376-1</f>
        <v>1.3222833264220299</v>
      </c>
      <c r="Q371" s="152">
        <f>(O357+O376)/(C376+C357)-1</f>
        <v>-0.32993551836748791</v>
      </c>
    </row>
    <row r="372" spans="1:17">
      <c r="A372" s="240"/>
      <c r="B372" s="123" t="s">
        <v>78</v>
      </c>
      <c r="C372" s="124">
        <v>36877.692000000003</v>
      </c>
      <c r="D372" s="124">
        <v>51954.457000000002</v>
      </c>
      <c r="E372" s="124">
        <v>132370.96599999999</v>
      </c>
      <c r="F372" s="124">
        <v>223344.245</v>
      </c>
      <c r="G372" s="124">
        <v>63965.084000000003</v>
      </c>
      <c r="H372" s="124">
        <v>19560.11</v>
      </c>
      <c r="I372" s="124">
        <v>61583.904999999999</v>
      </c>
      <c r="J372" s="124">
        <v>6305.0339999999997</v>
      </c>
      <c r="K372" s="124">
        <v>1891.778</v>
      </c>
      <c r="L372" s="124">
        <v>2707.0210000000002</v>
      </c>
      <c r="M372" s="124">
        <v>3565.0010000000002</v>
      </c>
      <c r="N372" s="124">
        <v>41461.347999999998</v>
      </c>
      <c r="O372" s="124">
        <v>80229.088000000003</v>
      </c>
      <c r="P372" s="151"/>
    </row>
    <row r="373" spans="1:17">
      <c r="A373" s="240"/>
      <c r="B373" s="123" t="s">
        <v>79</v>
      </c>
      <c r="C373" s="124">
        <v>15191.608</v>
      </c>
      <c r="D373" s="124">
        <v>25605.382000000001</v>
      </c>
      <c r="E373" s="124">
        <v>37295.190999999999</v>
      </c>
      <c r="F373" s="124">
        <v>32322.863000000001</v>
      </c>
      <c r="G373" s="124">
        <v>16218.591</v>
      </c>
      <c r="H373" s="124">
        <v>5669.5519999999997</v>
      </c>
      <c r="I373" s="124">
        <v>8192.3739999999998</v>
      </c>
      <c r="J373" s="124">
        <v>221.136</v>
      </c>
      <c r="K373" s="124">
        <v>6.3490000000000002</v>
      </c>
      <c r="L373" s="124">
        <v>44.374000000000002</v>
      </c>
      <c r="M373" s="124">
        <v>454.596</v>
      </c>
      <c r="N373" s="124">
        <v>4909.5150000000003</v>
      </c>
      <c r="O373" s="124">
        <v>3210.4679999999998</v>
      </c>
      <c r="P373" s="151"/>
    </row>
    <row r="374" spans="1:17">
      <c r="A374" s="240"/>
      <c r="B374" s="123" t="s">
        <v>225</v>
      </c>
      <c r="C374" s="124">
        <v>0</v>
      </c>
      <c r="D374" s="124">
        <v>0</v>
      </c>
      <c r="E374" s="124">
        <v>0</v>
      </c>
      <c r="F374" s="124">
        <v>0</v>
      </c>
      <c r="G374" s="124">
        <v>0</v>
      </c>
      <c r="H374" s="124">
        <v>0</v>
      </c>
      <c r="I374" s="124">
        <v>0</v>
      </c>
      <c r="J374" s="124">
        <v>0</v>
      </c>
      <c r="K374" s="124">
        <v>0</v>
      </c>
      <c r="L374" s="124">
        <v>0</v>
      </c>
      <c r="M374" s="124">
        <v>0</v>
      </c>
      <c r="N374" s="124">
        <v>0</v>
      </c>
      <c r="O374" s="124">
        <v>0</v>
      </c>
      <c r="P374" s="151"/>
    </row>
    <row r="375" spans="1:17">
      <c r="A375" s="240"/>
      <c r="B375" s="123" t="s">
        <v>76</v>
      </c>
      <c r="C375" s="124">
        <v>147.36600000000001</v>
      </c>
      <c r="D375" s="124">
        <v>3262.7249999999999</v>
      </c>
      <c r="E375" s="124">
        <v>2493.3420000000001</v>
      </c>
      <c r="F375" s="124">
        <v>31460.519</v>
      </c>
      <c r="G375" s="124">
        <v>14627.808000000001</v>
      </c>
      <c r="H375" s="124">
        <v>439.1</v>
      </c>
      <c r="I375" s="124">
        <v>116.1</v>
      </c>
      <c r="J375" s="124">
        <v>65.5</v>
      </c>
      <c r="K375" s="124">
        <v>6874.9160000000002</v>
      </c>
      <c r="L375" s="124">
        <v>7145.2420000000002</v>
      </c>
      <c r="M375" s="124">
        <v>116.25</v>
      </c>
      <c r="N375" s="124">
        <v>522.16700000000003</v>
      </c>
      <c r="O375" s="124">
        <v>79.099999999999994</v>
      </c>
      <c r="P375" s="151"/>
    </row>
    <row r="376" spans="1:17">
      <c r="A376" s="239"/>
      <c r="B376" s="181" t="s">
        <v>0</v>
      </c>
      <c r="C376" s="189">
        <v>71296.244999999995</v>
      </c>
      <c r="D376" s="189">
        <v>107187.59600000001</v>
      </c>
      <c r="E376" s="189">
        <v>200039.663</v>
      </c>
      <c r="F376" s="189">
        <v>445445.24300000002</v>
      </c>
      <c r="G376" s="189">
        <v>168987.95199999999</v>
      </c>
      <c r="H376" s="189">
        <v>69570.445000000007</v>
      </c>
      <c r="I376" s="189">
        <v>183731.40400000001</v>
      </c>
      <c r="J376" s="189">
        <v>51957.722000000002</v>
      </c>
      <c r="K376" s="189">
        <v>79570.773000000001</v>
      </c>
      <c r="L376" s="189">
        <v>50262.436000000002</v>
      </c>
      <c r="M376" s="189">
        <v>12266.174000000001</v>
      </c>
      <c r="N376" s="189">
        <v>130039.38800000001</v>
      </c>
      <c r="O376" s="189">
        <v>165570.08100000001</v>
      </c>
      <c r="P376" s="151"/>
    </row>
    <row r="377" spans="1:17">
      <c r="A377" s="159"/>
      <c r="B377" s="159"/>
      <c r="C377" s="159"/>
      <c r="D377" s="159"/>
      <c r="E377" s="159"/>
      <c r="F377" s="159"/>
      <c r="G377" s="159"/>
      <c r="H377" s="159"/>
      <c r="I377" s="159"/>
      <c r="J377" s="159"/>
      <c r="K377" s="159"/>
      <c r="L377" s="159"/>
      <c r="M377" s="159"/>
      <c r="N377" s="159"/>
      <c r="P377" s="151"/>
    </row>
    <row r="378" spans="1:17">
      <c r="A378" s="159"/>
      <c r="B378" s="159"/>
      <c r="C378" s="159"/>
      <c r="D378" s="159"/>
      <c r="E378" s="159"/>
      <c r="F378" s="159"/>
      <c r="G378" s="159"/>
      <c r="H378" s="159"/>
      <c r="I378" s="159"/>
      <c r="J378" s="159"/>
      <c r="K378" s="159"/>
      <c r="L378" s="159"/>
      <c r="M378" s="159"/>
      <c r="N378" s="159"/>
    </row>
    <row r="379" spans="1:17">
      <c r="A379" s="159"/>
      <c r="B379" s="159"/>
      <c r="C379" s="159"/>
      <c r="D379" s="159"/>
      <c r="E379" s="159"/>
      <c r="F379" s="159"/>
      <c r="G379" s="159"/>
      <c r="H379" s="159"/>
      <c r="I379" s="159"/>
      <c r="J379" s="159"/>
      <c r="K379" s="159"/>
      <c r="L379" s="159"/>
      <c r="M379" s="159"/>
      <c r="N379" s="159"/>
    </row>
    <row r="380" spans="1:17">
      <c r="A380" s="84"/>
    </row>
    <row r="381" spans="1:17">
      <c r="A381" s="84"/>
    </row>
    <row r="383" spans="1:17">
      <c r="A383" s="84"/>
    </row>
    <row r="384" spans="1:17">
      <c r="A384" s="84"/>
    </row>
    <row r="385" spans="1:15">
      <c r="A385" s="84"/>
    </row>
    <row r="386" spans="1:15">
      <c r="A386" s="84"/>
    </row>
    <row r="387" spans="1:15">
      <c r="A387" s="84"/>
    </row>
    <row r="388" spans="1:15">
      <c r="A388" s="84" t="s">
        <v>200</v>
      </c>
    </row>
    <row r="389" spans="1:15">
      <c r="B389" s="141" t="str">
        <f>MID(B390,6,1)</f>
        <v>A</v>
      </c>
      <c r="C389" s="141" t="str">
        <f t="shared" ref="C389:N389" si="13">MID(C390,6,1)</f>
        <v>M</v>
      </c>
      <c r="D389" s="141" t="str">
        <f t="shared" si="13"/>
        <v>J</v>
      </c>
      <c r="E389" s="141" t="str">
        <f t="shared" si="13"/>
        <v>J</v>
      </c>
      <c r="F389" s="141" t="str">
        <f t="shared" si="13"/>
        <v>A</v>
      </c>
      <c r="G389" s="141" t="str">
        <f t="shared" si="13"/>
        <v>S</v>
      </c>
      <c r="H389" s="141" t="str">
        <f t="shared" si="13"/>
        <v>O</v>
      </c>
      <c r="I389" s="141" t="str">
        <f t="shared" si="13"/>
        <v>N</v>
      </c>
      <c r="J389" s="141" t="str">
        <f t="shared" si="13"/>
        <v>D</v>
      </c>
      <c r="K389" s="141" t="str">
        <f t="shared" si="13"/>
        <v>E</v>
      </c>
      <c r="L389" s="141" t="str">
        <f t="shared" si="13"/>
        <v>F</v>
      </c>
      <c r="M389" s="141" t="str">
        <f t="shared" si="13"/>
        <v>M</v>
      </c>
      <c r="N389" s="141" t="str">
        <f t="shared" si="13"/>
        <v>A</v>
      </c>
    </row>
    <row r="390" spans="1:15">
      <c r="A390" s="121" t="s">
        <v>86</v>
      </c>
      <c r="B390" s="144" t="s">
        <v>216</v>
      </c>
      <c r="C390" s="144" t="s">
        <v>219</v>
      </c>
      <c r="D390" s="144" t="s">
        <v>221</v>
      </c>
      <c r="E390" s="144" t="s">
        <v>223</v>
      </c>
      <c r="F390" s="144" t="s">
        <v>226</v>
      </c>
      <c r="G390" s="144" t="s">
        <v>229</v>
      </c>
      <c r="H390" s="144" t="s">
        <v>233</v>
      </c>
      <c r="I390" s="144" t="s">
        <v>238</v>
      </c>
      <c r="J390" s="144" t="s">
        <v>241</v>
      </c>
      <c r="K390" s="144" t="s">
        <v>243</v>
      </c>
      <c r="L390" s="144" t="s">
        <v>247</v>
      </c>
      <c r="M390" s="144" t="s">
        <v>250</v>
      </c>
      <c r="N390" s="144" t="s">
        <v>285</v>
      </c>
    </row>
    <row r="391" spans="1:15">
      <c r="A391" s="121" t="s">
        <v>27</v>
      </c>
      <c r="B391" s="142"/>
      <c r="C391" s="142"/>
      <c r="D391" s="142"/>
      <c r="E391" s="142"/>
      <c r="F391" s="142"/>
      <c r="G391" s="142"/>
      <c r="H391" s="142"/>
      <c r="I391" s="142"/>
      <c r="J391" s="142"/>
      <c r="K391" s="142"/>
      <c r="L391" s="142"/>
      <c r="M391" s="142"/>
      <c r="N391" s="142"/>
    </row>
    <row r="392" spans="1:15">
      <c r="A392" s="123" t="s">
        <v>159</v>
      </c>
      <c r="B392" s="182">
        <v>93450.634999999995</v>
      </c>
      <c r="C392" s="182">
        <v>97291.297000000006</v>
      </c>
      <c r="D392" s="182">
        <v>40991.940999999999</v>
      </c>
      <c r="E392" s="182">
        <v>36677.394999999997</v>
      </c>
      <c r="F392" s="182">
        <v>35242.697999999997</v>
      </c>
      <c r="G392" s="182">
        <v>27929.848999999998</v>
      </c>
      <c r="H392" s="182">
        <v>20968.252</v>
      </c>
      <c r="I392" s="182">
        <v>22665.061000000002</v>
      </c>
      <c r="J392" s="182">
        <v>17933.278999999999</v>
      </c>
      <c r="K392" s="182">
        <v>23166.077000000001</v>
      </c>
      <c r="L392" s="182">
        <v>25587.149000000001</v>
      </c>
      <c r="M392" s="182">
        <v>33879.158000000003</v>
      </c>
      <c r="N392" s="182">
        <v>36517.428</v>
      </c>
      <c r="O392" s="62"/>
    </row>
    <row r="393" spans="1:15">
      <c r="A393" s="123" t="s">
        <v>160</v>
      </c>
      <c r="B393" s="182">
        <v>26740.23</v>
      </c>
      <c r="C393" s="182">
        <v>26569.347000000002</v>
      </c>
      <c r="D393" s="182">
        <v>42027.644</v>
      </c>
      <c r="E393" s="182">
        <v>26980.576000000001</v>
      </c>
      <c r="F393" s="182">
        <v>26163.522000000001</v>
      </c>
      <c r="G393" s="182">
        <v>22461.603999999999</v>
      </c>
      <c r="H393" s="182">
        <v>13158.781999999999</v>
      </c>
      <c r="I393" s="182">
        <v>6005.0370000000003</v>
      </c>
      <c r="J393" s="182">
        <v>9131.7250000000004</v>
      </c>
      <c r="K393" s="182">
        <v>5810.0649999999996</v>
      </c>
      <c r="L393" s="182">
        <v>2983.4830000000002</v>
      </c>
      <c r="M393" s="182">
        <v>4872.5479999999998</v>
      </c>
      <c r="N393" s="182">
        <v>11786.290999999999</v>
      </c>
      <c r="O393" s="62"/>
    </row>
    <row r="394" spans="1:15">
      <c r="A394" s="193" t="s">
        <v>235</v>
      </c>
      <c r="B394" s="194">
        <f>SUM(B392:B393)</f>
        <v>120190.86499999999</v>
      </c>
      <c r="C394" s="194">
        <f t="shared" ref="C394:N394" si="14">SUM(C392:C393)</f>
        <v>123860.644</v>
      </c>
      <c r="D394" s="194">
        <f t="shared" si="14"/>
        <v>83019.584999999992</v>
      </c>
      <c r="E394" s="194">
        <f t="shared" si="14"/>
        <v>63657.970999999998</v>
      </c>
      <c r="F394" s="194">
        <f t="shared" si="14"/>
        <v>61406.22</v>
      </c>
      <c r="G394" s="194">
        <f t="shared" si="14"/>
        <v>50391.452999999994</v>
      </c>
      <c r="H394" s="194">
        <f t="shared" si="14"/>
        <v>34127.034</v>
      </c>
      <c r="I394" s="194">
        <f t="shared" si="14"/>
        <v>28670.098000000002</v>
      </c>
      <c r="J394" s="194">
        <f t="shared" si="14"/>
        <v>27065.004000000001</v>
      </c>
      <c r="K394" s="194">
        <f t="shared" si="14"/>
        <v>28976.142</v>
      </c>
      <c r="L394" s="194">
        <f t="shared" si="14"/>
        <v>28570.632000000001</v>
      </c>
      <c r="M394" s="194">
        <f t="shared" si="14"/>
        <v>38751.706000000006</v>
      </c>
      <c r="N394" s="194">
        <f t="shared" si="14"/>
        <v>48303.718999999997</v>
      </c>
    </row>
    <row r="395" spans="1:15">
      <c r="A395" s="123"/>
    </row>
    <row r="396" spans="1:15">
      <c r="A396" s="123"/>
    </row>
    <row r="397" spans="1:15">
      <c r="A397" s="84" t="s">
        <v>163</v>
      </c>
    </row>
    <row r="398" spans="1:15">
      <c r="A398" s="84" t="s">
        <v>164</v>
      </c>
    </row>
    <row r="399" spans="1:15">
      <c r="A399" s="121"/>
      <c r="B399" s="121" t="s">
        <v>27</v>
      </c>
      <c r="C399" s="224" t="s">
        <v>207</v>
      </c>
      <c r="D399" s="225"/>
      <c r="E399" s="225"/>
      <c r="F399" s="225"/>
      <c r="G399" s="225"/>
      <c r="H399" s="225"/>
      <c r="I399" s="225"/>
      <c r="J399" s="225"/>
      <c r="K399" s="225"/>
      <c r="L399" s="225"/>
      <c r="M399" s="225"/>
      <c r="N399" s="225"/>
      <c r="O399" s="225"/>
    </row>
    <row r="400" spans="1:15">
      <c r="A400" s="121"/>
      <c r="B400" s="121" t="s">
        <v>86</v>
      </c>
      <c r="C400" s="144" t="s">
        <v>216</v>
      </c>
      <c r="D400" s="144" t="s">
        <v>219</v>
      </c>
      <c r="E400" s="144" t="s">
        <v>221</v>
      </c>
      <c r="F400" s="144" t="s">
        <v>223</v>
      </c>
      <c r="G400" s="144" t="s">
        <v>226</v>
      </c>
      <c r="H400" s="144" t="s">
        <v>229</v>
      </c>
      <c r="I400" s="144" t="s">
        <v>233</v>
      </c>
      <c r="J400" s="144" t="s">
        <v>238</v>
      </c>
      <c r="K400" s="144" t="s">
        <v>241</v>
      </c>
      <c r="L400" s="144" t="s">
        <v>243</v>
      </c>
      <c r="M400" s="144" t="s">
        <v>247</v>
      </c>
      <c r="N400" s="144" t="s">
        <v>250</v>
      </c>
      <c r="O400" s="144" t="s">
        <v>285</v>
      </c>
    </row>
    <row r="401" spans="1:33">
      <c r="A401" s="121" t="s">
        <v>119</v>
      </c>
      <c r="B401" s="121" t="s">
        <v>189</v>
      </c>
      <c r="C401" s="142"/>
      <c r="D401" s="142"/>
      <c r="E401" s="142"/>
      <c r="F401" s="142"/>
      <c r="G401" s="142"/>
      <c r="H401" s="142"/>
      <c r="I401" s="142"/>
      <c r="J401" s="142"/>
      <c r="K401" s="142"/>
      <c r="L401" s="142"/>
      <c r="M401" s="142"/>
      <c r="N401" s="142"/>
      <c r="O401" s="142"/>
    </row>
    <row r="402" spans="1:33">
      <c r="A402" s="238" t="s">
        <v>71</v>
      </c>
      <c r="B402" s="123" t="s">
        <v>125</v>
      </c>
      <c r="C402" s="182">
        <v>144.37500321530001</v>
      </c>
      <c r="D402" s="182">
        <v>155.04070517069999</v>
      </c>
      <c r="E402" s="182">
        <v>165.61002641549999</v>
      </c>
      <c r="F402" s="182">
        <v>150.28757834149999</v>
      </c>
      <c r="G402" s="182">
        <v>157.3914054217</v>
      </c>
      <c r="H402" s="182">
        <v>166.42095092229999</v>
      </c>
      <c r="I402" s="182">
        <v>162.7965502049</v>
      </c>
      <c r="J402" s="182">
        <v>164.47094452299999</v>
      </c>
      <c r="K402" s="182">
        <v>174.62615588240001</v>
      </c>
      <c r="L402" s="182">
        <v>182.37316718189999</v>
      </c>
      <c r="M402" s="182">
        <v>137.02993094039999</v>
      </c>
      <c r="N402" s="182">
        <v>198.52719663740001</v>
      </c>
      <c r="O402" s="182">
        <v>177.1996726072</v>
      </c>
      <c r="P402" s="153">
        <f>O402/C402-1</f>
        <v>0.22735701236972461</v>
      </c>
    </row>
    <row r="403" spans="1:33">
      <c r="A403" s="239"/>
      <c r="B403" s="123" t="s">
        <v>129</v>
      </c>
      <c r="C403" s="182">
        <v>244.8255794065</v>
      </c>
      <c r="D403" s="182">
        <v>220.95676674020001</v>
      </c>
      <c r="E403" s="182">
        <v>219.13720569969999</v>
      </c>
      <c r="F403" s="182">
        <v>200.44400471860001</v>
      </c>
      <c r="G403" s="182">
        <v>210.14936945490001</v>
      </c>
      <c r="H403" s="182">
        <v>232.59996176300001</v>
      </c>
      <c r="I403" s="182">
        <v>244.1453660576</v>
      </c>
      <c r="J403" s="182">
        <v>203.0076708007</v>
      </c>
      <c r="K403" s="182">
        <v>212.75769545259999</v>
      </c>
      <c r="L403" s="182">
        <v>221.4334733087</v>
      </c>
      <c r="M403" s="182">
        <v>242.9232967364</v>
      </c>
      <c r="N403" s="182">
        <v>288.39044281230002</v>
      </c>
      <c r="O403" s="182">
        <v>217.4622782973</v>
      </c>
      <c r="P403" s="153">
        <f>O403/C403-1</f>
        <v>-0.11176651220649991</v>
      </c>
    </row>
    <row r="404" spans="1:33">
      <c r="A404" s="248" t="s">
        <v>75</v>
      </c>
      <c r="B404" s="123" t="s">
        <v>125</v>
      </c>
      <c r="C404" s="182">
        <v>15.8979225199</v>
      </c>
      <c r="D404" s="182">
        <v>4.7741999187999999</v>
      </c>
      <c r="E404" s="182">
        <v>59.7129545994</v>
      </c>
      <c r="F404" s="182">
        <v>56.254841899299997</v>
      </c>
      <c r="G404" s="182">
        <v>61.503685353400002</v>
      </c>
      <c r="H404" s="182">
        <v>54.1608380053</v>
      </c>
      <c r="I404" s="182">
        <v>60.675018032799997</v>
      </c>
      <c r="J404" s="182">
        <v>57.152078829099999</v>
      </c>
      <c r="K404" s="182">
        <v>77.8107698699</v>
      </c>
      <c r="L404" s="182">
        <v>69.163489003400002</v>
      </c>
      <c r="M404" s="182">
        <v>9.6432943307999999</v>
      </c>
      <c r="N404" s="182">
        <v>36.377330786199998</v>
      </c>
      <c r="O404" s="182">
        <v>38.8820737446</v>
      </c>
      <c r="P404" s="153">
        <f>O404/C404-1</f>
        <v>1.4457330003923414</v>
      </c>
    </row>
    <row r="405" spans="1:33">
      <c r="A405" s="239"/>
      <c r="B405" s="123" t="s">
        <v>129</v>
      </c>
      <c r="C405" s="204">
        <v>-151.95851905293199</v>
      </c>
      <c r="D405" s="204">
        <v>-136.52684326860901</v>
      </c>
      <c r="E405" s="204">
        <v>-87.937670231433103</v>
      </c>
      <c r="F405" s="204">
        <v>-49.776885172126498</v>
      </c>
      <c r="G405" s="204">
        <v>-36.745907028188597</v>
      </c>
      <c r="H405" s="204">
        <v>-45.205144467913101</v>
      </c>
      <c r="I405" s="204">
        <v>-56.700768444130503</v>
      </c>
      <c r="J405" s="204">
        <v>-23.385671125824199</v>
      </c>
      <c r="K405" s="204">
        <v>14.4702230778882</v>
      </c>
      <c r="L405" s="204">
        <v>16.703954068740298</v>
      </c>
      <c r="M405" s="204">
        <v>-66.725363478946207</v>
      </c>
      <c r="N405" s="204">
        <v>-75.180865280933205</v>
      </c>
      <c r="O405" s="204">
        <v>-118.185307332343</v>
      </c>
      <c r="P405" s="153">
        <f>O405/C405-1</f>
        <v>-0.22225283538611418</v>
      </c>
    </row>
    <row r="406" spans="1:33">
      <c r="P406" s="123"/>
      <c r="Q406" s="123"/>
      <c r="R406" s="123"/>
    </row>
    <row r="407" spans="1:33">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3"/>
      <c r="AB407" s="123"/>
      <c r="AC407" s="123"/>
      <c r="AD407" s="123"/>
      <c r="AE407" s="123"/>
      <c r="AF407" s="123"/>
      <c r="AG407" s="123"/>
    </row>
    <row r="408" spans="1:33">
      <c r="A408" t="s">
        <v>165</v>
      </c>
    </row>
    <row r="409" spans="1:33">
      <c r="A409" s="121"/>
      <c r="B409" s="121" t="s">
        <v>27</v>
      </c>
      <c r="C409" s="224" t="s">
        <v>133</v>
      </c>
      <c r="D409" s="225"/>
      <c r="E409" s="225"/>
      <c r="F409" s="225"/>
      <c r="G409" s="225"/>
      <c r="H409" s="225"/>
      <c r="I409" s="225"/>
      <c r="J409" s="225"/>
      <c r="K409" s="225"/>
      <c r="L409" s="225"/>
      <c r="M409" s="225"/>
      <c r="N409" s="225"/>
      <c r="O409" s="225"/>
    </row>
    <row r="410" spans="1:33">
      <c r="A410" s="121"/>
      <c r="B410" s="121" t="s">
        <v>86</v>
      </c>
      <c r="C410" s="144" t="s">
        <v>216</v>
      </c>
      <c r="D410" s="144" t="s">
        <v>219</v>
      </c>
      <c r="E410" s="144" t="s">
        <v>221</v>
      </c>
      <c r="F410" s="144" t="s">
        <v>223</v>
      </c>
      <c r="G410" s="144" t="s">
        <v>226</v>
      </c>
      <c r="H410" s="144" t="s">
        <v>229</v>
      </c>
      <c r="I410" s="144" t="s">
        <v>233</v>
      </c>
      <c r="J410" s="144" t="s">
        <v>238</v>
      </c>
      <c r="K410" s="144" t="s">
        <v>241</v>
      </c>
      <c r="L410" s="144" t="s">
        <v>243</v>
      </c>
      <c r="M410" s="144" t="s">
        <v>247</v>
      </c>
      <c r="N410" s="144" t="s">
        <v>250</v>
      </c>
      <c r="O410" s="144" t="s">
        <v>285</v>
      </c>
    </row>
    <row r="411" spans="1:33">
      <c r="A411" s="121" t="s">
        <v>119</v>
      </c>
      <c r="B411" s="121" t="s">
        <v>191</v>
      </c>
      <c r="C411" s="142"/>
      <c r="D411" s="142"/>
      <c r="E411" s="142"/>
      <c r="F411" s="142"/>
      <c r="G411" s="142"/>
      <c r="H411" s="142"/>
      <c r="I411" s="142"/>
      <c r="J411" s="142"/>
      <c r="K411" s="142"/>
      <c r="L411" s="142"/>
      <c r="M411" s="142"/>
      <c r="N411" s="142"/>
      <c r="O411" s="142"/>
    </row>
    <row r="412" spans="1:33">
      <c r="A412" s="238" t="s">
        <v>71</v>
      </c>
      <c r="B412" s="123" t="s">
        <v>126</v>
      </c>
      <c r="C412" s="182">
        <v>21.1892065471</v>
      </c>
      <c r="D412" s="182">
        <v>11.0326904909</v>
      </c>
      <c r="E412" s="182">
        <v>20.297364826599999</v>
      </c>
      <c r="F412" s="182">
        <v>34.1141379253</v>
      </c>
      <c r="G412" s="182">
        <v>35.031649862599998</v>
      </c>
      <c r="H412" s="182">
        <v>32.7380599946</v>
      </c>
      <c r="I412" s="182">
        <v>36.398819601600003</v>
      </c>
      <c r="J412" s="182">
        <v>25.577419348599999</v>
      </c>
      <c r="K412" s="182">
        <v>19.581757195600002</v>
      </c>
      <c r="L412" s="182">
        <v>23.5337400642</v>
      </c>
      <c r="M412" s="182">
        <v>14.062624576599999</v>
      </c>
      <c r="N412" s="182">
        <v>16.3789167664</v>
      </c>
      <c r="O412" s="182">
        <v>14.070145721799999</v>
      </c>
      <c r="P412" s="153">
        <f>O412/C412-1</f>
        <v>-0.33597580964041951</v>
      </c>
    </row>
    <row r="413" spans="1:33">
      <c r="A413" s="240"/>
      <c r="B413" s="123" t="s">
        <v>127</v>
      </c>
      <c r="C413" s="182">
        <v>77.523932633800001</v>
      </c>
      <c r="D413" s="182">
        <v>63.343057325899998</v>
      </c>
      <c r="E413" s="182">
        <v>112.625288936</v>
      </c>
      <c r="F413" s="182">
        <v>110.444987815</v>
      </c>
      <c r="G413" s="182">
        <v>98.521136264800006</v>
      </c>
      <c r="H413" s="182">
        <v>101.9472367099</v>
      </c>
      <c r="I413" s="182">
        <v>97.886706690099999</v>
      </c>
      <c r="J413" s="182">
        <v>88.113274485000005</v>
      </c>
      <c r="K413" s="182">
        <v>96.135054601199997</v>
      </c>
      <c r="L413" s="182">
        <v>104.8609944799</v>
      </c>
      <c r="M413" s="182">
        <v>56.752351668899998</v>
      </c>
      <c r="N413" s="182">
        <v>85.8452393779</v>
      </c>
      <c r="O413" s="182">
        <v>101.3559995067</v>
      </c>
      <c r="P413" s="153">
        <f>O413/C413-1</f>
        <v>0.30741560784171762</v>
      </c>
    </row>
    <row r="414" spans="1:33">
      <c r="A414" s="240"/>
      <c r="B414" s="123" t="s">
        <v>190</v>
      </c>
      <c r="C414" s="182">
        <v>52.314215232599999</v>
      </c>
      <c r="D414" s="182">
        <v>55.672629718300001</v>
      </c>
      <c r="E414" s="182">
        <v>95.530108455900006</v>
      </c>
      <c r="F414" s="182">
        <v>107.60287344539999</v>
      </c>
      <c r="G414" s="182">
        <v>105.48086387319999</v>
      </c>
      <c r="H414" s="182">
        <v>87.551958489200004</v>
      </c>
      <c r="I414" s="182">
        <v>93.292720630199995</v>
      </c>
      <c r="J414" s="182">
        <v>90.087431370600001</v>
      </c>
      <c r="K414" s="182">
        <v>94.3620246941</v>
      </c>
      <c r="L414" s="182">
        <v>0</v>
      </c>
      <c r="M414" s="182">
        <v>0</v>
      </c>
      <c r="N414" s="182">
        <v>0</v>
      </c>
      <c r="O414" s="182">
        <v>0</v>
      </c>
      <c r="P414" s="153">
        <f>O414/C414-1</f>
        <v>-1</v>
      </c>
    </row>
    <row r="415" spans="1:33">
      <c r="A415" s="239"/>
      <c r="B415" s="123" t="s">
        <v>128</v>
      </c>
      <c r="C415" s="182">
        <v>58.371273219899997</v>
      </c>
      <c r="D415" s="182">
        <v>55.693702808300003</v>
      </c>
      <c r="E415" s="182">
        <v>104.9215167187</v>
      </c>
      <c r="F415" s="182">
        <v>121.5609694004</v>
      </c>
      <c r="G415" s="182">
        <v>109.9492029741</v>
      </c>
      <c r="H415" s="182">
        <v>94.673383029199996</v>
      </c>
      <c r="I415" s="182">
        <v>107.2113005402</v>
      </c>
      <c r="J415" s="182">
        <v>96.675296389500005</v>
      </c>
      <c r="K415" s="182">
        <v>100.82860255590001</v>
      </c>
      <c r="L415" s="182">
        <v>116.26221271990001</v>
      </c>
      <c r="M415" s="182">
        <v>53.062662903499998</v>
      </c>
      <c r="N415" s="182">
        <v>95.239233636400002</v>
      </c>
      <c r="O415" s="182">
        <v>90.676531800999996</v>
      </c>
      <c r="P415" s="153">
        <f>O415/C415-1</f>
        <v>0.55344447360943394</v>
      </c>
      <c r="R415" s="171">
        <v>147.141711762314</v>
      </c>
    </row>
    <row r="416" spans="1:33">
      <c r="A416" s="248" t="s">
        <v>75</v>
      </c>
      <c r="B416" s="123" t="s">
        <v>126</v>
      </c>
      <c r="C416" s="182">
        <v>18.106053319000001</v>
      </c>
      <c r="D416" s="182">
        <v>17.670425277900002</v>
      </c>
      <c r="E416" s="182">
        <v>12.5788518301</v>
      </c>
      <c r="F416" s="182">
        <v>13.7043949349</v>
      </c>
      <c r="G416" s="182">
        <v>18.185907200199999</v>
      </c>
      <c r="H416" s="182">
        <v>24.3133326757</v>
      </c>
      <c r="I416" s="182">
        <v>16.621921591100001</v>
      </c>
      <c r="J416" s="182">
        <v>18.8662189675</v>
      </c>
      <c r="K416" s="182">
        <v>13.108400383799999</v>
      </c>
      <c r="L416" s="182">
        <v>10.8123653194</v>
      </c>
      <c r="M416" s="182">
        <v>15.1023403009</v>
      </c>
      <c r="N416" s="182">
        <v>10.382563942199999</v>
      </c>
      <c r="O416" s="182">
        <v>15.5035226809</v>
      </c>
      <c r="P416" s="151"/>
    </row>
    <row r="417" spans="1:19">
      <c r="A417" s="240"/>
      <c r="B417" s="123" t="s">
        <v>127</v>
      </c>
      <c r="C417" s="182">
        <v>-25.501952932799998</v>
      </c>
      <c r="D417" s="182">
        <v>-21.3875057447</v>
      </c>
      <c r="E417" s="182">
        <v>12.0135543721</v>
      </c>
      <c r="F417" s="182">
        <v>12.2452130523</v>
      </c>
      <c r="G417" s="182">
        <v>15.0051950839</v>
      </c>
      <c r="H417" s="182">
        <v>-5.3674323135000002</v>
      </c>
      <c r="I417" s="182">
        <v>3.3776366820999999</v>
      </c>
      <c r="J417" s="182">
        <v>-5.9475195433000003</v>
      </c>
      <c r="K417" s="182">
        <v>20.511905126199999</v>
      </c>
      <c r="L417" s="182">
        <v>-14.7022421982</v>
      </c>
      <c r="M417" s="182">
        <v>-27.801700988499999</v>
      </c>
      <c r="N417" s="182">
        <v>-25.084918421099999</v>
      </c>
      <c r="O417" s="182">
        <v>-4.7030104130000003</v>
      </c>
      <c r="P417" s="153">
        <f>O417/C417-1</f>
        <v>-0.81558234283496378</v>
      </c>
    </row>
    <row r="418" spans="1:19">
      <c r="A418" s="240"/>
      <c r="B418" s="123" t="s">
        <v>190</v>
      </c>
      <c r="C418" s="182">
        <v>-1.4266996133000001</v>
      </c>
      <c r="D418" s="182">
        <v>-4.0810580168000001</v>
      </c>
      <c r="E418" s="182">
        <v>64.248668094300001</v>
      </c>
      <c r="F418" s="182">
        <v>22.334454021199999</v>
      </c>
      <c r="G418" s="182">
        <v>8.1725149182999992</v>
      </c>
      <c r="H418" s="182">
        <v>13.4386992617</v>
      </c>
      <c r="I418" s="182">
        <v>30.503105186900001</v>
      </c>
      <c r="J418" s="182">
        <v>8.6680619366999991</v>
      </c>
      <c r="K418" s="182">
        <v>29.5562912143</v>
      </c>
      <c r="L418" s="182">
        <v>0</v>
      </c>
      <c r="M418" s="182">
        <v>0</v>
      </c>
      <c r="N418" s="182">
        <v>0</v>
      </c>
      <c r="O418" s="182">
        <v>0</v>
      </c>
      <c r="P418" s="153">
        <f>O418/C418-1</f>
        <v>-1</v>
      </c>
    </row>
    <row r="419" spans="1:19">
      <c r="A419" s="239"/>
      <c r="B419" s="123" t="s">
        <v>128</v>
      </c>
      <c r="C419" s="182">
        <v>-3.2239345521999998</v>
      </c>
      <c r="D419" s="182">
        <v>-4.1235086641000001</v>
      </c>
      <c r="E419" s="182">
        <v>59.358578694199998</v>
      </c>
      <c r="F419" s="182">
        <v>18.384595549299998</v>
      </c>
      <c r="G419" s="182">
        <v>15.012926886100001</v>
      </c>
      <c r="H419" s="182">
        <v>0.25983211550000002</v>
      </c>
      <c r="I419" s="182">
        <v>32.758575262699999</v>
      </c>
      <c r="J419" s="182">
        <v>15.736337971199999</v>
      </c>
      <c r="K419" s="182">
        <v>44.960934410900002</v>
      </c>
      <c r="L419" s="182">
        <v>25.704341869</v>
      </c>
      <c r="M419" s="182">
        <v>-4.6515428505000003</v>
      </c>
      <c r="N419" s="182">
        <v>-3.6015558592999999</v>
      </c>
      <c r="O419" s="182">
        <v>2.2148005276</v>
      </c>
      <c r="P419" s="153">
        <f>O419/C419-1</f>
        <v>-1.6869868143224647</v>
      </c>
      <c r="R419" s="172">
        <v>39.372424399301003</v>
      </c>
    </row>
    <row r="420" spans="1:19">
      <c r="P420" s="158"/>
      <c r="Q420" s="158"/>
      <c r="R420" s="158"/>
      <c r="S420" s="158"/>
    </row>
    <row r="421" spans="1:19">
      <c r="A421" s="180"/>
      <c r="B421" s="180"/>
      <c r="C421" s="180"/>
      <c r="D421" s="180"/>
      <c r="E421" s="180"/>
      <c r="F421" s="180"/>
      <c r="G421" s="180"/>
      <c r="H421" s="180"/>
      <c r="I421" s="180"/>
      <c r="J421" s="180"/>
      <c r="K421" s="180"/>
      <c r="L421" s="180"/>
      <c r="M421" s="180"/>
      <c r="N421" s="180"/>
      <c r="O421" s="180"/>
      <c r="P421" s="180"/>
      <c r="Q421" s="180"/>
      <c r="R421" s="180"/>
      <c r="S421" s="180"/>
    </row>
    <row r="422" spans="1:19">
      <c r="C422" s="169"/>
      <c r="D422" s="169"/>
      <c r="E422" s="169"/>
      <c r="F422" s="169"/>
      <c r="G422" s="169"/>
      <c r="H422" s="169"/>
      <c r="I422" s="169"/>
      <c r="J422" s="169"/>
      <c r="K422" s="169"/>
      <c r="L422" s="169"/>
      <c r="M422" s="169"/>
      <c r="N422" s="169"/>
      <c r="O422" s="169"/>
    </row>
    <row r="423" spans="1:19" s="113" customFormat="1" ht="15">
      <c r="B423" s="114" t="s">
        <v>213</v>
      </c>
      <c r="C423" s="115"/>
      <c r="D423" s="115"/>
      <c r="E423" s="115"/>
      <c r="F423" s="115"/>
      <c r="G423" s="115"/>
      <c r="H423" s="115"/>
      <c r="I423" s="115"/>
      <c r="J423" s="115"/>
    </row>
    <row r="424" spans="1:19" ht="14.25">
      <c r="A424" s="150"/>
      <c r="B424" s="150"/>
      <c r="C424" s="146" t="s">
        <v>208</v>
      </c>
      <c r="D424" s="146" t="s">
        <v>209</v>
      </c>
      <c r="E424" s="146" t="s">
        <v>210</v>
      </c>
      <c r="F424" s="146" t="s">
        <v>211</v>
      </c>
      <c r="G424" s="146" t="s">
        <v>212</v>
      </c>
      <c r="H424" s="115"/>
      <c r="I424" s="115"/>
      <c r="J424" s="115"/>
      <c r="K424" s="113"/>
      <c r="L424" s="113"/>
    </row>
    <row r="425" spans="1:19" ht="14.25">
      <c r="A425" s="147" t="s">
        <v>8</v>
      </c>
      <c r="B425" s="16" t="s">
        <v>217</v>
      </c>
      <c r="C425" s="182">
        <v>24.861111111111111</v>
      </c>
      <c r="D425" s="182">
        <v>55.000000000000007</v>
      </c>
      <c r="E425" s="182">
        <v>15.416666666666668</v>
      </c>
      <c r="F425" s="182">
        <v>3.8888888888888888</v>
      </c>
      <c r="G425" s="182">
        <v>0.83333333333333337</v>
      </c>
      <c r="H425" s="115"/>
      <c r="I425" s="115"/>
      <c r="J425" s="115"/>
      <c r="K425" s="113"/>
      <c r="L425" s="113"/>
    </row>
    <row r="426" spans="1:19" ht="14.25">
      <c r="A426" s="147" t="s">
        <v>7</v>
      </c>
      <c r="B426" s="16" t="s">
        <v>220</v>
      </c>
      <c r="C426" s="182">
        <v>36.155913978494624</v>
      </c>
      <c r="D426" s="182">
        <v>54.166666666666664</v>
      </c>
      <c r="E426" s="182">
        <v>7.795698924731183</v>
      </c>
      <c r="F426" s="182">
        <v>1.881720430107527</v>
      </c>
      <c r="G426" s="182" t="s">
        <v>131</v>
      </c>
      <c r="H426" s="115"/>
      <c r="I426" s="115"/>
      <c r="J426" s="115"/>
      <c r="K426" s="113"/>
      <c r="L426" s="113"/>
    </row>
    <row r="427" spans="1:19" ht="14.25">
      <c r="A427" s="147" t="s">
        <v>9</v>
      </c>
      <c r="B427" s="16" t="s">
        <v>222</v>
      </c>
      <c r="C427" s="182">
        <v>11.944444444444445</v>
      </c>
      <c r="D427" s="182">
        <v>24.305555555555554</v>
      </c>
      <c r="E427" s="182">
        <v>20.138888888888889</v>
      </c>
      <c r="F427" s="182">
        <v>40.972222222222221</v>
      </c>
      <c r="G427" s="182">
        <v>2.6388888888888888</v>
      </c>
      <c r="H427" s="115"/>
      <c r="I427" s="115"/>
      <c r="J427" s="115"/>
      <c r="K427" s="113"/>
      <c r="L427" s="113"/>
    </row>
    <row r="428" spans="1:19" ht="14.25">
      <c r="A428" s="147" t="s">
        <v>9</v>
      </c>
      <c r="B428" s="16" t="s">
        <v>224</v>
      </c>
      <c r="C428" s="182">
        <v>4.032258064516129</v>
      </c>
      <c r="D428" s="182">
        <v>29.838709677419356</v>
      </c>
      <c r="E428" s="182">
        <v>30.376344086021508</v>
      </c>
      <c r="F428" s="182">
        <v>34.543010752688176</v>
      </c>
      <c r="G428" s="182">
        <v>1.2096774193548387</v>
      </c>
      <c r="H428" s="115"/>
      <c r="I428" s="115"/>
      <c r="J428" s="115"/>
      <c r="K428" s="113"/>
      <c r="L428" s="113"/>
    </row>
    <row r="429" spans="1:19" ht="14.25">
      <c r="A429" s="147" t="s">
        <v>8</v>
      </c>
      <c r="B429" s="16" t="s">
        <v>227</v>
      </c>
      <c r="C429" s="182">
        <v>7.661290322580645</v>
      </c>
      <c r="D429" s="182">
        <v>25.537634408602152</v>
      </c>
      <c r="E429" s="182">
        <v>37.365591397849464</v>
      </c>
      <c r="F429" s="182">
        <v>28.62903225806452</v>
      </c>
      <c r="G429" s="182">
        <v>0.80645161290322576</v>
      </c>
      <c r="H429" s="115"/>
      <c r="I429" s="115"/>
      <c r="J429" s="115"/>
      <c r="K429" s="113"/>
      <c r="L429" s="113"/>
    </row>
    <row r="430" spans="1:19" ht="14.25">
      <c r="A430" s="147" t="s">
        <v>10</v>
      </c>
      <c r="B430" s="16" t="s">
        <v>231</v>
      </c>
      <c r="C430" s="182">
        <v>9.1666666666666661</v>
      </c>
      <c r="D430" s="182">
        <v>31.25</v>
      </c>
      <c r="E430" s="182">
        <v>39.305555555555557</v>
      </c>
      <c r="F430" s="182">
        <v>18.888888888888889</v>
      </c>
      <c r="G430" s="182">
        <v>1.3888888888888888</v>
      </c>
      <c r="H430" s="115"/>
      <c r="I430" s="115"/>
      <c r="J430" s="115"/>
      <c r="K430" s="113"/>
      <c r="L430" s="113"/>
    </row>
    <row r="431" spans="1:19" ht="14.25">
      <c r="A431" s="147" t="s">
        <v>11</v>
      </c>
      <c r="B431" s="16" t="s">
        <v>239</v>
      </c>
      <c r="C431" s="182">
        <v>3.5906040268456376</v>
      </c>
      <c r="D431" s="182">
        <v>27.114093959731544</v>
      </c>
      <c r="E431" s="182">
        <v>31.006711409395969</v>
      </c>
      <c r="F431" s="182">
        <v>34.161073825503358</v>
      </c>
      <c r="G431" s="182">
        <v>4.1275167785234901</v>
      </c>
      <c r="H431" s="115"/>
      <c r="I431" s="115"/>
      <c r="J431" s="115"/>
      <c r="K431" s="113"/>
      <c r="L431" s="113"/>
    </row>
    <row r="432" spans="1:19" ht="14.25">
      <c r="A432" s="147" t="s">
        <v>12</v>
      </c>
      <c r="B432" s="16" t="s">
        <v>240</v>
      </c>
      <c r="C432" s="182">
        <v>2.5</v>
      </c>
      <c r="D432" s="182">
        <v>39.340277777777779</v>
      </c>
      <c r="E432" s="182">
        <v>43.402777777777779</v>
      </c>
      <c r="F432" s="182">
        <v>14.131944444444445</v>
      </c>
      <c r="G432" s="182">
        <v>0.625</v>
      </c>
      <c r="H432" s="115"/>
      <c r="I432" s="115"/>
      <c r="J432" s="115"/>
      <c r="K432" s="113"/>
      <c r="L432" s="113"/>
    </row>
    <row r="433" spans="1:12" ht="14.25">
      <c r="A433" s="147" t="s">
        <v>13</v>
      </c>
      <c r="B433" s="16" t="s">
        <v>242</v>
      </c>
      <c r="C433" s="182"/>
      <c r="D433" s="182">
        <v>15.32258064516129</v>
      </c>
      <c r="E433" s="182">
        <v>64.4489247311828</v>
      </c>
      <c r="F433" s="182">
        <v>19.959677419354836</v>
      </c>
      <c r="G433" s="182">
        <v>0.26881720430107531</v>
      </c>
      <c r="H433" s="115"/>
      <c r="I433" s="115"/>
      <c r="J433" s="115"/>
      <c r="K433" s="113"/>
      <c r="L433" s="113"/>
    </row>
    <row r="434" spans="1:12" ht="14.25">
      <c r="A434" s="147" t="s">
        <v>5</v>
      </c>
      <c r="B434" s="16" t="s">
        <v>246</v>
      </c>
      <c r="C434" s="182">
        <v>2.8561827956989245</v>
      </c>
      <c r="D434" s="182">
        <v>26.512096774193552</v>
      </c>
      <c r="E434" s="182">
        <v>43.346774193548384</v>
      </c>
      <c r="F434" s="182">
        <v>25.60483870967742</v>
      </c>
      <c r="G434" s="182">
        <v>1.6801075268817203</v>
      </c>
      <c r="H434" s="115"/>
      <c r="I434" s="115"/>
      <c r="J434" s="115"/>
      <c r="K434" s="113"/>
      <c r="L434" s="113"/>
    </row>
    <row r="435" spans="1:12" ht="14.25">
      <c r="A435" s="147" t="s">
        <v>6</v>
      </c>
      <c r="B435" s="16" t="s">
        <v>248</v>
      </c>
      <c r="C435" s="182">
        <v>31.659226190476193</v>
      </c>
      <c r="D435" s="182">
        <v>58.816964285714292</v>
      </c>
      <c r="E435" s="182">
        <v>6.510416666666667</v>
      </c>
      <c r="F435" s="182">
        <v>2.864583333333333</v>
      </c>
      <c r="G435" s="182">
        <v>0.14880952380952381</v>
      </c>
      <c r="H435" s="115"/>
      <c r="I435" s="115"/>
      <c r="J435" s="115"/>
      <c r="K435" s="113"/>
      <c r="L435" s="113"/>
    </row>
    <row r="436" spans="1:12" ht="14.25">
      <c r="A436" s="147" t="s">
        <v>7</v>
      </c>
      <c r="B436" s="16" t="s">
        <v>254</v>
      </c>
      <c r="C436" s="182">
        <v>20.861372812920592</v>
      </c>
      <c r="D436" s="182">
        <v>45.289367429340508</v>
      </c>
      <c r="E436" s="182">
        <v>20.928667563930013</v>
      </c>
      <c r="F436" s="182">
        <v>9.4549125168236881</v>
      </c>
      <c r="G436" s="182">
        <v>3.4656796769851947</v>
      </c>
      <c r="H436" s="115"/>
      <c r="I436" s="115"/>
      <c r="J436" s="115"/>
      <c r="K436" s="113"/>
      <c r="L436" s="113"/>
    </row>
    <row r="437" spans="1:12" ht="14.25">
      <c r="A437" s="147" t="s">
        <v>8</v>
      </c>
      <c r="B437" s="16" t="s">
        <v>288</v>
      </c>
      <c r="C437" s="182">
        <v>24.930555555555557</v>
      </c>
      <c r="D437" s="182">
        <v>32.708333333333336</v>
      </c>
      <c r="E437" s="182">
        <v>33.333333333333329</v>
      </c>
      <c r="F437" s="182">
        <v>8.9236111111111107</v>
      </c>
      <c r="G437" s="182">
        <v>0.10416666666666667</v>
      </c>
      <c r="H437" s="115"/>
      <c r="I437" s="115"/>
      <c r="J437" s="115"/>
      <c r="K437" s="113"/>
      <c r="L437" s="113"/>
    </row>
    <row r="438" spans="1:12" ht="14.25">
      <c r="J438" s="115"/>
      <c r="K438" s="113"/>
      <c r="L438" s="113"/>
    </row>
    <row r="439" spans="1:12" ht="14.25">
      <c r="I439" s="115"/>
      <c r="J439" s="115"/>
      <c r="K439" s="113"/>
      <c r="L439" s="113"/>
    </row>
    <row r="440" spans="1:12" ht="14.25">
      <c r="H440" s="115"/>
      <c r="I440" s="115"/>
      <c r="J440" s="115"/>
      <c r="K440" s="113"/>
    </row>
    <row r="441" spans="1:12" ht="14.25">
      <c r="H441" s="115"/>
      <c r="I441" s="115"/>
      <c r="J441" s="115"/>
      <c r="K441" s="113"/>
    </row>
    <row r="450" spans="1:14">
      <c r="A450" s="106" t="s">
        <v>62</v>
      </c>
      <c r="B450" s="85"/>
      <c r="C450" s="85"/>
      <c r="D450" s="85"/>
      <c r="E450" s="85"/>
      <c r="F450" s="85"/>
      <c r="G450" s="85"/>
      <c r="H450" s="85"/>
      <c r="I450" s="85"/>
      <c r="N450" s="138"/>
    </row>
    <row r="451" spans="1:14">
      <c r="A451" s="14"/>
      <c r="B451" s="222" t="s">
        <v>1</v>
      </c>
      <c r="C451" s="222" t="s">
        <v>2</v>
      </c>
      <c r="D451" s="222" t="s">
        <v>25</v>
      </c>
      <c r="E451" s="222" t="s">
        <v>16</v>
      </c>
      <c r="F451" s="222" t="s">
        <v>17</v>
      </c>
      <c r="G451" s="222" t="s">
        <v>178</v>
      </c>
      <c r="H451" s="222" t="s">
        <v>26</v>
      </c>
      <c r="I451" s="222" t="s">
        <v>29</v>
      </c>
      <c r="J451" s="226" t="s">
        <v>117</v>
      </c>
    </row>
    <row r="452" spans="1:14">
      <c r="A452" s="15"/>
      <c r="B452" s="223"/>
      <c r="C452" s="223"/>
      <c r="D452" s="223"/>
      <c r="E452" s="223"/>
      <c r="F452" s="223"/>
      <c r="G452" s="223"/>
      <c r="H452" s="223"/>
      <c r="I452" s="223"/>
      <c r="J452" s="227"/>
    </row>
    <row r="453" spans="1:14">
      <c r="A453" s="107" t="str">
        <f>MID(B43,6,3) &amp; "-" &amp; MID(B43,3,2)</f>
        <v>Abr-25</v>
      </c>
      <c r="B453" s="105">
        <f>VLOOKUP("Mercado Diario",$A$45:$N$64,2,FALSE)</f>
        <v>27.66</v>
      </c>
      <c r="C453" s="105">
        <f>VLOOKUP("Mercado Intradiario",$A$45:$N$64,2,FALSE)</f>
        <v>-0.01</v>
      </c>
      <c r="D453" s="105">
        <f t="shared" ref="D453:D465" si="15">SUM(B453:C453)</f>
        <v>27.65</v>
      </c>
      <c r="E453" s="105">
        <f>SUM(B82:B90)</f>
        <v>17.255999999999997</v>
      </c>
      <c r="F453" s="105">
        <f>VLOOKUP("Pago capacidad",$A$45:$N$64,2,FALSE)</f>
        <v>0.14000000000000001</v>
      </c>
      <c r="G453" s="105">
        <f>VLOOKUP("Mecanismo Ajuste RD-L10/2022 Coste OM",$A$45:$N$64,2,FALSE)+VLOOKUP("Mecanismo Ajuste RD-L10/2022 Coste OS",$A$45:$N$64,2,FALSE)+VLOOKUP("Mecanismo Ajuste RD-L10/2022 Ajuste OS",$A$45:$N$64,2,FALSE)</f>
        <v>0</v>
      </c>
      <c r="H453" s="105">
        <f t="shared" ref="H453:H465" si="16">SUM(D453:G453)</f>
        <v>45.045999999999992</v>
      </c>
      <c r="I453" s="92">
        <f>VLOOKUP("Energía final MWh",$A$45:$N$60,2,FALSE)/1000</f>
        <v>17848.004853999999</v>
      </c>
      <c r="J453" s="190" t="str">
        <f>MID(A453,1,1)</f>
        <v>A</v>
      </c>
      <c r="K453" s="169"/>
    </row>
    <row r="454" spans="1:14">
      <c r="A454" s="107" t="str">
        <f>MID(C43,6,3) &amp; "-" &amp; MID(C43,3,2)</f>
        <v>May-25</v>
      </c>
      <c r="B454" s="105">
        <f>VLOOKUP("Mercado Diario",$A$45:$N$64,3,FALSE)</f>
        <v>17.43</v>
      </c>
      <c r="C454" s="105">
        <f>VLOOKUP("Mercado Intradiario",$A$45:$N$64,3,FALSE)</f>
        <v>-7.0000000000000007E-2</v>
      </c>
      <c r="D454" s="105">
        <f t="shared" si="15"/>
        <v>17.36</v>
      </c>
      <c r="E454" s="105">
        <f>SUM(C82:C90)</f>
        <v>25.38</v>
      </c>
      <c r="F454" s="105">
        <f>VLOOKUP("Pago capacidad",$A$45:$N$64,3,FALSE)</f>
        <v>0.13</v>
      </c>
      <c r="G454" s="105">
        <f>VLOOKUP("Mecanismo Ajuste RD-L10/2022 Coste OM",$A$45:$N$64,3,FALSE)+VLOOKUP("Mecanismo Ajuste RD-L10/2022 Coste OS",$A$45:$N$64,3,FALSE)+VLOOKUP("Mecanismo Ajuste RD-L10/2022 Ajuste OS",$A$45:$N$64,3,FALSE)</f>
        <v>0</v>
      </c>
      <c r="H454" s="105">
        <f t="shared" si="16"/>
        <v>42.87</v>
      </c>
      <c r="I454" s="92">
        <f>VLOOKUP("Energía final MWh",$A$45:$N$60,3,FALSE)/1000</f>
        <v>18602.738697999997</v>
      </c>
      <c r="J454" s="190" t="str">
        <f t="shared" ref="J454:J465" si="17">MID(A454,1,1)</f>
        <v>M</v>
      </c>
      <c r="K454" s="169"/>
    </row>
    <row r="455" spans="1:14">
      <c r="A455" s="107" t="str">
        <f>MID(D43,6,3) &amp; "-" &amp; MID(D43,3,2)</f>
        <v>Jun-25</v>
      </c>
      <c r="B455" s="105">
        <f>VLOOKUP("Mercado Diario",$A$45:$N$64,4,FALSE)</f>
        <v>72.459999999999994</v>
      </c>
      <c r="C455" s="105">
        <f>VLOOKUP("Mercado Intradiario",$A$45:$N$64,4,FALSE)</f>
        <v>-0.13400000000000001</v>
      </c>
      <c r="D455" s="105">
        <f t="shared" si="15"/>
        <v>72.325999999999993</v>
      </c>
      <c r="E455" s="105">
        <f>SUM(D82:D90)</f>
        <v>14.727</v>
      </c>
      <c r="F455" s="105">
        <f>VLOOKUP("Pago capacidad",$A$45:$N$64,4,FALSE)</f>
        <v>0.15</v>
      </c>
      <c r="G455" s="105">
        <f>VLOOKUP("Mecanismo Ajuste RD-L10/2022 Coste OM",$A$45:$N$64,4,FALSE)+VLOOKUP("Mecanismo Ajuste RD-L10/2022 Coste OS",$A$45:$N$64,4,FALSE)+VLOOKUP("Mecanismo Ajuste RD-L10/2022 Ajuste OS",$A$45:$N$64,4,FALSE)</f>
        <v>0</v>
      </c>
      <c r="H455" s="105">
        <f t="shared" si="16"/>
        <v>87.203000000000003</v>
      </c>
      <c r="I455" s="92">
        <f>VLOOKUP("Energía final MWh",$A$45:$N$60,4,FALSE)/1000</f>
        <v>20734.401001999999</v>
      </c>
      <c r="J455" s="190" t="str">
        <f t="shared" si="17"/>
        <v>J</v>
      </c>
    </row>
    <row r="456" spans="1:14">
      <c r="A456" s="107" t="str">
        <f>MID(E43,6,3) &amp; "-" &amp; MID(E43,3,2)</f>
        <v>Jul-25</v>
      </c>
      <c r="B456" s="105">
        <f>VLOOKUP("Mercado Diario",$A$45:$N$64,5,FALSE)</f>
        <v>70.442999999999998</v>
      </c>
      <c r="C456" s="105">
        <f>VLOOKUP("Mercado Intradiario",$A$45:$N$64,5,FALSE)</f>
        <v>-0.15</v>
      </c>
      <c r="D456" s="105">
        <f t="shared" si="15"/>
        <v>70.292999999999992</v>
      </c>
      <c r="E456" s="105">
        <f>SUM(E82:E90)</f>
        <v>14.452999999999998</v>
      </c>
      <c r="F456" s="105">
        <f>VLOOKUP("Pago capacidad",$A$45:$N$64,5,FALSE)</f>
        <v>0.28000000000000003</v>
      </c>
      <c r="G456" s="105">
        <f>VLOOKUP("Mecanismo Ajuste RD-L10/2022 Coste OM",$A$45:$N$64,5,FALSE)+VLOOKUP("Mecanismo Ajuste RD-L10/2022 Coste OS",$A$45:$N$64,5,FALSE)+VLOOKUP("Mecanismo Ajuste RD-L10/2022 Ajuste OS",$A$45:$N$64,5,FALSE)</f>
        <v>0</v>
      </c>
      <c r="H456" s="105">
        <f t="shared" si="16"/>
        <v>85.025999999999996</v>
      </c>
      <c r="I456" s="92">
        <f>VLOOKUP("Energía final MWh",$A$45:$N$60,5,FALSE)/1000</f>
        <v>22211.148852999999</v>
      </c>
      <c r="J456" s="190" t="str">
        <f t="shared" si="17"/>
        <v>J</v>
      </c>
    </row>
    <row r="457" spans="1:14">
      <c r="A457" s="107" t="str">
        <f>MID(F43,6,3) &amp; "-" &amp; MID(F43,3,2)</f>
        <v>Ago-25</v>
      </c>
      <c r="B457" s="105">
        <f>VLOOKUP("Mercado Diario",$A$45:$N$64,6,FALSE)</f>
        <v>67.97</v>
      </c>
      <c r="C457" s="105">
        <f>VLOOKUP("Mercado Intradiario",$A$45:$N$64,6,FALSE)</f>
        <v>-0.1</v>
      </c>
      <c r="D457" s="105">
        <f t="shared" si="15"/>
        <v>67.87</v>
      </c>
      <c r="E457" s="105">
        <f>SUM(F82:F90)</f>
        <v>13.059999999999999</v>
      </c>
      <c r="F457" s="105">
        <f>VLOOKUP("Pago capacidad",$A$45:$N$64,6,FALSE)</f>
        <v>0.14000000000000001</v>
      </c>
      <c r="G457" s="105">
        <f>VLOOKUP("Mecanismo Ajuste RD-L10/2022 Coste OM",$A$45:$N$64,6,FALSE)+VLOOKUP("Mecanismo Ajuste RD-L10/2022 Coste OS",$A$45:$N$64,6,FALSE)+VLOOKUP("Mecanismo Ajuste RD-L10/2022 Ajuste OS",$A$45:$N$64,6,FALSE)</f>
        <v>0</v>
      </c>
      <c r="H457" s="105">
        <f t="shared" si="16"/>
        <v>81.070000000000007</v>
      </c>
      <c r="I457" s="92">
        <f>VLOOKUP("Energía final MWh",$A$45:$N$60,6,FALSE)/1000</f>
        <v>20983.429715999999</v>
      </c>
      <c r="J457" s="190" t="str">
        <f t="shared" si="17"/>
        <v>A</v>
      </c>
    </row>
    <row r="458" spans="1:14">
      <c r="A458" s="107" t="str">
        <f>MID(G43,6,3) &amp; "-" &amp; MID(G43,3,2)</f>
        <v>Sep-25</v>
      </c>
      <c r="B458" s="105">
        <f>VLOOKUP("Mercado Diario",$A$45:$N$64,7,FALSE)</f>
        <v>60.85</v>
      </c>
      <c r="C458" s="105">
        <f>VLOOKUP("Mercado Intradiario",$A$45:$N$64,7,FALSE)</f>
        <v>-0.14000000000000001</v>
      </c>
      <c r="D458" s="105">
        <f t="shared" si="15"/>
        <v>60.71</v>
      </c>
      <c r="E458" s="105">
        <f>SUM(G82:G90)</f>
        <v>16.370000000000005</v>
      </c>
      <c r="F458" s="105">
        <f>VLOOKUP("Pago capacidad",$A$45:$N$64,7,FALSE)</f>
        <v>0.15</v>
      </c>
      <c r="G458" s="105">
        <f>VLOOKUP("Mecanismo Ajuste RD-L10/2022 Coste OM",$A$45:$N$64,7,FALSE)+VLOOKUP("Mecanismo Ajuste RD-L10/2022 Coste OS",$A$45:$N$64,7,FALSE)+VLOOKUP("Mecanismo Ajuste RD-L10/2022 Ajuste OS",$A$45:$N$64,7,FALSE)</f>
        <v>0</v>
      </c>
      <c r="H458" s="105">
        <f t="shared" si="16"/>
        <v>77.230000000000018</v>
      </c>
      <c r="I458" s="92">
        <f>VLOOKUP("Energía final MWh",$A$45:$N$60,7,FALSE)/1000</f>
        <v>19609.999136999999</v>
      </c>
      <c r="J458" s="190" t="str">
        <f t="shared" si="17"/>
        <v>S</v>
      </c>
    </row>
    <row r="459" spans="1:14">
      <c r="A459" s="107" t="str">
        <f>MID(H43,6,3) &amp; "-" &amp; MID(H43,3,2)</f>
        <v>Oct-25</v>
      </c>
      <c r="B459" s="105">
        <f>VLOOKUP("Mercado Diario",$A$45:$N$64,8,FALSE)</f>
        <v>76.650000000000006</v>
      </c>
      <c r="C459" s="105">
        <f>VLOOKUP("Mercado Intradiario",$A$45:$N$64,8,FALSE)</f>
        <v>-0.21</v>
      </c>
      <c r="D459" s="105">
        <f t="shared" si="15"/>
        <v>76.440000000000012</v>
      </c>
      <c r="E459" s="105">
        <f>SUM(H82:H90)</f>
        <v>17.375999999999994</v>
      </c>
      <c r="F459" s="105">
        <f>VLOOKUP("Pago capacidad",$A$45:$N$64,8,FALSE)</f>
        <v>0.14000000000000001</v>
      </c>
      <c r="G459" s="105">
        <f>VLOOKUP("Mecanismo Ajuste RD-L10/2022 Coste OM",$A$45:$N$64,8,FALSE)+VLOOKUP("Mecanismo Ajuste RD-L10/2022 Coste OS",$A$45:$N$64,8,FALSE)+VLOOKUP("Mecanismo Ajuste RD-L10/2022 Ajuste OS",$A$45:$N$64,8,FALSE)</f>
        <v>0</v>
      </c>
      <c r="H459" s="105">
        <f t="shared" si="16"/>
        <v>93.956000000000003</v>
      </c>
      <c r="I459" s="92">
        <f>VLOOKUP("Energía final MWh",$A$45:$N$60,8,FALSE)/1000</f>
        <v>19196.58944</v>
      </c>
      <c r="J459" s="190" t="str">
        <f t="shared" si="17"/>
        <v>O</v>
      </c>
    </row>
    <row r="460" spans="1:14">
      <c r="A460" s="107" t="str">
        <f>MID(I43,6,3) &amp; "-" &amp; MID(I43,3,2)</f>
        <v>Nov-25</v>
      </c>
      <c r="B460" s="105">
        <f>VLOOKUP("Mercado Diario",$A$45:$N$64,9,FALSE)</f>
        <v>60.523000000000003</v>
      </c>
      <c r="C460" s="105">
        <f>VLOOKUP("Mercado Intradiario",$A$45:$N$64,9,FALSE)</f>
        <v>-0.21</v>
      </c>
      <c r="D460" s="105">
        <f t="shared" si="15"/>
        <v>60.313000000000002</v>
      </c>
      <c r="E460" s="105">
        <f>SUM(I82:I90)</f>
        <v>16.023</v>
      </c>
      <c r="F460" s="105">
        <f>VLOOKUP("Pago capacidad",$A$45:$N$64,9,FALSE)</f>
        <v>0.18</v>
      </c>
      <c r="G460" s="105">
        <f>VLOOKUP("Mecanismo Ajuste RD-L10/2022 Coste OM",$A$45:$N$64,9,FALSE)+VLOOKUP("Mecanismo Ajuste RD-L10/2022 Coste OS",$A$45:$N$64,9,FALSE)+VLOOKUP("Mecanismo Ajuste RD-L10/2022 Ajuste OS",$A$45:$N$64,9,FALSE)</f>
        <v>0</v>
      </c>
      <c r="H460" s="105">
        <f t="shared" si="16"/>
        <v>76.516000000000005</v>
      </c>
      <c r="I460" s="92">
        <f>VLOOKUP("Energía final MWh",$A$45:$N$60,9,FALSE)/1000</f>
        <v>19892.075153000002</v>
      </c>
      <c r="J460" s="190" t="str">
        <f t="shared" si="17"/>
        <v>N</v>
      </c>
    </row>
    <row r="461" spans="1:14">
      <c r="A461" s="107" t="str">
        <f>MID(J43,6,3) &amp; "-" &amp; MID(J43,3,2)</f>
        <v>Dic-25</v>
      </c>
      <c r="B461" s="105">
        <f>VLOOKUP("Mercado Diario",$A$45:$N$64,10,FALSE)</f>
        <v>80.186000000000007</v>
      </c>
      <c r="C461" s="105">
        <f>VLOOKUP("Mercado Intradiario",$A$45:$N$64,10,FALSE)</f>
        <v>-0.2</v>
      </c>
      <c r="D461" s="105">
        <f t="shared" si="15"/>
        <v>79.986000000000004</v>
      </c>
      <c r="E461" s="105">
        <f>SUM(J82:J90)</f>
        <v>13.666</v>
      </c>
      <c r="F461" s="105">
        <f>VLOOKUP("Pago capacidad",$A$45:$N$64,10,FALSE)</f>
        <v>0.27</v>
      </c>
      <c r="G461" s="105">
        <f>VLOOKUP("Mecanismo Ajuste RD-L10/2022 Coste OM",$A$45:$N$64,10,FALSE)+VLOOKUP("Mecanismo Ajuste RD-L10/2022 Coste OS",$A$45:$N$64,10,FALSE)+VLOOKUP("Mecanismo Ajuste RD-L10/2022 Ajuste OS",$A$45:$N$64,10,FALSE)</f>
        <v>0</v>
      </c>
      <c r="H461" s="105">
        <f t="shared" si="16"/>
        <v>93.921999999999997</v>
      </c>
      <c r="I461" s="92">
        <f>VLOOKUP("Energía final MWh",$A$45:$N$60,10,FALSE)/1000</f>
        <v>21396.364586</v>
      </c>
      <c r="J461" s="190" t="str">
        <f t="shared" si="17"/>
        <v>D</v>
      </c>
    </row>
    <row r="462" spans="1:14">
      <c r="A462" s="107" t="str">
        <f>MID(K43,6,3) &amp; "-" &amp; MID(K43,3,2)</f>
        <v>Ene-26</v>
      </c>
      <c r="B462" s="105">
        <f>VLOOKUP("Mercado Diario",$A$45:$N$64,11,FALSE)</f>
        <v>73.48</v>
      </c>
      <c r="C462" s="105">
        <f>VLOOKUP("Mercado Intradiario",$A$45:$N$64,11,FALSE)</f>
        <v>-0.13</v>
      </c>
      <c r="D462" s="105">
        <f t="shared" si="15"/>
        <v>73.350000000000009</v>
      </c>
      <c r="E462" s="105">
        <f>SUM(K82:K90)</f>
        <v>14.334000000000001</v>
      </c>
      <c r="F462" s="105">
        <f>VLOOKUP("Pago capacidad",$A$45:$N$64,11,FALSE)</f>
        <v>0.24</v>
      </c>
      <c r="G462" s="105">
        <f>VLOOKUP("Mecanismo Ajuste RD-L10/2022 Coste OM",$A$45:$N$64,11,FALSE)+VLOOKUP("Mecanismo Ajuste RD-L10/2022 Coste OS",$A$45:$N$64,11,FALSE)+VLOOKUP("Mecanismo Ajuste RD-L10/2022 Ajuste OS",$A$45:$N$64,11,FALSE)</f>
        <v>0</v>
      </c>
      <c r="H462" s="105">
        <f t="shared" si="16"/>
        <v>87.924000000000007</v>
      </c>
      <c r="I462" s="92">
        <f>VLOOKUP("Energía final MWh",$A$45:$N$60,11,FALSE)/1000</f>
        <v>22790.441230999997</v>
      </c>
      <c r="J462" s="190" t="str">
        <f t="shared" si="17"/>
        <v>E</v>
      </c>
    </row>
    <row r="463" spans="1:14">
      <c r="A463" s="107" t="str">
        <f>MID(L43,6,3) &amp; "-" &amp; MID(L43,3,2)</f>
        <v>Feb-26</v>
      </c>
      <c r="B463" s="105">
        <f>VLOOKUP("Mercado Diario",$A$45:$N$64,12,FALSE)</f>
        <v>17.940000000000001</v>
      </c>
      <c r="C463" s="105">
        <f>VLOOKUP("Mercado Intradiario",$A$45:$N$64,12,FALSE)</f>
        <v>-0.17</v>
      </c>
      <c r="D463" s="105">
        <f t="shared" si="15"/>
        <v>17.77</v>
      </c>
      <c r="E463" s="105">
        <f>SUM(L82:L90)</f>
        <v>23.91</v>
      </c>
      <c r="F463" s="105">
        <f>VLOOKUP("Pago capacidad",$A$45:$N$64,12,FALSE)</f>
        <v>0.26</v>
      </c>
      <c r="G463" s="105">
        <f>VLOOKUP("Mecanismo Ajuste RD-L10/2022 Coste OM",$A$45:$N$64,12,FALSE)+VLOOKUP("Mecanismo Ajuste RD-L10/2022 Coste OS",$A$45:$N$64,12,FALSE)+VLOOKUP("Mecanismo Ajuste RD-L10/2022 Ajuste OS",$A$45:$N$64,12,FALSE)</f>
        <v>0</v>
      </c>
      <c r="H463" s="105">
        <f t="shared" si="16"/>
        <v>41.94</v>
      </c>
      <c r="I463" s="92">
        <f>VLOOKUP("Energía final MWh",$A$45:$N$60,12,FALSE)/1000</f>
        <v>19587.221914000002</v>
      </c>
      <c r="J463" s="190" t="str">
        <f t="shared" si="17"/>
        <v>F</v>
      </c>
    </row>
    <row r="464" spans="1:14">
      <c r="A464" s="107" t="str">
        <f>MID(M43,6,3) &amp; "-" &amp; MID(M43,3,2)</f>
        <v>Mar-26</v>
      </c>
      <c r="B464" s="105">
        <f>VLOOKUP("Mercado Diario",$A$45:$N$64,13,FALSE)</f>
        <v>44.6</v>
      </c>
      <c r="C464" s="105">
        <f>VLOOKUP("Mercado Intradiario",$A$45:$N$64,13,FALSE)</f>
        <v>-0.14000000000000001</v>
      </c>
      <c r="D464" s="105">
        <f t="shared" si="15"/>
        <v>44.46</v>
      </c>
      <c r="E464" s="105">
        <f>SUM(M82:M90)</f>
        <v>27.84</v>
      </c>
      <c r="F464" s="105">
        <f>VLOOKUP("Pago capacidad",$A$45:$N$64,13,FALSE)</f>
        <v>0.17</v>
      </c>
      <c r="G464" s="105"/>
      <c r="H464" s="105">
        <f t="shared" si="16"/>
        <v>72.47</v>
      </c>
      <c r="I464" s="92">
        <f>VLOOKUP("Energía final MWh",$A$45:$N$60,13,FALSE)/1000</f>
        <v>20284.271482</v>
      </c>
      <c r="J464" s="190" t="str">
        <f t="shared" si="17"/>
        <v>M</v>
      </c>
      <c r="K464" s="126"/>
      <c r="N464" t="s">
        <v>179</v>
      </c>
    </row>
    <row r="465" spans="1:15">
      <c r="A465" s="108" t="str">
        <f>MID(N43,6,3) &amp; "-" &amp; MID(N43,3,2)</f>
        <v>Abr-26</v>
      </c>
      <c r="B465" s="104">
        <f>VLOOKUP("Mercado Diario",$A$45:$N$64,14,FALSE)</f>
        <v>43.793999999999997</v>
      </c>
      <c r="C465" s="104">
        <f>VLOOKUP("Mercado Intradiario",$A$45:$N$64,14,FALSE)</f>
        <v>-0.09</v>
      </c>
      <c r="D465" s="104">
        <f t="shared" si="15"/>
        <v>43.703999999999994</v>
      </c>
      <c r="E465" s="104">
        <f>SUM(N82:N90)</f>
        <v>21.285999999999998</v>
      </c>
      <c r="F465" s="104">
        <f>VLOOKUP("Pago capacidad",$A$45:$N$64,14,FALSE)</f>
        <v>0.13</v>
      </c>
      <c r="G465" s="104"/>
      <c r="H465" s="104">
        <f t="shared" si="16"/>
        <v>65.11999999999999</v>
      </c>
      <c r="I465" s="109">
        <f>VLOOKUP("Energía final MWh",$A$45:$N$60,14,FALSE)/1000</f>
        <v>17877.538102999999</v>
      </c>
      <c r="J465" s="191" t="str">
        <f t="shared" si="17"/>
        <v>A</v>
      </c>
      <c r="K465" s="49">
        <f>(H465/H464-1)*100</f>
        <v>-10.14212777701119</v>
      </c>
      <c r="L465" s="49">
        <f>(H465/H453-1)*100</f>
        <v>44.56333525729255</v>
      </c>
      <c r="M465" s="49">
        <f>H465/H453</f>
        <v>1.4456333525729255</v>
      </c>
      <c r="N465" s="138">
        <f>E465/H465</f>
        <v>0.32687346437346437</v>
      </c>
    </row>
    <row r="466" spans="1:15">
      <c r="D466" s="138"/>
      <c r="E466" s="138"/>
      <c r="F466" s="138"/>
      <c r="G466" s="138"/>
      <c r="H466" s="138"/>
    </row>
    <row r="467" spans="1:15">
      <c r="D467" s="138"/>
      <c r="E467" s="173"/>
      <c r="F467" s="138"/>
      <c r="G467" s="138"/>
    </row>
    <row r="473" spans="1:15">
      <c r="C473" s="62"/>
      <c r="D473" s="62"/>
      <c r="E473" s="62"/>
      <c r="F473" s="62"/>
      <c r="G473" s="62"/>
      <c r="H473" s="62"/>
      <c r="I473" s="62"/>
      <c r="J473" s="62"/>
      <c r="K473" s="62"/>
      <c r="L473" s="62"/>
      <c r="M473" s="62"/>
      <c r="N473" s="62"/>
      <c r="O473" s="62"/>
    </row>
    <row r="475" spans="1:15">
      <c r="C475" s="62"/>
      <c r="D475" s="62"/>
      <c r="E475" s="62"/>
      <c r="F475" s="62"/>
      <c r="G475" s="62"/>
      <c r="H475" s="62"/>
      <c r="I475" s="62"/>
      <c r="J475" s="62"/>
      <c r="K475" s="62"/>
      <c r="L475" s="62"/>
      <c r="M475" s="62"/>
      <c r="N475" s="62"/>
      <c r="O475" s="62"/>
    </row>
    <row r="477" spans="1:15">
      <c r="C477" s="62"/>
      <c r="D477" s="62"/>
      <c r="E477" s="62"/>
      <c r="F477" s="62"/>
      <c r="G477" s="62"/>
      <c r="H477" s="62"/>
      <c r="I477" s="62"/>
      <c r="J477" s="62"/>
      <c r="K477" s="62"/>
      <c r="L477" s="62"/>
      <c r="M477" s="62"/>
      <c r="N477" s="62"/>
      <c r="O477" s="62"/>
    </row>
    <row r="479" spans="1:15">
      <c r="C479" s="62"/>
      <c r="D479" s="62"/>
      <c r="E479" s="62"/>
      <c r="F479" s="62"/>
      <c r="G479" s="62"/>
      <c r="H479" s="62"/>
      <c r="I479" s="62"/>
      <c r="J479" s="62"/>
      <c r="K479" s="62"/>
      <c r="L479" s="62"/>
      <c r="M479" s="62"/>
      <c r="N479" s="62"/>
      <c r="O479" s="62"/>
    </row>
    <row r="481" spans="3:15">
      <c r="C481" s="62"/>
      <c r="D481" s="62"/>
      <c r="E481" s="62"/>
      <c r="F481" s="62"/>
      <c r="G481" s="62"/>
      <c r="H481" s="62"/>
      <c r="I481" s="62"/>
      <c r="J481" s="62"/>
      <c r="K481" s="62"/>
      <c r="L481" s="62"/>
      <c r="M481" s="62"/>
      <c r="N481" s="62"/>
      <c r="O481" s="62"/>
    </row>
    <row r="739" ht="37.5" customHeight="1"/>
    <row r="740" ht="37.5" customHeight="1"/>
  </sheetData>
  <mergeCells count="39">
    <mergeCell ref="A416:A419"/>
    <mergeCell ref="A412:A415"/>
    <mergeCell ref="C409:O409"/>
    <mergeCell ref="A404:A405"/>
    <mergeCell ref="A322:A325"/>
    <mergeCell ref="A339:A357"/>
    <mergeCell ref="A358:A376"/>
    <mergeCell ref="B326:B327"/>
    <mergeCell ref="C336:O336"/>
    <mergeCell ref="B328:B329"/>
    <mergeCell ref="A326:A329"/>
    <mergeCell ref="A402:A403"/>
    <mergeCell ref="C399:O399"/>
    <mergeCell ref="D319:P319"/>
    <mergeCell ref="A217:A235"/>
    <mergeCell ref="A198:A216"/>
    <mergeCell ref="B324:B325"/>
    <mergeCell ref="A154:A173"/>
    <mergeCell ref="A134:A153"/>
    <mergeCell ref="A260:A278"/>
    <mergeCell ref="A279:A297"/>
    <mergeCell ref="B4:AB4"/>
    <mergeCell ref="B5:AB5"/>
    <mergeCell ref="E451:E452"/>
    <mergeCell ref="B41:N41"/>
    <mergeCell ref="B451:B452"/>
    <mergeCell ref="H451:H452"/>
    <mergeCell ref="J451:J452"/>
    <mergeCell ref="D451:D452"/>
    <mergeCell ref="G451:G452"/>
    <mergeCell ref="I451:I452"/>
    <mergeCell ref="F451:F452"/>
    <mergeCell ref="B118:C118"/>
    <mergeCell ref="C451:C452"/>
    <mergeCell ref="C195:O195"/>
    <mergeCell ref="C131:O131"/>
    <mergeCell ref="B188:N188"/>
    <mergeCell ref="C257:O257"/>
    <mergeCell ref="B322:B323"/>
  </mergeCells>
  <phoneticPr fontId="72" type="noConversion"/>
  <conditionalFormatting sqref="L94">
    <cfRule type="cellIs" dxfId="0" priority="1" operator="notEqual">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zoomScale="99" zoomScaleNormal="99" workbookViewId="0">
      <selection activeCell="G19" sqref="G19"/>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4"/>
      <c r="D2" s="94"/>
      <c r="E2" s="175" t="s">
        <v>31</v>
      </c>
    </row>
    <row r="3" spans="2:8" ht="15" customHeight="1">
      <c r="C3" s="94"/>
      <c r="D3" s="94"/>
      <c r="E3" s="18" t="str">
        <f>Dat_01!A2</f>
        <v>Abril 2026</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5"/>
      <c r="D7" s="9"/>
      <c r="E7" s="9"/>
    </row>
    <row r="8" spans="2:8" s="1" customFormat="1" ht="12.6" customHeight="1">
      <c r="B8" s="2"/>
      <c r="C8" s="96"/>
      <c r="D8" s="97" t="s">
        <v>65</v>
      </c>
      <c r="E8" s="98" t="s">
        <v>37</v>
      </c>
      <c r="F8" s="99"/>
      <c r="G8" s="74"/>
    </row>
    <row r="9" spans="2:8" s="1" customFormat="1" ht="12.6" customHeight="1">
      <c r="B9" s="2"/>
      <c r="C9" s="96"/>
      <c r="D9" s="97" t="s">
        <v>65</v>
      </c>
      <c r="E9" s="98" t="s">
        <v>214</v>
      </c>
      <c r="F9" s="99"/>
      <c r="G9" s="74"/>
    </row>
    <row r="10" spans="2:8" s="1" customFormat="1" ht="12.6" customHeight="1">
      <c r="B10" s="2"/>
      <c r="C10" s="96"/>
      <c r="D10" s="97" t="s">
        <v>65</v>
      </c>
      <c r="E10" s="98" t="s">
        <v>66</v>
      </c>
      <c r="F10" s="99"/>
      <c r="H10" s="94"/>
    </row>
    <row r="11" spans="2:8" s="1" customFormat="1" ht="12.6" customHeight="1">
      <c r="B11" s="2"/>
      <c r="C11" s="96"/>
      <c r="D11" s="97" t="s">
        <v>65</v>
      </c>
      <c r="E11" s="98" t="s">
        <v>67</v>
      </c>
      <c r="F11" s="99"/>
      <c r="H11" s="94"/>
    </row>
    <row r="12" spans="2:8" s="1" customFormat="1" ht="12.6" customHeight="1">
      <c r="B12" s="2"/>
      <c r="C12" s="96"/>
      <c r="D12" s="97" t="s">
        <v>65</v>
      </c>
      <c r="E12" s="98" t="s">
        <v>28</v>
      </c>
      <c r="F12" s="99"/>
    </row>
    <row r="13" spans="2:8" s="1" customFormat="1" ht="12.6" customHeight="1">
      <c r="B13" s="2"/>
      <c r="C13" s="96"/>
      <c r="D13" s="97" t="s">
        <v>65</v>
      </c>
      <c r="E13" s="98" t="s">
        <v>68</v>
      </c>
      <c r="F13" s="99"/>
    </row>
    <row r="14" spans="2:8" s="1" customFormat="1" ht="12.6" customHeight="1">
      <c r="B14" s="2"/>
      <c r="C14" s="96"/>
      <c r="D14" s="97" t="s">
        <v>65</v>
      </c>
      <c r="E14" s="98" t="s">
        <v>168</v>
      </c>
      <c r="F14" s="99"/>
    </row>
    <row r="15" spans="2:8" s="1" customFormat="1" ht="12.6" customHeight="1">
      <c r="B15" s="2"/>
      <c r="C15" s="96"/>
      <c r="D15" s="97" t="s">
        <v>65</v>
      </c>
      <c r="E15" s="98" t="s">
        <v>35</v>
      </c>
      <c r="F15" s="99"/>
    </row>
    <row r="16" spans="2:8" s="1" customFormat="1" ht="12.6" customHeight="1">
      <c r="B16" s="2"/>
      <c r="C16" s="96"/>
      <c r="D16" s="97" t="s">
        <v>65</v>
      </c>
      <c r="E16" s="98" t="s">
        <v>205</v>
      </c>
      <c r="F16" s="99"/>
    </row>
    <row r="17" spans="2:6" s="1" customFormat="1" ht="12.6" customHeight="1">
      <c r="B17" s="2"/>
      <c r="C17" s="96"/>
      <c r="D17" s="97" t="s">
        <v>65</v>
      </c>
      <c r="E17" s="98" t="s">
        <v>64</v>
      </c>
      <c r="F17" s="99"/>
    </row>
    <row r="18" spans="2:6" s="1" customFormat="1" ht="12.6" customHeight="1">
      <c r="B18" s="2"/>
      <c r="C18" s="96"/>
      <c r="D18" s="97" t="s">
        <v>65</v>
      </c>
      <c r="E18" s="98" t="s">
        <v>3</v>
      </c>
      <c r="F18" s="99"/>
    </row>
    <row r="19" spans="2:6" s="1" customFormat="1" ht="12.6" customHeight="1">
      <c r="B19" s="2"/>
      <c r="C19" s="96"/>
      <c r="D19" s="97" t="s">
        <v>65</v>
      </c>
      <c r="E19" s="98" t="s">
        <v>147</v>
      </c>
      <c r="F19" s="99"/>
    </row>
    <row r="20" spans="2:6" s="1" customFormat="1" ht="12.6" customHeight="1">
      <c r="B20" s="2"/>
      <c r="C20" s="96"/>
      <c r="D20" s="97" t="s">
        <v>65</v>
      </c>
      <c r="E20" s="98" t="s">
        <v>145</v>
      </c>
      <c r="F20" s="99"/>
    </row>
    <row r="21" spans="2:6" s="1" customFormat="1" ht="12.6" customHeight="1">
      <c r="B21" s="2"/>
      <c r="C21" s="96"/>
      <c r="D21" s="100" t="s">
        <v>65</v>
      </c>
      <c r="E21" s="98" t="s">
        <v>24</v>
      </c>
      <c r="F21" s="99"/>
    </row>
    <row r="22" spans="2:6" s="1" customFormat="1" ht="8.25" customHeight="1">
      <c r="B22" s="2"/>
      <c r="C22" s="96"/>
      <c r="D22" s="100"/>
      <c r="E22" s="101"/>
      <c r="F22" s="99"/>
    </row>
    <row r="23" spans="2:6" ht="11.25" customHeight="1"/>
    <row r="24" spans="2:6">
      <c r="C24" s="102" t="s">
        <v>199</v>
      </c>
      <c r="E24" s="1"/>
    </row>
    <row r="27" spans="2:6">
      <c r="E27" s="3"/>
    </row>
    <row r="28" spans="2:6">
      <c r="E28" s="3"/>
    </row>
    <row r="29" spans="2:6">
      <c r="E29" s="3"/>
    </row>
    <row r="30" spans="2:6">
      <c r="E30" s="6"/>
    </row>
    <row r="31" spans="2:6">
      <c r="E31" s="103"/>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Abril 2026</v>
      </c>
    </row>
    <row r="4" spans="3:12" ht="12.75">
      <c r="C4" s="19" t="s">
        <v>30</v>
      </c>
    </row>
    <row r="5" spans="3:12" ht="11.25">
      <c r="C5" s="3"/>
    </row>
    <row r="6" spans="3:12" ht="11.25">
      <c r="C6" s="4"/>
    </row>
    <row r="7" spans="3:12" ht="10.5" customHeight="1">
      <c r="C7" s="217" t="s">
        <v>37</v>
      </c>
    </row>
    <row r="8" spans="3:12" ht="10.5" customHeight="1">
      <c r="C8" s="217"/>
    </row>
    <row r="9" spans="3:12" ht="10.5" customHeight="1">
      <c r="C9" s="48" t="s">
        <v>14</v>
      </c>
    </row>
    <row r="10" spans="3:12" ht="10.5" customHeight="1"/>
    <row r="11" spans="3:12" ht="10.5" customHeight="1">
      <c r="C11" s="48"/>
    </row>
    <row r="12" spans="3:12" ht="10.5" customHeight="1">
      <c r="C12" s="48"/>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118" zoomScaleNormal="118" workbookViewId="0">
      <selection activeCell="K9" sqref="K9"/>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Abril 2026</v>
      </c>
      <c r="F3"/>
    </row>
    <row r="4" spans="2:8" s="1" customFormat="1" ht="20.100000000000001" customHeight="1">
      <c r="B4" s="2"/>
      <c r="C4" s="117" t="s">
        <v>30</v>
      </c>
    </row>
    <row r="5" spans="2:8" s="1" customFormat="1" ht="12.6" customHeight="1">
      <c r="B5" s="2"/>
      <c r="C5" s="3"/>
    </row>
    <row r="6" spans="2:8" s="1" customFormat="1" ht="13.35" customHeight="1">
      <c r="B6" s="2"/>
      <c r="C6" s="4"/>
      <c r="D6" s="5"/>
      <c r="E6" s="5"/>
    </row>
    <row r="7" spans="2:8" s="1" customFormat="1" ht="12.75" customHeight="1">
      <c r="B7" s="2"/>
      <c r="C7" s="217" t="s">
        <v>215</v>
      </c>
      <c r="D7" s="5"/>
      <c r="E7" s="6"/>
      <c r="H7" s="127"/>
    </row>
    <row r="8" spans="2:8" s="1" customFormat="1" ht="12.75" customHeight="1">
      <c r="B8" s="2"/>
      <c r="C8" s="217"/>
      <c r="D8" s="5"/>
      <c r="E8" s="6"/>
    </row>
    <row r="9" spans="2:8" s="1" customFormat="1">
      <c r="B9" s="2"/>
      <c r="C9" s="217"/>
      <c r="D9" s="5"/>
      <c r="E9" s="6"/>
    </row>
    <row r="10" spans="2:8" s="1" customFormat="1" ht="12.75" customHeight="1">
      <c r="B10" s="2"/>
      <c r="C10" s="217"/>
      <c r="D10" s="5"/>
      <c r="E10" s="6"/>
    </row>
    <row r="11" spans="2:8" s="1" customFormat="1" ht="12.75" customHeight="1">
      <c r="B11" s="2"/>
      <c r="C11" s="8"/>
      <c r="D11" s="5"/>
      <c r="E11" s="6"/>
      <c r="F11" s="50"/>
    </row>
    <row r="12" spans="2:8" s="1" customFormat="1" ht="12.75" customHeight="1">
      <c r="B12" s="2"/>
      <c r="C12" s="38"/>
      <c r="D12" s="5"/>
      <c r="E12" s="6"/>
      <c r="F12" s="50"/>
    </row>
    <row r="13" spans="2:8" s="1" customFormat="1" ht="12.75" customHeight="1">
      <c r="B13" s="2"/>
      <c r="C13" s="4"/>
      <c r="D13" s="5"/>
      <c r="E13" s="6"/>
      <c r="F13" s="50"/>
    </row>
    <row r="14" spans="2:8" s="1" customFormat="1" ht="12.75" customHeight="1">
      <c r="B14" s="2"/>
      <c r="C14" s="4"/>
      <c r="D14" s="5"/>
      <c r="E14" s="6"/>
      <c r="F14" s="50"/>
    </row>
    <row r="15" spans="2:8" s="1" customFormat="1" ht="12.75" customHeight="1">
      <c r="B15" s="2"/>
      <c r="C15" s="4"/>
      <c r="D15" s="5"/>
      <c r="E15" s="6"/>
      <c r="F15" s="50"/>
    </row>
    <row r="16" spans="2:8" s="1" customFormat="1" ht="12.75" customHeight="1">
      <c r="B16" s="2"/>
      <c r="C16" s="4"/>
      <c r="D16" s="5"/>
      <c r="E16" s="6"/>
      <c r="F16" s="50"/>
    </row>
    <row r="17" spans="2:13" s="1" customFormat="1" ht="12.75" customHeight="1">
      <c r="B17" s="2"/>
      <c r="C17" s="4"/>
      <c r="D17" s="5"/>
      <c r="E17" s="6"/>
      <c r="F17" s="50"/>
    </row>
    <row r="18" spans="2:13" s="1" customFormat="1" ht="12.75" customHeight="1">
      <c r="B18" s="2"/>
      <c r="C18" s="4"/>
      <c r="D18" s="5"/>
      <c r="E18" s="6"/>
      <c r="F18" s="50"/>
    </row>
    <row r="19" spans="2:13" s="1" customFormat="1" ht="12.75" customHeight="1">
      <c r="B19" s="2"/>
      <c r="C19" s="4"/>
      <c r="D19" s="5"/>
      <c r="E19" s="6"/>
      <c r="F19" s="50"/>
    </row>
    <row r="20" spans="2:13" s="1" customFormat="1" ht="12.75" customHeight="1">
      <c r="B20" s="2"/>
      <c r="C20" s="4"/>
      <c r="D20" s="5"/>
      <c r="E20" s="6"/>
      <c r="F20" s="50"/>
    </row>
    <row r="21" spans="2:13" s="1" customFormat="1" ht="12.75" customHeight="1">
      <c r="B21" s="2"/>
      <c r="C21" s="4"/>
      <c r="D21" s="5"/>
      <c r="E21" s="6"/>
      <c r="F21" s="50"/>
    </row>
    <row r="22" spans="2:13">
      <c r="E22" s="6"/>
      <c r="F22" s="50"/>
    </row>
    <row r="23" spans="2:13">
      <c r="E23" s="6"/>
      <c r="F23" s="50"/>
    </row>
    <row r="24" spans="2:13">
      <c r="E24" s="6"/>
      <c r="F24" s="1"/>
      <c r="G24" s="1"/>
      <c r="H24" s="1"/>
    </row>
    <row r="25" spans="2:13">
      <c r="E25" s="6"/>
      <c r="F25" s="1"/>
      <c r="G25" s="1"/>
      <c r="H25" s="1"/>
    </row>
    <row r="26" spans="2:13">
      <c r="E26" s="6"/>
    </row>
    <row r="27" spans="2:13">
      <c r="E27" s="6"/>
      <c r="H27" s="49"/>
      <c r="L27" s="49"/>
      <c r="M27" s="49"/>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93" zoomScaleNormal="93" workbookViewId="0">
      <selection activeCell="G22" sqref="G22"/>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78" t="str">
        <f>Indice!E3</f>
        <v>Abril 2026</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17" t="s">
        <v>44</v>
      </c>
      <c r="D7" s="5"/>
      <c r="E7" s="12"/>
    </row>
    <row r="8" spans="2:19" s="1" customFormat="1" ht="12.75" customHeight="1">
      <c r="B8" s="2"/>
      <c r="C8" s="217"/>
      <c r="D8" s="5"/>
      <c r="E8" s="12"/>
    </row>
    <row r="9" spans="2:19" s="1" customFormat="1" ht="18" customHeight="1">
      <c r="B9" s="2"/>
      <c r="C9" s="217"/>
      <c r="D9" s="5"/>
      <c r="E9" s="12"/>
      <c r="F9" s="50"/>
      <c r="R9" s="79"/>
      <c r="S9" s="82"/>
    </row>
    <row r="10" spans="2:19" s="1" customFormat="1" ht="12.75" customHeight="1">
      <c r="B10" s="2"/>
      <c r="D10" s="5"/>
      <c r="E10" s="12"/>
      <c r="F10" s="50"/>
      <c r="R10" s="79"/>
      <c r="S10" s="82"/>
    </row>
    <row r="11" spans="2:19" s="1" customFormat="1" ht="12.75" customHeight="1">
      <c r="B11" s="2"/>
      <c r="C11" s="8"/>
      <c r="D11" s="5"/>
      <c r="E11" s="12"/>
      <c r="F11" s="50"/>
      <c r="R11" s="79"/>
      <c r="S11" s="82"/>
    </row>
    <row r="12" spans="2:19" s="1" customFormat="1" ht="12.75" customHeight="1">
      <c r="B12" s="2"/>
      <c r="C12" s="38"/>
      <c r="D12" s="5"/>
      <c r="E12" s="12"/>
      <c r="F12" s="50"/>
      <c r="R12" s="79"/>
      <c r="S12" s="82"/>
    </row>
    <row r="13" spans="2:19" s="1" customFormat="1" ht="12.75" customHeight="1">
      <c r="B13" s="2"/>
      <c r="C13" s="4"/>
      <c r="D13" s="5"/>
      <c r="E13" s="12"/>
      <c r="F13" s="50"/>
      <c r="R13" s="79"/>
      <c r="S13" s="82"/>
    </row>
    <row r="14" spans="2:19" s="1" customFormat="1" ht="12.75" customHeight="1">
      <c r="B14" s="2"/>
      <c r="C14" s="4"/>
      <c r="D14" s="5"/>
      <c r="E14" s="12"/>
      <c r="F14" s="50"/>
      <c r="R14" s="79"/>
      <c r="S14" s="82"/>
    </row>
    <row r="15" spans="2:19" s="1" customFormat="1" ht="12.75" customHeight="1">
      <c r="B15" s="2"/>
      <c r="C15" s="4"/>
      <c r="D15" s="5"/>
      <c r="E15" s="12"/>
      <c r="F15" s="50"/>
      <c r="R15" s="79"/>
      <c r="S15" s="82"/>
    </row>
    <row r="16" spans="2:19" s="1" customFormat="1" ht="12.75" customHeight="1">
      <c r="B16" s="2"/>
      <c r="C16" s="4"/>
      <c r="D16" s="5"/>
      <c r="E16" s="12"/>
      <c r="F16" s="50"/>
      <c r="R16" s="79"/>
      <c r="S16" s="82"/>
    </row>
    <row r="17" spans="2:19" s="1" customFormat="1" ht="12.75" customHeight="1">
      <c r="B17" s="2"/>
      <c r="C17" s="4"/>
      <c r="D17" s="5"/>
      <c r="E17" s="12"/>
      <c r="F17" s="50"/>
      <c r="R17" s="79"/>
      <c r="S17" s="82"/>
    </row>
    <row r="18" spans="2:19" s="1" customFormat="1" ht="12.75" customHeight="1">
      <c r="B18" s="2"/>
      <c r="C18" s="4"/>
      <c r="D18" s="5"/>
      <c r="E18" s="12"/>
      <c r="F18" s="50"/>
      <c r="R18" s="79"/>
      <c r="S18" s="82"/>
    </row>
    <row r="19" spans="2:19" s="1" customFormat="1" ht="12.75" customHeight="1">
      <c r="B19" s="2"/>
      <c r="C19" s="4"/>
      <c r="D19" s="5"/>
      <c r="E19" s="12"/>
      <c r="F19" s="50"/>
      <c r="R19" s="79"/>
      <c r="S19" s="82"/>
    </row>
    <row r="20" spans="2:19" s="1" customFormat="1" ht="12.75" customHeight="1">
      <c r="B20" s="2"/>
      <c r="C20" s="4"/>
      <c r="D20" s="5"/>
      <c r="E20" s="12"/>
      <c r="F20" s="50"/>
      <c r="R20" s="79"/>
      <c r="S20" s="82"/>
    </row>
    <row r="21" spans="2:19" s="1" customFormat="1" ht="12.75" customHeight="1">
      <c r="B21" s="2"/>
      <c r="C21" s="4"/>
      <c r="D21" s="5"/>
      <c r="E21" s="12"/>
      <c r="F21" s="50"/>
      <c r="R21" s="79"/>
      <c r="S21" s="82"/>
    </row>
    <row r="22" spans="2:19">
      <c r="E22" s="12"/>
      <c r="F22" s="1"/>
      <c r="R22" s="80"/>
    </row>
    <row r="23" spans="2:19">
      <c r="E23" s="12"/>
      <c r="F23" s="1"/>
      <c r="R23" s="81"/>
    </row>
    <row r="24" spans="2:19">
      <c r="E24" s="12"/>
      <c r="F24" s="1"/>
    </row>
    <row r="25" spans="2:19">
      <c r="E25" s="6"/>
      <c r="F25" s="1"/>
      <c r="G25" s="1"/>
      <c r="H25" s="1"/>
      <c r="Q25" s="1"/>
    </row>
    <row r="26" spans="2:19">
      <c r="E26" s="6"/>
    </row>
    <row r="27" spans="2:19">
      <c r="E27" s="6"/>
    </row>
    <row r="28" spans="2:19">
      <c r="E28" s="6"/>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F26" sqref="F26"/>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78" t="str">
        <f>Indice!E3</f>
        <v>Abril 2026</v>
      </c>
    </row>
    <row r="4" spans="1:8">
      <c r="B4" s="19" t="s">
        <v>30</v>
      </c>
    </row>
    <row r="7" spans="1:8" ht="12.75" customHeight="1">
      <c r="B7" s="218" t="s">
        <v>38</v>
      </c>
    </row>
    <row r="8" spans="1:8">
      <c r="B8" s="218"/>
    </row>
    <row r="9" spans="1:8">
      <c r="B9" s="47" t="s">
        <v>14</v>
      </c>
    </row>
    <row r="27" spans="5:19">
      <c r="P27" s="21"/>
      <c r="Q27" s="22"/>
      <c r="R27" s="21"/>
      <c r="S27" s="22"/>
    </row>
    <row r="28" spans="5:19">
      <c r="P28" s="23"/>
      <c r="Q28" s="24"/>
      <c r="R28" s="23"/>
      <c r="S28" s="24"/>
    </row>
    <row r="30" spans="5:19">
      <c r="E30" s="66"/>
      <c r="F30" s="66"/>
      <c r="G30" s="66"/>
      <c r="H30" s="66"/>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106" zoomScaleNormal="106" workbookViewId="0">
      <selection activeCell="G17" sqref="G17"/>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78" t="str">
        <f>Indice!E3</f>
        <v>Abril 2026</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18" t="s">
        <v>28</v>
      </c>
      <c r="D7" s="5"/>
      <c r="E7" s="12"/>
    </row>
    <row r="8" spans="2:39" s="1" customFormat="1" ht="12.75" customHeight="1">
      <c r="B8" s="2"/>
      <c r="C8" s="218"/>
      <c r="D8" s="5"/>
      <c r="E8" s="12"/>
    </row>
    <row r="9" spans="2:39" s="1" customFormat="1" ht="12.75" customHeight="1">
      <c r="B9" s="2"/>
      <c r="C9" s="218"/>
      <c r="D9" s="5"/>
      <c r="E9" s="12"/>
    </row>
    <row r="10" spans="2:39" s="1" customFormat="1" ht="12.75" customHeight="1">
      <c r="B10" s="2"/>
      <c r="C10" s="218"/>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4" customFormat="1" ht="12.75" customHeight="1">
      <c r="C16" s="75"/>
      <c r="D16" s="76"/>
      <c r="E16" s="77"/>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4"/>
      <c r="AM19" s="74"/>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31" t="s">
        <v>186</v>
      </c>
    </row>
    <row r="34" spans="6:6">
      <c r="F34" s="70"/>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H29" sqref="H29"/>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19" t="s">
        <v>31</v>
      </c>
      <c r="F2" s="219"/>
      <c r="G2" s="219"/>
      <c r="H2" s="10"/>
      <c r="I2" s="10"/>
    </row>
    <row r="3" spans="2:11" ht="15" customHeight="1">
      <c r="E3" s="220" t="str">
        <f>Indice!E3</f>
        <v>Abril 2026</v>
      </c>
      <c r="F3" s="220"/>
      <c r="G3" s="220"/>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3"/>
    </row>
    <row r="7" spans="2:11" s="57" customFormat="1" ht="15" customHeight="1">
      <c r="B7" s="54"/>
      <c r="C7" s="218" t="s">
        <v>63</v>
      </c>
      <c r="D7" s="55"/>
      <c r="E7" s="56"/>
      <c r="F7" s="72"/>
      <c r="G7" s="72"/>
      <c r="I7" s="129"/>
    </row>
    <row r="8" spans="2:11" s="57" customFormat="1" ht="15" customHeight="1">
      <c r="B8" s="54"/>
      <c r="C8" s="218"/>
      <c r="D8" s="55"/>
      <c r="E8" s="58"/>
      <c r="F8" s="59" t="str">
        <f>Dat_01!G97</f>
        <v>2025 Abril</v>
      </c>
      <c r="G8" s="59" t="str">
        <f>Dat_01!C97</f>
        <v>2026 Abril</v>
      </c>
      <c r="I8" s="129"/>
    </row>
    <row r="9" spans="2:11" s="1" customFormat="1" ht="15" customHeight="1">
      <c r="B9" s="2"/>
      <c r="C9" s="47"/>
      <c r="D9" s="5"/>
      <c r="E9" s="133" t="s">
        <v>150</v>
      </c>
      <c r="F9" s="134">
        <f>Dat_01!G98/1000000</f>
        <v>200.96853465603999</v>
      </c>
      <c r="G9" s="134">
        <f>Dat_01!C98/1000000</f>
        <v>319.721891434052</v>
      </c>
      <c r="H9" s="57"/>
      <c r="I9" s="129"/>
      <c r="J9" s="57"/>
      <c r="K9" s="57"/>
    </row>
    <row r="10" spans="2:11" s="1" customFormat="1" ht="15" customHeight="1">
      <c r="B10" s="2"/>
      <c r="C10" s="218"/>
      <c r="D10" s="5"/>
      <c r="E10" s="133" t="s">
        <v>151</v>
      </c>
      <c r="F10" s="134">
        <f>Dat_01!G99/1000000</f>
        <v>76.443004789682007</v>
      </c>
      <c r="G10" s="134">
        <f>Dat_01!C99/1000000</f>
        <v>44.944130790941998</v>
      </c>
      <c r="H10" s="57"/>
      <c r="I10" s="129"/>
      <c r="J10" s="57"/>
      <c r="K10" s="57"/>
    </row>
    <row r="11" spans="2:11" s="1" customFormat="1" ht="15" customHeight="1">
      <c r="B11" s="2"/>
      <c r="C11" s="218"/>
      <c r="D11" s="5"/>
      <c r="E11" s="52" t="s">
        <v>40</v>
      </c>
      <c r="F11" s="135">
        <f>SUM(F9:F10)</f>
        <v>277.41153944572198</v>
      </c>
      <c r="G11" s="135">
        <f>SUM(G9:G10)</f>
        <v>364.66602222499398</v>
      </c>
      <c r="H11" s="57"/>
      <c r="I11" s="129"/>
      <c r="J11" s="57"/>
      <c r="K11" s="57"/>
    </row>
    <row r="12" spans="2:11" s="1" customFormat="1" ht="15" customHeight="1">
      <c r="B12" s="2"/>
      <c r="C12" s="218"/>
      <c r="D12" s="5"/>
      <c r="E12" s="52" t="s">
        <v>21</v>
      </c>
      <c r="F12" s="135">
        <f>Dat_01!G101/1000000</f>
        <v>49.795933542659995</v>
      </c>
      <c r="G12" s="135">
        <f>Dat_01!C101/1000000</f>
        <v>62.285342750852003</v>
      </c>
      <c r="H12" s="57"/>
      <c r="I12" s="129"/>
      <c r="J12" s="57"/>
      <c r="K12" s="57"/>
    </row>
    <row r="13" spans="2:11" s="1" customFormat="1" ht="15" customHeight="1">
      <c r="B13" s="2"/>
      <c r="C13" s="4"/>
      <c r="D13" s="5"/>
      <c r="E13" s="52" t="s">
        <v>15</v>
      </c>
      <c r="F13" s="135">
        <f>IF(Dat_01!G102="-",0,Dat_01!G102/1000000)</f>
        <v>8.6205863444819997</v>
      </c>
      <c r="G13" s="135">
        <f>Dat_01!C102/1000000</f>
        <v>10.082931490091999</v>
      </c>
      <c r="H13" s="57"/>
      <c r="I13" s="129"/>
      <c r="J13" s="57"/>
      <c r="K13" s="57"/>
    </row>
    <row r="14" spans="2:11" s="1" customFormat="1" ht="15" customHeight="1">
      <c r="B14" s="2"/>
      <c r="C14" s="4"/>
      <c r="D14" s="5"/>
      <c r="E14" s="52" t="s">
        <v>134</v>
      </c>
      <c r="F14" s="135">
        <f>(SUM(Dat_01!G103:G105)+IF(Dat_01!G106="-",0,Dat_01!G106))/1000000</f>
        <v>-25.879607038299998</v>
      </c>
      <c r="G14" s="135">
        <f>(SUM(Dat_01!C103:C105)+IF(Dat_01!C106="-",0,Dat_01!C106))/1000000</f>
        <v>-56.314245024450003</v>
      </c>
      <c r="H14" s="57"/>
      <c r="I14" s="129"/>
      <c r="J14" s="57"/>
      <c r="K14" s="57"/>
    </row>
    <row r="15" spans="2:11" s="1" customFormat="1" ht="15" customHeight="1">
      <c r="B15" s="2"/>
      <c r="C15" s="4"/>
      <c r="D15" s="5"/>
      <c r="E15" s="52" t="s">
        <v>41</v>
      </c>
      <c r="F15" s="136">
        <f>IF(Dat_01!G107="-","-",Dat_01!G107/1000000)</f>
        <v>-1.9632805339399997</v>
      </c>
      <c r="G15" s="136">
        <f>IF(Dat_01!C107="-","-",Dat_01!C107/1000000)</f>
        <v>-0.17877538103000001</v>
      </c>
      <c r="H15" s="57"/>
      <c r="I15" s="129"/>
      <c r="J15" s="57"/>
      <c r="K15" s="57"/>
    </row>
    <row r="16" spans="2:11" s="1" customFormat="1" ht="15" customHeight="1">
      <c r="B16" s="2"/>
      <c r="C16" s="4"/>
      <c r="D16" s="5"/>
      <c r="E16" s="53" t="s">
        <v>135</v>
      </c>
      <c r="F16" s="137">
        <f>SUM(F11:F15)</f>
        <v>307.98517176062398</v>
      </c>
      <c r="G16" s="137">
        <f>SUM(G11:G15)</f>
        <v>380.54127606045796</v>
      </c>
      <c r="I16" s="94"/>
    </row>
    <row r="17" spans="2:10" s="1" customFormat="1" ht="15" customHeight="1">
      <c r="B17" s="2"/>
      <c r="C17" s="4"/>
      <c r="D17" s="4"/>
      <c r="E17" s="60" t="str">
        <f>"∆"&amp;MID(G8,1,4)&amp;"/"&amp;MID(F8,1,4)</f>
        <v>∆2026/2025</v>
      </c>
      <c r="F17" s="128"/>
      <c r="G17" s="61">
        <f>(G16-F16)/F16</f>
        <v>0.23558310903431065</v>
      </c>
      <c r="I17" s="4"/>
      <c r="J17" s="4"/>
    </row>
    <row r="18" spans="2:10" s="1" customFormat="1" ht="12.75" customHeight="1">
      <c r="B18" s="2"/>
      <c r="C18" s="4"/>
      <c r="D18" s="5"/>
      <c r="H18" s="51"/>
      <c r="I18" s="51"/>
    </row>
    <row r="19" spans="2:10" s="1" customFormat="1" ht="12.75" customHeight="1">
      <c r="B19" s="2"/>
      <c r="C19" s="4"/>
      <c r="D19" s="4"/>
      <c r="E19" s="221" t="s">
        <v>202</v>
      </c>
      <c r="F19" s="221"/>
      <c r="G19" s="221"/>
    </row>
    <row r="20" spans="2:10" s="1" customFormat="1" ht="12.75" customHeight="1">
      <c r="B20" s="2"/>
      <c r="C20" s="4"/>
      <c r="D20" s="4"/>
      <c r="E20" s="221"/>
      <c r="F20" s="221"/>
      <c r="G20" s="221"/>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3" zoomScaleNormal="100" workbookViewId="0">
      <selection activeCell="E35" sqref="E35"/>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Abril 2026</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18" t="s">
        <v>168</v>
      </c>
      <c r="D7" s="5"/>
      <c r="E7" s="12"/>
    </row>
    <row r="8" spans="2:9" s="1" customFormat="1" ht="12.75" customHeight="1">
      <c r="B8" s="2"/>
      <c r="C8" s="218"/>
      <c r="D8" s="5"/>
      <c r="E8" s="12"/>
    </row>
    <row r="9" spans="2:9" s="1" customFormat="1" ht="12.75" customHeight="1">
      <c r="B9" s="2"/>
      <c r="C9" s="218"/>
      <c r="D9" s="5"/>
      <c r="E9" s="12"/>
    </row>
    <row r="10" spans="2:9" s="1" customFormat="1" ht="12.75" customHeight="1">
      <c r="B10" s="2"/>
      <c r="C10" s="47" t="s">
        <v>42</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1"/>
      <c r="I18" s="51"/>
    </row>
    <row r="19" spans="2:9" s="1" customFormat="1" ht="12.75" customHeight="1">
      <c r="B19" s="2"/>
      <c r="C19" s="4"/>
      <c r="D19" s="5"/>
      <c r="E19" s="9"/>
      <c r="H19" s="51"/>
      <c r="I19" s="51"/>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31" t="s">
        <v>158</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2026-05-18T11:50:02Z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