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5\NOV\INF_ELABORADA\"/>
    </mc:Choice>
  </mc:AlternateContent>
  <xr:revisionPtr revIDLastSave="0" documentId="13_ncr:1_{2121C9A5-F714-46BE-80C2-DAD2F10486E2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Dat_01" sheetId="18" r:id="rId14"/>
    <sheet name="Mozart Reports" sheetId="19" state="veryHidden" r:id="rId15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11">#REF!</definedName>
    <definedName name="Demanda">#REF!</definedName>
    <definedName name="Eol_Dia">OFFSET(#REF!,0,0,COUNT(#REF!),1)</definedName>
    <definedName name="Eol_Fechas">OFFSET(#REF!,0,0,COUNT(#REF!),1)</definedName>
    <definedName name="Eol_Porcentaje">OFFSET(#REF!,0,0,COUNT(#REF!),1)</definedName>
    <definedName name="Fecha" localSheetId="11">#REF!</definedName>
    <definedName name="Fecha">#REF!</definedName>
    <definedName name="FINALIZAR" localSheetId="12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>OFFSET(#REF!,0,0,COUNT(#REF!),1)</definedName>
    <definedName name="H_Gen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12">[0]!INDICE</definedName>
    <definedName name="Índice" localSheetId="11">[0]!INDICE</definedName>
    <definedName name="Índice">[0]!INDICE</definedName>
    <definedName name="indice_jcol" localSheetId="12">[0]!INDICE</definedName>
    <definedName name="indice_jcol" localSheetId="11">[0]!INDICE</definedName>
    <definedName name="indice_jcol">[0]!INDICE</definedName>
    <definedName name="Int_CFraExp">OFFSET(#REF!,0,0,COUNT(#REF!),1)</definedName>
    <definedName name="Int_CFraImp">OFFSET(#REF!,0,0,COUNT(#REF!),1)</definedName>
    <definedName name="Int_CPorExp">OFFSET(#REF!,0,0,COUNT(#REF!),1)</definedName>
    <definedName name="Int_CPorImp">OFFSET(#REF!,0,0,COUNT(#REF!),1)</definedName>
    <definedName name="Int_Meses">OFFSET(#REF!,0,0,COUNT(#REF!),1)</definedName>
    <definedName name="Int_SFra">OFFSET(#REF!,0,0,COUNT(#REF!),1)</definedName>
    <definedName name="Int_SPor">OFFSET(#REF!,0,0,COUNT(#REF!),1)</definedName>
    <definedName name="jkhjklhjkhjkl">#N/A</definedName>
    <definedName name="MSTR.Balance._Día_máx_generación_renovable._Histórico">#REF!</definedName>
    <definedName name="MSTR.Balance._Día_máx_generación_renovable._Mes">#REF!</definedName>
    <definedName name="MSTR.Balance_B.C._Diario_Peninsular">#REF!</definedName>
    <definedName name="MSTR.Balance_B.C._Horario_Eólico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>#REF!</definedName>
    <definedName name="MSTR.Emisiones_CO2.1">#REF!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Potencia_instalada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xml:space="preserve">                                   Dat_01!$A$153:$N$156</definedName>
    <definedName name="MSTR.Variación_y_componentes_mensual_de_la_demanda.1" xml:space="preserve">                                   Dat_01!$A$159:$N$162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>OFFSET(#REF!,0,0,COUNT(#REF!),1)</definedName>
    <definedName name="Prod_Dia">OFFSET(#REF!,0,0,COUNT(#REF!),1)</definedName>
    <definedName name="Prod_Inter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0">#REF!</definedName>
    <definedName name="rosa2" localSheetId="11">#N/A</definedName>
    <definedName name="rosa2">#N/A</definedName>
    <definedName name="sfasfasf" localSheetId="12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0">#REF!</definedName>
    <definedName name="VV" localSheetId="11">#N/A</definedName>
    <definedName name="VV">#N/A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12">#N/A</definedName>
    <definedName name="xxxxx" localSheetId="10">#N/A</definedName>
    <definedName name="xxxxx" localSheetId="11">#N/A</definedName>
    <definedName name="xxxxx" xml:space="preserve">                                               Dat_01!$A$85:$Z$114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8" l="1"/>
  <c r="B27" i="18"/>
  <c r="C10" i="5"/>
  <c r="C10" i="2"/>
  <c r="D27" i="18" l="1"/>
  <c r="B48" i="18"/>
  <c r="C48" i="18" l="1"/>
  <c r="O165" i="18" l="1"/>
  <c r="O167" i="18" s="1"/>
  <c r="F10" i="29"/>
  <c r="F23" i="29"/>
  <c r="E8" i="29"/>
  <c r="L73" i="18"/>
  <c r="M73" i="18" s="1"/>
  <c r="L74" i="18"/>
  <c r="M74" i="18" s="1"/>
  <c r="G68" i="18"/>
  <c r="K74" i="18" l="1"/>
  <c r="N74" i="18" s="1"/>
  <c r="O74" i="18" s="1"/>
  <c r="K73" i="18"/>
  <c r="N73" i="18" s="1"/>
  <c r="O73" i="18" s="1"/>
  <c r="O120" i="18" l="1"/>
  <c r="O119" i="18"/>
  <c r="E48" i="18"/>
  <c r="O168" i="18" l="1"/>
  <c r="O169" i="18" s="1"/>
  <c r="N165" i="18"/>
  <c r="N167" i="18" s="1"/>
  <c r="O166" i="18"/>
  <c r="D48" i="18"/>
  <c r="F48" i="18" s="1"/>
  <c r="C10" i="27" l="1"/>
  <c r="K15" i="22" l="1"/>
  <c r="K12" i="22"/>
  <c r="G25" i="22" l="1" a="1"/>
  <c r="G25" i="22" s="1"/>
  <c r="G27" i="22" l="1"/>
  <c r="G26" i="22"/>
  <c r="D79" i="18" l="1"/>
  <c r="D78" i="18"/>
  <c r="D69" i="18"/>
  <c r="D68" i="18"/>
  <c r="G24" i="22" l="1"/>
  <c r="F26" i="22"/>
  <c r="F25" i="22"/>
  <c r="M29" i="22"/>
  <c r="L29" i="22"/>
  <c r="K29" i="22"/>
  <c r="J29" i="22"/>
  <c r="I29" i="22"/>
  <c r="H29" i="22"/>
  <c r="G29" i="22"/>
  <c r="G28" i="22"/>
  <c r="F29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3" i="18" l="1"/>
  <c r="O135" i="18"/>
  <c r="O140" i="18"/>
  <c r="O142" i="18"/>
  <c r="O144" i="18"/>
  <c r="O146" i="18"/>
  <c r="O148" i="18"/>
  <c r="O134" i="18"/>
  <c r="O136" i="18"/>
  <c r="O139" i="18"/>
  <c r="O141" i="18"/>
  <c r="O143" i="18"/>
  <c r="O145" i="18"/>
  <c r="O147" i="18"/>
  <c r="O121" i="18"/>
  <c r="O118" i="18" l="1"/>
  <c r="M24" i="22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38" i="18" l="1"/>
  <c r="N138" i="18"/>
  <c r="M138" i="18"/>
  <c r="L138" i="18"/>
  <c r="K138" i="18"/>
  <c r="J138" i="18"/>
  <c r="I138" i="18"/>
  <c r="H138" i="18"/>
  <c r="G138" i="18"/>
  <c r="F138" i="18"/>
  <c r="E138" i="18"/>
  <c r="D138" i="18"/>
  <c r="C138" i="18"/>
  <c r="N120" i="18"/>
  <c r="M120" i="18"/>
  <c r="L120" i="18"/>
  <c r="K120" i="18"/>
  <c r="J120" i="18"/>
  <c r="I120" i="18"/>
  <c r="H120" i="18"/>
  <c r="G120" i="18"/>
  <c r="F120" i="18"/>
  <c r="E120" i="18"/>
  <c r="D120" i="18"/>
  <c r="C120" i="18"/>
  <c r="O125" i="18" l="1"/>
  <c r="O122" i="18"/>
  <c r="N119" i="18"/>
  <c r="O123" i="18"/>
  <c r="O124" i="18"/>
  <c r="O126" i="18"/>
  <c r="O127" i="18"/>
  <c r="O128" i="18"/>
  <c r="O129" i="18"/>
  <c r="O130" i="18"/>
  <c r="O131" i="18"/>
  <c r="O132" i="18"/>
  <c r="N168" i="18" l="1"/>
  <c r="N169" i="18" s="1"/>
  <c r="M165" i="18"/>
  <c r="M167" i="18" s="1"/>
  <c r="N166" i="18"/>
  <c r="N133" i="18"/>
  <c r="N135" i="18"/>
  <c r="N140" i="18"/>
  <c r="N142" i="18"/>
  <c r="N144" i="18"/>
  <c r="N146" i="18"/>
  <c r="N148" i="18"/>
  <c r="N134" i="18"/>
  <c r="N139" i="18"/>
  <c r="N141" i="18"/>
  <c r="N143" i="18"/>
  <c r="N145" i="18"/>
  <c r="N147" i="18"/>
  <c r="N136" i="18"/>
  <c r="O150" i="18"/>
  <c r="O137" i="18"/>
  <c r="N122" i="18"/>
  <c r="N125" i="18"/>
  <c r="M119" i="18"/>
  <c r="N121" i="18"/>
  <c r="N123" i="18"/>
  <c r="N124" i="18"/>
  <c r="N126" i="18"/>
  <c r="N127" i="18"/>
  <c r="N128" i="18"/>
  <c r="N129" i="18"/>
  <c r="N130" i="18"/>
  <c r="N132" i="18"/>
  <c r="N131" i="18"/>
  <c r="N118" i="18" l="1"/>
  <c r="L165" i="18"/>
  <c r="L167" i="18" s="1"/>
  <c r="M166" i="18"/>
  <c r="M168" i="18"/>
  <c r="M169" i="18" s="1"/>
  <c r="M133" i="18"/>
  <c r="M135" i="18"/>
  <c r="M140" i="18"/>
  <c r="M142" i="18"/>
  <c r="M144" i="18"/>
  <c r="M146" i="18"/>
  <c r="M148" i="18"/>
  <c r="M134" i="18"/>
  <c r="M136" i="18"/>
  <c r="M139" i="18"/>
  <c r="M141" i="18"/>
  <c r="M143" i="18"/>
  <c r="M145" i="18"/>
  <c r="M147" i="18"/>
  <c r="M122" i="18"/>
  <c r="M125" i="18"/>
  <c r="N137" i="18"/>
  <c r="N150" i="18"/>
  <c r="L119" i="18"/>
  <c r="M121" i="18"/>
  <c r="M123" i="18"/>
  <c r="M124" i="18"/>
  <c r="M126" i="18"/>
  <c r="M127" i="18"/>
  <c r="M128" i="18"/>
  <c r="M129" i="18"/>
  <c r="M130" i="18"/>
  <c r="M131" i="18"/>
  <c r="M132" i="18"/>
  <c r="K165" i="18" l="1"/>
  <c r="K167" i="18" s="1"/>
  <c r="L166" i="18"/>
  <c r="L168" i="18"/>
  <c r="L169" i="18" s="1"/>
  <c r="M118" i="18"/>
  <c r="L140" i="18"/>
  <c r="L147" i="18"/>
  <c r="L141" i="18"/>
  <c r="L142" i="18"/>
  <c r="L144" i="18"/>
  <c r="L146" i="18"/>
  <c r="L134" i="18"/>
  <c r="L136" i="18"/>
  <c r="L143" i="18"/>
  <c r="L139" i="18"/>
  <c r="L133" i="18"/>
  <c r="L135" i="18"/>
  <c r="L148" i="18"/>
  <c r="L145" i="18"/>
  <c r="L125" i="18"/>
  <c r="L122" i="18"/>
  <c r="M137" i="18"/>
  <c r="M150" i="18"/>
  <c r="K119" i="18"/>
  <c r="L121" i="18"/>
  <c r="L124" i="18"/>
  <c r="L128" i="18"/>
  <c r="L123" i="18"/>
  <c r="L127" i="18"/>
  <c r="L131" i="18"/>
  <c r="L126" i="18"/>
  <c r="L130" i="18"/>
  <c r="L129" i="18"/>
  <c r="L132" i="18"/>
  <c r="E3" i="16"/>
  <c r="D2" i="28" l="1"/>
  <c r="G3" i="29"/>
  <c r="E3" i="27"/>
  <c r="J165" i="18"/>
  <c r="J167" i="18" s="1"/>
  <c r="K166" i="18"/>
  <c r="K168" i="18"/>
  <c r="K169" i="18" s="1"/>
  <c r="L118" i="18"/>
  <c r="M3" i="22"/>
  <c r="G8" i="22" s="1"/>
  <c r="I8" i="22" s="1"/>
  <c r="K8" i="22" s="1"/>
  <c r="M8" i="22" s="1"/>
  <c r="E3" i="25"/>
  <c r="E3" i="26"/>
  <c r="K148" i="18"/>
  <c r="K134" i="18"/>
  <c r="K136" i="18"/>
  <c r="K139" i="18"/>
  <c r="K141" i="18"/>
  <c r="K143" i="18"/>
  <c r="K145" i="18"/>
  <c r="K147" i="18"/>
  <c r="K133" i="18"/>
  <c r="K135" i="18"/>
  <c r="K140" i="18"/>
  <c r="K142" i="18"/>
  <c r="K144" i="18"/>
  <c r="K146" i="18"/>
  <c r="K122" i="18"/>
  <c r="K125" i="18"/>
  <c r="L137" i="18"/>
  <c r="E3" i="13"/>
  <c r="J119" i="18"/>
  <c r="K121" i="18"/>
  <c r="K123" i="18"/>
  <c r="K124" i="18"/>
  <c r="K126" i="18"/>
  <c r="K127" i="18"/>
  <c r="K128" i="18"/>
  <c r="K129" i="18"/>
  <c r="K130" i="18"/>
  <c r="K131" i="18"/>
  <c r="K132" i="18"/>
  <c r="L150" i="18"/>
  <c r="K3" i="10"/>
  <c r="F7" i="10" s="1"/>
  <c r="G8" i="10" s="1"/>
  <c r="E3" i="5"/>
  <c r="E3" i="7"/>
  <c r="E3" i="2"/>
  <c r="K3" i="8"/>
  <c r="F7" i="8" s="1"/>
  <c r="G8" i="8" s="1"/>
  <c r="G62" i="18"/>
  <c r="G78" i="18"/>
  <c r="K118" i="18" l="1"/>
  <c r="I165" i="18"/>
  <c r="I167" i="18" s="1"/>
  <c r="J166" i="18"/>
  <c r="J168" i="18"/>
  <c r="J169" i="18" s="1"/>
  <c r="C56" i="18"/>
  <c r="C62" i="18"/>
  <c r="C60" i="18"/>
  <c r="J136" i="18"/>
  <c r="J135" i="18"/>
  <c r="J141" i="18"/>
  <c r="J147" i="18"/>
  <c r="J139" i="18"/>
  <c r="J143" i="18"/>
  <c r="J145" i="18"/>
  <c r="J133" i="18"/>
  <c r="J140" i="18"/>
  <c r="J142" i="18"/>
  <c r="J144" i="18"/>
  <c r="J146" i="18"/>
  <c r="J148" i="18"/>
  <c r="J134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2" i="18"/>
  <c r="J125" i="18"/>
  <c r="K137" i="18"/>
  <c r="I119" i="18"/>
  <c r="J121" i="18"/>
  <c r="J123" i="18"/>
  <c r="J124" i="18"/>
  <c r="J126" i="18"/>
  <c r="J127" i="18"/>
  <c r="J128" i="18"/>
  <c r="J129" i="18"/>
  <c r="J130" i="18"/>
  <c r="J131" i="18"/>
  <c r="J132" i="18"/>
  <c r="K150" i="18"/>
  <c r="H165" i="18" l="1"/>
  <c r="H167" i="18" s="1"/>
  <c r="I166" i="18"/>
  <c r="I168" i="18"/>
  <c r="I169" i="18" s="1"/>
  <c r="J118" i="18"/>
  <c r="K52" i="18"/>
  <c r="K53" i="18"/>
  <c r="L53" i="18"/>
  <c r="L52" i="18"/>
  <c r="I139" i="18"/>
  <c r="I141" i="18"/>
  <c r="I143" i="18"/>
  <c r="I145" i="18"/>
  <c r="I147" i="18"/>
  <c r="I133" i="18"/>
  <c r="I135" i="18"/>
  <c r="I140" i="18"/>
  <c r="I142" i="18"/>
  <c r="I144" i="18"/>
  <c r="I146" i="18"/>
  <c r="I148" i="18"/>
  <c r="I134" i="18"/>
  <c r="I136" i="18"/>
  <c r="I122" i="18"/>
  <c r="I125" i="18"/>
  <c r="J137" i="18"/>
  <c r="J150" i="18"/>
  <c r="H119" i="18"/>
  <c r="I121" i="18"/>
  <c r="I123" i="18"/>
  <c r="I124" i="18"/>
  <c r="I126" i="18"/>
  <c r="I127" i="18"/>
  <c r="I128" i="18"/>
  <c r="I129" i="18"/>
  <c r="I130" i="18"/>
  <c r="I131" i="18"/>
  <c r="I132" i="18"/>
  <c r="H62" i="18"/>
  <c r="C63" i="18"/>
  <c r="I118" i="18" l="1"/>
  <c r="H166" i="18"/>
  <c r="G165" i="18"/>
  <c r="G167" i="18" s="1"/>
  <c r="H168" i="18"/>
  <c r="H169" i="18" s="1"/>
  <c r="H145" i="18"/>
  <c r="H147" i="18"/>
  <c r="H139" i="18"/>
  <c r="H141" i="18"/>
  <c r="H143" i="18"/>
  <c r="H142" i="18"/>
  <c r="H148" i="18"/>
  <c r="H133" i="18"/>
  <c r="H135" i="18"/>
  <c r="H146" i="18"/>
  <c r="H134" i="18"/>
  <c r="H136" i="18"/>
  <c r="H140" i="18"/>
  <c r="H144" i="18"/>
  <c r="H125" i="18"/>
  <c r="H122" i="18"/>
  <c r="I137" i="18"/>
  <c r="I150" i="18"/>
  <c r="G119" i="18"/>
  <c r="H121" i="18"/>
  <c r="H123" i="18"/>
  <c r="H127" i="18"/>
  <c r="H131" i="18"/>
  <c r="H128" i="18"/>
  <c r="H126" i="18"/>
  <c r="H130" i="18"/>
  <c r="H132" i="18"/>
  <c r="H129" i="18"/>
  <c r="H124" i="18"/>
  <c r="K8" i="10"/>
  <c r="I8" i="10"/>
  <c r="H118" i="18" l="1"/>
  <c r="G166" i="18"/>
  <c r="G168" i="18"/>
  <c r="G169" i="18" s="1"/>
  <c r="F165" i="18"/>
  <c r="F167" i="18" s="1"/>
  <c r="G139" i="18"/>
  <c r="G133" i="18"/>
  <c r="G135" i="18"/>
  <c r="G140" i="18"/>
  <c r="G142" i="18"/>
  <c r="G144" i="18"/>
  <c r="G146" i="18"/>
  <c r="G148" i="18"/>
  <c r="G134" i="18"/>
  <c r="G136" i="18"/>
  <c r="G141" i="18"/>
  <c r="G143" i="18"/>
  <c r="G145" i="18"/>
  <c r="G147" i="18"/>
  <c r="G125" i="18"/>
  <c r="G122" i="18"/>
  <c r="H137" i="18"/>
  <c r="H150" i="18"/>
  <c r="F119" i="18"/>
  <c r="G121" i="18"/>
  <c r="G123" i="18"/>
  <c r="G124" i="18"/>
  <c r="G126" i="18"/>
  <c r="G127" i="18"/>
  <c r="G128" i="18"/>
  <c r="G129" i="18"/>
  <c r="G130" i="18"/>
  <c r="G131" i="18"/>
  <c r="G132" i="18"/>
  <c r="K8" i="8"/>
  <c r="I8" i="8"/>
  <c r="G118" i="18" l="1"/>
  <c r="F168" i="18"/>
  <c r="F169" i="18" s="1"/>
  <c r="F166" i="18"/>
  <c r="E165" i="18"/>
  <c r="E167" i="18" s="1"/>
  <c r="F139" i="18"/>
  <c r="F135" i="18"/>
  <c r="F136" i="18"/>
  <c r="F133" i="18"/>
  <c r="F140" i="18"/>
  <c r="F142" i="18"/>
  <c r="F144" i="18"/>
  <c r="F146" i="18"/>
  <c r="F148" i="18"/>
  <c r="F141" i="18"/>
  <c r="F143" i="18"/>
  <c r="F145" i="18"/>
  <c r="F147" i="18"/>
  <c r="F134" i="18"/>
  <c r="F122" i="18"/>
  <c r="F125" i="18"/>
  <c r="G137" i="18"/>
  <c r="G150" i="18"/>
  <c r="E119" i="18"/>
  <c r="F121" i="18"/>
  <c r="F123" i="18"/>
  <c r="F124" i="18"/>
  <c r="F126" i="18"/>
  <c r="F127" i="18"/>
  <c r="F128" i="18"/>
  <c r="F129" i="18"/>
  <c r="F130" i="18"/>
  <c r="F131" i="18"/>
  <c r="F132" i="18"/>
  <c r="E12" i="16"/>
  <c r="E16" i="16"/>
  <c r="E15" i="16"/>
  <c r="E14" i="16"/>
  <c r="E13" i="16"/>
  <c r="E11" i="16"/>
  <c r="E9" i="16"/>
  <c r="E8" i="16"/>
  <c r="F118" i="18" l="1"/>
  <c r="E168" i="18"/>
  <c r="E169" i="18" s="1"/>
  <c r="D165" i="18"/>
  <c r="D167" i="18" s="1"/>
  <c r="E166" i="18"/>
  <c r="E140" i="18"/>
  <c r="E142" i="18"/>
  <c r="E144" i="18"/>
  <c r="E146" i="18"/>
  <c r="E148" i="18"/>
  <c r="E134" i="18"/>
  <c r="E136" i="18"/>
  <c r="E139" i="18"/>
  <c r="E141" i="18"/>
  <c r="E143" i="18"/>
  <c r="E145" i="18"/>
  <c r="E147" i="18"/>
  <c r="E133" i="18"/>
  <c r="E135" i="18"/>
  <c r="E122" i="18"/>
  <c r="E125" i="18"/>
  <c r="F137" i="18"/>
  <c r="F150" i="18"/>
  <c r="D119" i="18"/>
  <c r="E121" i="18"/>
  <c r="E123" i="18"/>
  <c r="E124" i="18"/>
  <c r="E126" i="18"/>
  <c r="E127" i="18"/>
  <c r="E128" i="18"/>
  <c r="E129" i="18"/>
  <c r="E130" i="18"/>
  <c r="E131" i="18"/>
  <c r="E132" i="18"/>
  <c r="D168" i="18" l="1"/>
  <c r="D169" i="18" s="1"/>
  <c r="D166" i="18"/>
  <c r="C165" i="18"/>
  <c r="C167" i="18" s="1"/>
  <c r="C119" i="18"/>
  <c r="E118" i="18"/>
  <c r="D144" i="18"/>
  <c r="D148" i="18"/>
  <c r="D141" i="18"/>
  <c r="D140" i="18"/>
  <c r="D134" i="18"/>
  <c r="D136" i="18"/>
  <c r="D139" i="18"/>
  <c r="D145" i="18"/>
  <c r="D133" i="18"/>
  <c r="D135" i="18"/>
  <c r="D142" i="18"/>
  <c r="D146" i="18"/>
  <c r="D143" i="18"/>
  <c r="D147" i="18"/>
  <c r="D125" i="18"/>
  <c r="D122" i="18"/>
  <c r="E137" i="18"/>
  <c r="E150" i="18"/>
  <c r="D121" i="18"/>
  <c r="D123" i="18"/>
  <c r="D126" i="18"/>
  <c r="D130" i="18"/>
  <c r="D131" i="18"/>
  <c r="D129" i="18"/>
  <c r="D124" i="18"/>
  <c r="D128" i="18"/>
  <c r="D127" i="18"/>
  <c r="D132" i="18"/>
  <c r="C168" i="18" l="1"/>
  <c r="C169" i="18" s="1"/>
  <c r="C134" i="18"/>
  <c r="C133" i="18"/>
  <c r="C166" i="18"/>
  <c r="D118" i="18"/>
  <c r="C144" i="18"/>
  <c r="C121" i="18"/>
  <c r="C143" i="18"/>
  <c r="C131" i="18"/>
  <c r="C142" i="18"/>
  <c r="C140" i="18"/>
  <c r="C141" i="18"/>
  <c r="C132" i="18"/>
  <c r="C147" i="18"/>
  <c r="C139" i="18"/>
  <c r="C146" i="18"/>
  <c r="C136" i="18"/>
  <c r="C145" i="18"/>
  <c r="C135" i="18"/>
  <c r="C148" i="18"/>
  <c r="C122" i="18"/>
  <c r="C124" i="18"/>
  <c r="D137" i="18"/>
  <c r="C125" i="18"/>
  <c r="D150" i="18"/>
  <c r="C127" i="18"/>
  <c r="C123" i="18"/>
  <c r="C129" i="18"/>
  <c r="C128" i="18"/>
  <c r="C126" i="18"/>
  <c r="C130" i="18"/>
  <c r="C118" i="18" l="1"/>
  <c r="C150" i="18"/>
  <c r="C13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<sst xmlns="http://schemas.openxmlformats.org/spreadsheetml/2006/main" count="496" uniqueCount="159">
  <si>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</si>
  <si>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</si>
  <si>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</si>
  <si>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</si>
  <si>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</si>
  <si>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</si>
  <si>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</si>
  <si>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</si>
  <si>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</si>
  <si>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</si>
  <si>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</si>
  <si>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</si>
  <si>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</si>
  <si>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</si>
  <si>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</si>
  <si>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</si>
  <si>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</si>
  <si>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</si>
  <si>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</si>
  <si>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</si>
  <si>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</si>
  <si>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</si>
  <si>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</si>
  <si>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</si>
  <si>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</si>
  <si>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</si>
  <si>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</si>
  <si>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</si>
  <si>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</si>
  <si>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</si>
  <si>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</si>
  <si>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</si>
  <si>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</si>
  <si>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</si>
  <si>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</si>
  <si>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</si>
  <si>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</si>
  <si>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</si>
  <si>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</si>
  <si>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</si>
  <si>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</si>
  <si>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</si>
  <si>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</si>
  <si>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</si>
  <si>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</si>
  <si>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</si>
  <si>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</si>
  <si>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</si>
  <si>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</si>
  <si>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</si>
  <si>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</si>
  <si>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</si>
  <si>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</si>
  <si>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</si>
  <si>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</si>
  <si>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</si>
  <si>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</si>
  <si>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</si>
  <si>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</si>
  <si>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</si>
  <si>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</si>
  <si>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</si>
  <si>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</si>
  <si>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</si>
  <si>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</si>
  <si>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</si>
  <si>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</si>
  <si>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</si>
  <si>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</si>
  <si>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</si>
  <si>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</si>
  <si>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</si>
  <si>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</si>
  <si>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</si>
  <si>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</si>
  <si>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</si>
  <si>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</si>
  <si>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</si>
  <si>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</si>
  <si>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</si>
  <si>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</si>
  <si>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</si>
  <si>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</si>
  <si>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</si>
  <si>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</si>
  <si>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</si>
  <si>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</si>
  <si>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</si>
  <si>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</si>
  <si>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</si>
  <si>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</si>
  <si>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</si>
  <si>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</si>
  <si>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</si>
  <si>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2024</t>
  </si>
  <si>
    <t>Febrero 2024</t>
  </si>
  <si>
    <t>Marzo 2024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</si>
  <si>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</si>
  <si>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</si>
  <si>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</si>
  <si>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</si>
  <si>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</si>
  <si>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</si>
  <si>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</si>
  <si>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</si>
  <si>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</si>
  <si>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</si>
  <si>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</si>
  <si>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</si>
  <si>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</si>
  <si>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</si>
  <si>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</si>
  <si>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</si>
  <si>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</si>
  <si>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</si>
  <si>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</si>
  <si>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</si>
  <si>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</si>
  <si>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</si>
  <si>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</si>
  <si>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</si>
  <si>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</si>
  <si>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</si>
  <si>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</si>
  <si>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</si>
  <si>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</si>
  <si>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</si>
  <si>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</si>
  <si>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</si>
  <si>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</si>
  <si>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</si>
  <si>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</si>
  <si>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</si>
  <si>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</si>
  <si>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</si>
  <si>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</si>
  <si>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</si>
  <si>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</si>
  <si>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</si>
  <si>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</si>
  <si>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</si>
  <si>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</si>
  <si>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Evolución de la energía de almacenamiento Islas Baleares (MWh)</t>
  </si>
  <si>
    <t>Junio 2025</t>
  </si>
  <si>
    <t>Julio 2025</t>
  </si>
  <si>
    <t>Carga baterías</t>
  </si>
  <si>
    <t>Agosto 2025</t>
  </si>
  <si>
    <t>Septiembre 2025</t>
  </si>
  <si>
    <t>Octubre 2025</t>
  </si>
  <si>
    <t>Demanda no peninsular</t>
  </si>
  <si>
    <t>Noviembre 2025</t>
  </si>
  <si>
    <t>30/11/2025</t>
  </si>
  <si>
    <t>Diciembre 2025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</si>
  <si>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ut="12/12/2025 08:26:10" si="2.000000011ccce4285fe3219d88135ebb434eab7eee56385a8cdaf3bba57f2ba12d956fe7cba6e75b7ebfa7c22922658a62ed9e3e56fc861568fcf51463de749c7681650188063e8e9e878bc5776eda2c4660be5914d16d6d92bb8dd3c87c2a01676e05db7895480416df38c9908c5e8ea610c1b4ac57d34f94b5b1be283de5be312b92a2869b185dbf04e60d11e80b366b7cb026b47ef9f57a42ad3680ecf20dc2be22dccfdcacd79ec53a3679324ee58efa6c0036697b01af2c7af3aadba1929b6fea06e5f1c836bab56961a376bde7e14ff322f46391051e3249348c719cc56549f2e4b222b08e43954df8c745b9dc32e2f9ce35f28641f7867fe59857ec62b1f7d0afc960f3eb3fe510190478fda240248b62c5c4d3e6378998eb7c282f88821d.p-3082.0.1_-3082.0.1_0.1.Europe/Madrid.upriv*_1*_pidn2*_15*_session*-lat*_1.00000001321e1cd90509eed3979cd9afd658c62fbc6025e02d2656aa55bb050dc13c36677c40d8f37e199eaab52c7a326e31275da7c6eb02.000000010d855e0c36f96f4d3d1ad816a3a7332ebc6025e0dc2b6bedeb6c322895674d95307a2f8d2f5f66e9be8bb406b6538e33ac34e62d.0.1.1.BDEbi.A2E2948BC74B9CF051A963A6CEDDABFA.0-3082.1.1_-0.1.0_-3082.1.1_5.5.0.*0.00000001aab7c7cb82d8e57a2361587fea5e16b3c911585a1ed05c4681625f75da031989115b2ead.0.23.11*.4*.1200*.00787J.e.00000001f061d651b49a05c73278240579a1217ec911585ae00f3e3bf50e9408c87ed2e899376566.0.10*.131*.138*.19.*0.0.0.0" msgID="E64C17398F459C0F3CA10D8197EAFA2C"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nrr="114"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</si>
  <si>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ut="12/12/2025 08:31:52" si="2.000000011ccce4285fe3219d88135ebb434eab7eee56385a8cdaf3bba57f2ba12d956fe7cba6e75b7ebfa7c22922658a62ed9e3e56fc861568fcf51463de749c7681650188063e8e9e878bc5776eda2c4660be5914d16d6d92bb8dd3c87c2a01676e05db7895480416df38c9908c5e8ea610c1b4ac57d34f94b5b1be283de5be312b92a2869b185dbf04e60d11e80b366b7cb026b47ef9f57a42ad3680ecf20dc2be22dccfdcacd79ec53a3679324ee58efa6c0036697b01af2c7af3aadba1929b6fea06e5f1c836bab56961a376bde7e14ff322f46391051e3249348c719cc56549f2e4b222b08e43954df8c745b9dc32e2f9ce35f28641f7867fe59857ec62b1f7d0afc960f3eb3fe510190478fda240248b62c5c4d3e6378998eb7c282f88821d.p-3082.0.1_-3082.0.1_0.1.Europe/Madrid.upriv*_1*_pidn2*_15*_session*-lat*_1.00000001321e1cd90509eed3979cd9afd658c62fbc6025e02d2656aa55bb050dc13c36677c40d8f37e199eaab52c7a326e31275da7c6eb02.000000010d855e0c36f96f4d3d1ad816a3a7332ebc6025e0dc2b6bedeb6c322895674d95307a2f8d2f5f66e9be8bb406b6538e33ac34e62d.0.1.1.BDEbi.A2E2948BC74B9CF051A963A6CEDDABFA.0-3082.1.1_-0.1.0_-3082.1.1_5.5.0.*0.00000001aab7c7cb82d8e57a2361587fea5e16b3c911585a1ed05c4681625f75da031989115b2ead.0.23.11*.4*.1200*.00787J.e.00000001f061d651b49a05c73278240579a1217ec911585ae00f3e3bf50e9408c87ed2e899376566.0.10*.131*.138*.19.*0.0.0.0" msgID="466FA463054E4BAF96E11E9D3BCDAABF"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nrr="2062" nrc="3808"&gt;&lt;pg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</si>
  <si>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ut="12/12/2025 09:32:06" si="2.000000011ccce4285fe3219d88135ebb434eab7eee56385a8cdaf3bba57f2ba12d956fe7cba6e75b7ebfa7c22922658a62ed9e3e56fc861568fcf51463de749c7681650188063e8e9e878bc5776eda2c4660be5914d16d6d92bb8dd3c87c2a01676e05db7895480416df38c9908c5e8ea610c1b4ac57d34f94b5b1be283de5be312b92a2869b185dbf04e60d11e80b366b7cb026b47ef9f57a42ad3680ecf20dc2be22dccfdcacd79ec53a3679324ee58efa6c0036697b01af2c7af3aadba1929b6fea06e5f1c836bab56961a376bde7e14ff322f46391051e3249348c719cc56549f2e4b222b08e43954df8c745b9dc32e2f9ce35f28641f7867fe59857ec62b1f7d0afc960f3eb3fe510190478fda240248b62c5c4d3e6378998eb7c282f88821d.p-3082.0.1_-3082.0.1_0.1.Europe/Madrid.upriv*_1*_pidn2*_15*_session*-lat*_1.00000001321e1cd90509eed3979cd9afd658c62fbc6025e02d2656aa55bb050dc13c36677c40d8f37e199eaab52c7a326e31275da7c6eb02.000000010d855e0c36f96f4d3d1ad816a3a7332ebc6025e0dc2b6bedeb6c322895674d95307a2f8d2f5f66e9be8bb406b6538e33ac34e62d.0.1.1.BDEbi.A2E2948BC74B9CF051A963A6CEDDABFA.0-3082.1.1_-0.1.0_-3082.1.1_5.5.0.*0.00000001aab7c7cb82d8e57a2361587fea5e16b3c911585a1ed05c4681625f75da031989115b2ead.0.23.11*.4*.1200*.00787J.e.00000001f061d651b49a05c73278240579a1217ec911585ae00f3e3bf50e9408c87ed2e899376566.0.10*.131*.138*.19.*0.0.0.0" msgID="0BE10FE9C54ABF272AD0D781108F5294"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rows="30" cols="26" /&gt;&lt;esdo ews="" ece="" ptn="" /&gt;&lt;/excel&gt;&lt;pgs&gt;&lt;pg rows="27" cols="24" nrr="2947" nrc="2238"&gt;&lt;pg /&gt;&lt;bls&gt;&lt;bl sr="1" sc="1" rfetch="27" cfetch="24" posid="1" darows="0" dacols="1"&gt;&lt;excel&gt;&lt;epo ews="Dat_01" ece="A85" enr="MSTR.Serie_Balance_B.C._Mensual_Baleares_y_Canarias" ptn="" qtn="" rows="30" cols="26" /&gt;&lt;esdo ews="" ece="" ptn="" /&gt;&lt;/excel&gt;&lt;gridRng&gt;&lt;sect id="TITLE_AREA" rngprop="1:1:3:2" /&gt;&lt;sect id="ROWHEADERS_AREA" rngprop="4:1:27:2" /&gt;&lt;sect id="COLUMNHEADERS_AREA" rngprop="1:3:3:24" /&gt;&lt;sect id="DATA_AREA" rngprop="4:3:27:24" /&gt;&lt;/gridRng&gt;&lt;shapes /&gt;&lt;/bl&gt;&lt;/bls&gt;&lt;/pg&gt;&lt;/pgs&gt;&lt;/rptloc&gt;&lt;/mi&gt;</t>
  </si>
  <si>
    <t>&lt;mi app="e" ver="22"&gt;&lt;rptloc guid="c8a810b5eb324a42b0eb076d726a40d1"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ut="12/12/2025 09:35:27" si="2.000000011ccce4285fe3219d88135ebb434eab7eee56385a8cdaf3bba57f2ba12d956fe7cba6e75b7ebfa7c22922658a62ed9e3e56fc861568fcf51463de749c7681650188063e8e9e878bc5776eda2c4660be5914d16d6d92bb8dd3c87c2a01676e05db7895480416df38c9908c5e8ea610c1b4ac57d34f94b5b1be283de5be312b92a2869b185dbf04e60d11e80b366b7cb026b47ef9f57a42ad3680ecf20dc2be22dccfdcacd79ec53a3679324ee58efa6c0036697b01af2c7af3aadba1929b6fea06e5f1c836bab56961a376bde7e14ff322f46391051e3249348c719cc56549f2e4b222b08e43954df8c745b9dc32e2f9ce35f28641f7867fe59857ec62b1f7d0afc960f3eb3fe510190478fda240248b62c5c4d3e6378998eb7c282f88821d.p-3082.0.1_-3082.0.1_0.1.Europe/Madrid.upriv*_1*_pidn2*_15*_session*-lat*_1.00000001321e1cd90509eed3979cd9afd658c62fbc6025e02d2656aa55bb050dc13c36677c40d8f37e199eaab52c7a326e31275da7c6eb02.000000010d855e0c36f96f4d3d1ad816a3a7332ebc6025e0dc2b6bedeb6c322895674d95307a2f8d2f5f66e9be8bb406b6538e33ac34e62d.0.1.1.BDEbi.A2E2948BC74B9CF051A963A6CEDDABFA.0-3082.1.1_-0.1.0_-3082.1.1_5.5.0.*0.00000001aab7c7cb82d8e57a2361587fea5e16b3c911585a1ed05c4681625f75da031989115b2ead.0.23.11*.4*.1200*.00787J.e.00000001f061d651b49a05c73278240579a1217ec911585ae00f3e3bf50e9408c87ed2e899376566.0.10*.131*.138*.19.*0.0.0.0" msgID="C2D3FEB20E452AA8F1D97C872A93DE2F"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ece="A153" enr="MSTR.Variación_y_componentes_mensual_de_la_demanda" ptn="" qtn="" rows="4" cols="14" /&gt;&lt;esdo ews="" ece="" ptn="" /&gt;&lt;/excel&gt;&lt;pgs&gt;&lt;pg rows="1" cols="12" nrr="17" nrc="204"&gt;&lt;pg /&gt;&lt;bls&gt;&lt;bl sr="1" sc="1" rfetch="1" cfetch="12" posid="1" darows="0" dacols="1"&gt;&lt;excel&gt;&lt;epo ews="Dat_01" ece="A153"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</si>
  <si>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d1e5b4093a844398a03880f2f7e66ea5</t>
  </si>
  <si>
    <t>&lt;mi app="e" ver="22"&gt;&lt;rptloc guid="d7d772cc3c7b45a998d873c2620c819c"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ut="12/12/2025 09:35:59" si="2.000000011ccce4285fe3219d88135ebb434eab7eee56385a8cdaf3bba57f2ba12d956fe7cba6e75b7ebfa7c22922658a62ed9e3e56fc861568fcf51463de749c7681650188063e8e9e878bc5776eda2c4660be5914d16d6d92bb8dd3c87c2a01676e05db7895480416df38c9908c5e8ea610c1b4ac57d34f94b5b1be283de5be312b92a2869b185dbf04e60d11e80b366b7cb026b47ef9f57a42ad3680ecf20dc2be22dccfdcacd79ec53a3679324ee58efa6c0036697b01af2c7af3aadba1929b6fea06e5f1c836bab56961a376bde7e14ff322f46391051e3249348c719cc56549f2e4b222b08e43954df8c745b9dc32e2f9ce35f28641f7867fe59857ec62b1f7d0afc960f3eb3fe510190478fda240248b62c5c4d3e6378998eb7c282f88821d.p-3082.0.1_-3082.0.1_0.1.Europe/Madrid.upriv*_1*_pidn2*_15*_session*-lat*_1.00000001321e1cd90509eed3979cd9afd658c62fbc6025e02d2656aa55bb050dc13c36677c40d8f37e199eaab52c7a326e31275da7c6eb02.000000010d855e0c36f96f4d3d1ad816a3a7332ebc6025e0dc2b6bedeb6c322895674d95307a2f8d2f5f66e9be8bb406b6538e33ac34e62d.0.1.1.BDEbi.A2E2948BC74B9CF051A963A6CEDDABFA.0-3082.1.1_-0.1.0_-3082.1.1_5.5.0.*0.00000001aab7c7cb82d8e57a2361587fea5e16b3c911585a1ed05c4681625f75da031989115b2ead.0.23.11*.4*.1200*.00787J.e.00000001f061d651b49a05c73278240579a1217ec911585ae00f3e3bf50e9408c87ed2e899376566.0.10*.131*.138*.19.*0.0.0.0" msgID="B822CE653548B47D28733C950B329995"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ece="A159" enr="MSTR.Variación_y_componentes_mensual_de_la_demanda.1" ptn="" qtn="" rows="4" cols="14" /&gt;&lt;esdo ews="" ece="" ptn="" /&gt;&lt;/excel&gt;&lt;pgs&gt;&lt;pg rows="1" cols="12" nrr="18" nrc="216"&gt;&lt;pg /&gt;&lt;bls&gt;&lt;bl sr="1" sc="1" rfetch="1" cfetch="12" posid="1" darows="0" dacols="1"&gt;&lt;excel&gt;&lt;epo ews="Dat_01" ece="A159"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</si>
</sst>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</numFmts>
  <fonts count="59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</borders>
  <cellStyleXfs count="36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71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0" fontId="45" fillId="0" borderId="0" xfId="0" applyFont="1" applyAlignment="1">
      <alignment horizontal="center"/>
    </xf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165" fontId="44" fillId="2" borderId="0" xfId="3" applyNumberFormat="1" applyFont="1" applyFill="1" applyAlignment="1">
      <alignment horizontal="left" indent="1"/>
    </xf>
    <xf numFmtId="0" fontId="7" fillId="0" borderId="0" xfId="0" applyFont="1"/>
    <xf numFmtId="0" fontId="57" fillId="0" borderId="0" xfId="0" applyFont="1"/>
    <xf numFmtId="4" fontId="44" fillId="2" borderId="0" xfId="3" applyNumberFormat="1" applyFont="1" applyFill="1" applyAlignment="1">
      <alignment horizontal="right" indent="1"/>
    </xf>
    <xf numFmtId="10" fontId="57" fillId="0" borderId="0" xfId="35" applyNumberFormat="1" applyFont="1"/>
    <xf numFmtId="10" fontId="44" fillId="2" borderId="0" xfId="34" applyNumberFormat="1" applyFont="1" applyFill="1" applyAlignment="1">
      <alignment horizontal="right" indent="1"/>
    </xf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0" fontId="35" fillId="5" borderId="40" xfId="18" applyBorder="1" applyAlignment="1">
      <alignment horizontal="left" vertical="center"/>
    </xf>
    <xf numFmtId="164" fontId="0" fillId="0" borderId="0" xfId="0" applyNumberFormat="1"/>
    <xf numFmtId="168" fontId="0" fillId="0" borderId="0" xfId="0" applyNumberFormat="1"/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5" fillId="5" borderId="16" xfId="18" quotePrefix="1" applyBorder="1" applyAlignment="1">
      <alignment horizontal="left" vertical="center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47" fillId="10" borderId="10" xfId="31" quotePrefix="1" applyAlignment="1">
      <alignment horizont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36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3_ad47ecc7-7d15-4cb6-8d9a-93aa07ca2c9c" xfId="19" xr:uid="{00000000-0005-0000-0000-000004000000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ee34052e-6a5a-4931-979c-9f16bd5045b9" xfId="18" xr:uid="{00000000-0005-0000-0000-000010000000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Normal" xfId="0" builtinId="0"/>
    <cellStyle name="Normal 2" xfId="4" xr:uid="{00000000-0005-0000-0000-000014000000}"/>
    <cellStyle name="Normal 2 2" xfId="11" xr:uid="{00000000-0005-0000-0000-000015000000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08B2AD"/>
      <color rgb="FF03738B"/>
      <color rgb="FF007CF9"/>
      <color rgb="FFAF8E00"/>
      <color rgb="FF00CCFF"/>
      <color rgb="FF8DA69F"/>
      <color rgb="FFCFA2CA"/>
      <color rgb="FFCCFF99"/>
      <color rgb="FFD9D9D9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10.589864241167438</c:v>
                </c:pt>
                <c:pt idx="1">
                  <c:v>6.1203444246216465</c:v>
                </c:pt>
                <c:pt idx="2">
                  <c:v>26.479051093897528</c:v>
                </c:pt>
                <c:pt idx="3">
                  <c:v>36.129350265574985</c:v>
                </c:pt>
                <c:pt idx="4">
                  <c:v>0</c:v>
                </c:pt>
                <c:pt idx="5">
                  <c:v>0.46201136571229257</c:v>
                </c:pt>
                <c:pt idx="6">
                  <c:v>1.6420436261180025</c:v>
                </c:pt>
                <c:pt idx="7">
                  <c:v>1.6420436261180025</c:v>
                </c:pt>
                <c:pt idx="8">
                  <c:v>0.1561917165752619</c:v>
                </c:pt>
                <c:pt idx="9">
                  <c:v>16.431548374323135</c:v>
                </c:pt>
                <c:pt idx="10">
                  <c:v>0.3475512658917142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81.105021682249443</c:v>
                </c:pt>
                <c:pt idx="1">
                  <c:v>18.894978317750549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0.28431800000000002</c:v>
                </c:pt>
                <c:pt idx="1">
                  <c:v>0.28783500000000001</c:v>
                </c:pt>
                <c:pt idx="2">
                  <c:v>0.285242</c:v>
                </c:pt>
                <c:pt idx="3">
                  <c:v>5.4619000000000001E-2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Dat_01!$B$140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Dat_01!$C$140:$O$140</c:f>
              <c:numCache>
                <c:formatCode>#,##0.0</c:formatCode>
                <c:ptCount val="13"/>
                <c:pt idx="0">
                  <c:v>162.623898</c:v>
                </c:pt>
                <c:pt idx="1">
                  <c:v>158.879446</c:v>
                </c:pt>
                <c:pt idx="2">
                  <c:v>164.446281</c:v>
                </c:pt>
                <c:pt idx="3">
                  <c:v>147.68749600000001</c:v>
                </c:pt>
                <c:pt idx="4">
                  <c:v>173.83343199999999</c:v>
                </c:pt>
                <c:pt idx="5">
                  <c:v>146.76996600000001</c:v>
                </c:pt>
                <c:pt idx="6">
                  <c:v>139.11880199999999</c:v>
                </c:pt>
                <c:pt idx="7">
                  <c:v>133.45317499999999</c:v>
                </c:pt>
                <c:pt idx="8">
                  <c:v>138.95270500000001</c:v>
                </c:pt>
                <c:pt idx="9">
                  <c:v>156.42968200000001</c:v>
                </c:pt>
                <c:pt idx="10">
                  <c:v>146.533942</c:v>
                </c:pt>
                <c:pt idx="11">
                  <c:v>159.05462600000001</c:v>
                </c:pt>
                <c:pt idx="12">
                  <c:v>144.58958999999999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Dat_01!$B$141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Dat_01!$C$141:$O$141</c:f>
              <c:numCache>
                <c:formatCode>#,##0.0</c:formatCode>
                <c:ptCount val="13"/>
                <c:pt idx="0">
                  <c:v>29.713279</c:v>
                </c:pt>
                <c:pt idx="1">
                  <c:v>20.429556000000002</c:v>
                </c:pt>
                <c:pt idx="2">
                  <c:v>37.045735999999998</c:v>
                </c:pt>
                <c:pt idx="3">
                  <c:v>22.268398999999999</c:v>
                </c:pt>
                <c:pt idx="4">
                  <c:v>28.510366000000001</c:v>
                </c:pt>
                <c:pt idx="5">
                  <c:v>15.002691</c:v>
                </c:pt>
                <c:pt idx="6">
                  <c:v>15.518791</c:v>
                </c:pt>
                <c:pt idx="7">
                  <c:v>14.439681999999999</c:v>
                </c:pt>
                <c:pt idx="8">
                  <c:v>17.277450000000002</c:v>
                </c:pt>
                <c:pt idx="9">
                  <c:v>21.905667999999999</c:v>
                </c:pt>
                <c:pt idx="10">
                  <c:v>21.204673</c:v>
                </c:pt>
                <c:pt idx="11">
                  <c:v>28.960232999999999</c:v>
                </c:pt>
                <c:pt idx="12">
                  <c:v>21.440702000000002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Dat_01!$B$142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Dat_01!$C$142:$O$142</c:f>
              <c:numCache>
                <c:formatCode>#,##0.0</c:formatCode>
                <c:ptCount val="13"/>
                <c:pt idx="0">
                  <c:v>91.813715999999999</c:v>
                </c:pt>
                <c:pt idx="1">
                  <c:v>71.233320000000006</c:v>
                </c:pt>
                <c:pt idx="2">
                  <c:v>82.867552000000003</c:v>
                </c:pt>
                <c:pt idx="3">
                  <c:v>111.33349800000001</c:v>
                </c:pt>
                <c:pt idx="4">
                  <c:v>126.580506</c:v>
                </c:pt>
                <c:pt idx="5">
                  <c:v>98.063034000000002</c:v>
                </c:pt>
                <c:pt idx="6">
                  <c:v>81.823025999999999</c:v>
                </c:pt>
                <c:pt idx="7">
                  <c:v>84.304407999999995</c:v>
                </c:pt>
                <c:pt idx="8">
                  <c:v>97.386711000000005</c:v>
                </c:pt>
                <c:pt idx="9">
                  <c:v>100.206506</c:v>
                </c:pt>
                <c:pt idx="10">
                  <c:v>99.346721000000002</c:v>
                </c:pt>
                <c:pt idx="11">
                  <c:v>125.044641</c:v>
                </c:pt>
                <c:pt idx="12">
                  <c:v>112.281066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391.60655400000002</c:v>
                </c:pt>
                <c:pt idx="1">
                  <c:v>377.87321400000002</c:v>
                </c:pt>
                <c:pt idx="2">
                  <c:v>342.56568199999998</c:v>
                </c:pt>
                <c:pt idx="3">
                  <c:v>249.83534599999999</c:v>
                </c:pt>
                <c:pt idx="4">
                  <c:v>290.37200899999999</c:v>
                </c:pt>
                <c:pt idx="5">
                  <c:v>290.70250900000002</c:v>
                </c:pt>
                <c:pt idx="6">
                  <c:v>328.785506</c:v>
                </c:pt>
                <c:pt idx="7">
                  <c:v>284.15903500000002</c:v>
                </c:pt>
                <c:pt idx="8">
                  <c:v>316.61882300000002</c:v>
                </c:pt>
                <c:pt idx="9">
                  <c:v>340.02993600000002</c:v>
                </c:pt>
                <c:pt idx="10">
                  <c:v>307.60187999999999</c:v>
                </c:pt>
                <c:pt idx="11">
                  <c:v>357.47449</c:v>
                </c:pt>
                <c:pt idx="12">
                  <c:v>343.63677799999999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0.32408100000000001</c:v>
                </c:pt>
                <c:pt idx="1">
                  <c:v>1.363745</c:v>
                </c:pt>
                <c:pt idx="2">
                  <c:v>1.249555</c:v>
                </c:pt>
                <c:pt idx="3">
                  <c:v>1.142978</c:v>
                </c:pt>
                <c:pt idx="4">
                  <c:v>1.2419039999999999</c:v>
                </c:pt>
                <c:pt idx="5">
                  <c:v>1.7632380000000001</c:v>
                </c:pt>
                <c:pt idx="6">
                  <c:v>1.701465</c:v>
                </c:pt>
                <c:pt idx="7">
                  <c:v>2.9528669999999999</c:v>
                </c:pt>
                <c:pt idx="8">
                  <c:v>3.1269979999999999</c:v>
                </c:pt>
                <c:pt idx="9">
                  <c:v>2.6583589999999999</c:v>
                </c:pt>
                <c:pt idx="10">
                  <c:v>2.5908169999999999</c:v>
                </c:pt>
                <c:pt idx="11">
                  <c:v>1.167157</c:v>
                </c:pt>
                <c:pt idx="12">
                  <c:v>0.94978899999999999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42.203436000000004</c:v>
                </c:pt>
                <c:pt idx="1">
                  <c:v>98.604742999999999</c:v>
                </c:pt>
                <c:pt idx="2">
                  <c:v>94.891767999999999</c:v>
                </c:pt>
                <c:pt idx="3">
                  <c:v>107.781023</c:v>
                </c:pt>
                <c:pt idx="4">
                  <c:v>77.912910999999994</c:v>
                </c:pt>
                <c:pt idx="5">
                  <c:v>105.255258</c:v>
                </c:pt>
                <c:pt idx="6">
                  <c:v>99.380206999999999</c:v>
                </c:pt>
                <c:pt idx="7">
                  <c:v>143.378455</c:v>
                </c:pt>
                <c:pt idx="8">
                  <c:v>163.042329</c:v>
                </c:pt>
                <c:pt idx="9">
                  <c:v>149.38965200000001</c:v>
                </c:pt>
                <c:pt idx="10">
                  <c:v>165.43566200000001</c:v>
                </c:pt>
                <c:pt idx="11">
                  <c:v>84.269589999999994</c:v>
                </c:pt>
                <c:pt idx="12">
                  <c:v>110.859167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28.568382</c:v>
                </c:pt>
                <c:pt idx="1">
                  <c:v>27.419523999999999</c:v>
                </c:pt>
                <c:pt idx="2">
                  <c:v>32.201141</c:v>
                </c:pt>
                <c:pt idx="3">
                  <c:v>36.099778000000001</c:v>
                </c:pt>
                <c:pt idx="4">
                  <c:v>37.572127000000002</c:v>
                </c:pt>
                <c:pt idx="5">
                  <c:v>38.334235999999997</c:v>
                </c:pt>
                <c:pt idx="6">
                  <c:v>44.380906000000003</c:v>
                </c:pt>
                <c:pt idx="7">
                  <c:v>42.392861000000003</c:v>
                </c:pt>
                <c:pt idx="8">
                  <c:v>44.388679000000003</c:v>
                </c:pt>
                <c:pt idx="9">
                  <c:v>45.802045</c:v>
                </c:pt>
                <c:pt idx="10">
                  <c:v>39.475147</c:v>
                </c:pt>
                <c:pt idx="11">
                  <c:v>35.817155999999997</c:v>
                </c:pt>
                <c:pt idx="12">
                  <c:v>32.339796999999997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1.1775519999999999</c:v>
                </c:pt>
                <c:pt idx="1">
                  <c:v>1.130485</c:v>
                </c:pt>
                <c:pt idx="2">
                  <c:v>1.1695549999999999</c:v>
                </c:pt>
                <c:pt idx="3">
                  <c:v>1.2032910000000001</c:v>
                </c:pt>
                <c:pt idx="4">
                  <c:v>1.447702</c:v>
                </c:pt>
                <c:pt idx="5">
                  <c:v>1.4667380000000001</c:v>
                </c:pt>
                <c:pt idx="6">
                  <c:v>1.444064</c:v>
                </c:pt>
                <c:pt idx="7">
                  <c:v>1.2805299999999999</c:v>
                </c:pt>
                <c:pt idx="8">
                  <c:v>1.163958</c:v>
                </c:pt>
                <c:pt idx="9">
                  <c:v>0.98014500000000004</c:v>
                </c:pt>
                <c:pt idx="10">
                  <c:v>0.36074600000000001</c:v>
                </c:pt>
                <c:pt idx="11">
                  <c:v>0.77339199999999997</c:v>
                </c:pt>
                <c:pt idx="12">
                  <c:v>0.74605500000000002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0.28431800000000002</c:v>
                </c:pt>
                <c:pt idx="1">
                  <c:v>0.28783500000000001</c:v>
                </c:pt>
                <c:pt idx="2">
                  <c:v>0.285242</c:v>
                </c:pt>
                <c:pt idx="3">
                  <c:v>5.4619000000000001E-2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Dat_01!$B$150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Dat_01!$C$150:$O$150</c:f>
              <c:numCache>
                <c:formatCode>#,##0</c:formatCode>
                <c:ptCount val="13"/>
                <c:pt idx="0">
                  <c:v>284.150893</c:v>
                </c:pt>
                <c:pt idx="1">
                  <c:v>250.54232200000001</c:v>
                </c:pt>
                <c:pt idx="2">
                  <c:v>284.35956900000002</c:v>
                </c:pt>
                <c:pt idx="3">
                  <c:v>281.28939300000002</c:v>
                </c:pt>
                <c:pt idx="4">
                  <c:v>328.92430400000001</c:v>
                </c:pt>
                <c:pt idx="5">
                  <c:v>259.835691</c:v>
                </c:pt>
                <c:pt idx="6">
                  <c:v>236.46061899999998</c:v>
                </c:pt>
                <c:pt idx="7">
                  <c:v>232.19726499999999</c:v>
                </c:pt>
                <c:pt idx="8">
                  <c:v>253.61686600000002</c:v>
                </c:pt>
                <c:pt idx="9">
                  <c:v>278.541856</c:v>
                </c:pt>
                <c:pt idx="10">
                  <c:v>267.08533599999998</c:v>
                </c:pt>
                <c:pt idx="11">
                  <c:v>313.05950000000001</c:v>
                </c:pt>
                <c:pt idx="12">
                  <c:v>278.31135799999998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391.60655400000002</c:v>
                </c:pt>
                <c:pt idx="1">
                  <c:v>377.87321400000002</c:v>
                </c:pt>
                <c:pt idx="2">
                  <c:v>342.56568199999998</c:v>
                </c:pt>
                <c:pt idx="3">
                  <c:v>249.83534599999999</c:v>
                </c:pt>
                <c:pt idx="4">
                  <c:v>290.37200899999999</c:v>
                </c:pt>
                <c:pt idx="5">
                  <c:v>290.70250900000002</c:v>
                </c:pt>
                <c:pt idx="6">
                  <c:v>328.785506</c:v>
                </c:pt>
                <c:pt idx="7">
                  <c:v>284.15903500000002</c:v>
                </c:pt>
                <c:pt idx="8">
                  <c:v>316.61882300000002</c:v>
                </c:pt>
                <c:pt idx="9">
                  <c:v>340.02993600000002</c:v>
                </c:pt>
                <c:pt idx="10">
                  <c:v>307.60187999999999</c:v>
                </c:pt>
                <c:pt idx="11">
                  <c:v>357.47449</c:v>
                </c:pt>
                <c:pt idx="12">
                  <c:v>343.63677799999999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0.32408100000000001</c:v>
                </c:pt>
                <c:pt idx="1">
                  <c:v>1.363745</c:v>
                </c:pt>
                <c:pt idx="2">
                  <c:v>1.249555</c:v>
                </c:pt>
                <c:pt idx="3">
                  <c:v>1.142978</c:v>
                </c:pt>
                <c:pt idx="4">
                  <c:v>1.2419039999999999</c:v>
                </c:pt>
                <c:pt idx="5">
                  <c:v>1.7632380000000001</c:v>
                </c:pt>
                <c:pt idx="6">
                  <c:v>1.701465</c:v>
                </c:pt>
                <c:pt idx="7">
                  <c:v>2.9528669999999999</c:v>
                </c:pt>
                <c:pt idx="8">
                  <c:v>3.1269979999999999</c:v>
                </c:pt>
                <c:pt idx="9">
                  <c:v>2.6583589999999999</c:v>
                </c:pt>
                <c:pt idx="10">
                  <c:v>2.5908169999999999</c:v>
                </c:pt>
                <c:pt idx="11">
                  <c:v>1.167157</c:v>
                </c:pt>
                <c:pt idx="12">
                  <c:v>0.94978899999999999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42.203436000000004</c:v>
                </c:pt>
                <c:pt idx="1">
                  <c:v>98.604742999999999</c:v>
                </c:pt>
                <c:pt idx="2">
                  <c:v>94.891767999999999</c:v>
                </c:pt>
                <c:pt idx="3">
                  <c:v>107.781023</c:v>
                </c:pt>
                <c:pt idx="4">
                  <c:v>77.912910999999994</c:v>
                </c:pt>
                <c:pt idx="5">
                  <c:v>105.255258</c:v>
                </c:pt>
                <c:pt idx="6">
                  <c:v>99.380206999999999</c:v>
                </c:pt>
                <c:pt idx="7">
                  <c:v>143.378455</c:v>
                </c:pt>
                <c:pt idx="8">
                  <c:v>163.042329</c:v>
                </c:pt>
                <c:pt idx="9">
                  <c:v>149.38965200000001</c:v>
                </c:pt>
                <c:pt idx="10">
                  <c:v>165.43566200000001</c:v>
                </c:pt>
                <c:pt idx="11">
                  <c:v>84.269589999999994</c:v>
                </c:pt>
                <c:pt idx="12">
                  <c:v>110.859167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28.568382</c:v>
                </c:pt>
                <c:pt idx="1">
                  <c:v>27.419523999999999</c:v>
                </c:pt>
                <c:pt idx="2">
                  <c:v>32.201141</c:v>
                </c:pt>
                <c:pt idx="3">
                  <c:v>36.099778000000001</c:v>
                </c:pt>
                <c:pt idx="4">
                  <c:v>37.572127000000002</c:v>
                </c:pt>
                <c:pt idx="5">
                  <c:v>38.334235999999997</c:v>
                </c:pt>
                <c:pt idx="6">
                  <c:v>44.380906000000003</c:v>
                </c:pt>
                <c:pt idx="7">
                  <c:v>42.392861000000003</c:v>
                </c:pt>
                <c:pt idx="8">
                  <c:v>44.388679000000003</c:v>
                </c:pt>
                <c:pt idx="9">
                  <c:v>45.802045</c:v>
                </c:pt>
                <c:pt idx="10">
                  <c:v>39.475147</c:v>
                </c:pt>
                <c:pt idx="11">
                  <c:v>35.817155999999997</c:v>
                </c:pt>
                <c:pt idx="12">
                  <c:v>32.339796999999997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1.1775519999999999</c:v>
                </c:pt>
                <c:pt idx="1">
                  <c:v>1.130485</c:v>
                </c:pt>
                <c:pt idx="2">
                  <c:v>1.1695549999999999</c:v>
                </c:pt>
                <c:pt idx="3">
                  <c:v>1.2032910000000001</c:v>
                </c:pt>
                <c:pt idx="4">
                  <c:v>1.447702</c:v>
                </c:pt>
                <c:pt idx="5">
                  <c:v>1.4667380000000001</c:v>
                </c:pt>
                <c:pt idx="6">
                  <c:v>1.444064</c:v>
                </c:pt>
                <c:pt idx="7">
                  <c:v>1.2805299999999999</c:v>
                </c:pt>
                <c:pt idx="8">
                  <c:v>1.163958</c:v>
                </c:pt>
                <c:pt idx="9">
                  <c:v>0.98014500000000004</c:v>
                </c:pt>
                <c:pt idx="10">
                  <c:v>0.36074600000000001</c:v>
                </c:pt>
                <c:pt idx="11">
                  <c:v>0.77339199999999997</c:v>
                </c:pt>
                <c:pt idx="12">
                  <c:v>0.74605500000000002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Dat_01!$B$167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N</c:v>
                </c:pt>
                <c:pt idx="1">
                  <c:v>D</c:v>
                </c:pt>
                <c:pt idx="2">
                  <c:v>E</c:v>
                </c:pt>
                <c:pt idx="3">
                  <c:v>F</c:v>
                </c:pt>
                <c:pt idx="4">
                  <c:v>M</c:v>
                </c:pt>
                <c:pt idx="5">
                  <c:v>A</c:v>
                </c:pt>
                <c:pt idx="6">
                  <c:v>M</c:v>
                </c:pt>
                <c:pt idx="7">
                  <c:v>J</c:v>
                </c:pt>
                <c:pt idx="8">
                  <c:v>J</c:v>
                </c:pt>
                <c:pt idx="9">
                  <c:v>A</c:v>
                </c:pt>
                <c:pt idx="10">
                  <c:v>S</c:v>
                </c:pt>
                <c:pt idx="11">
                  <c:v>O</c:v>
                </c:pt>
                <c:pt idx="12">
                  <c:v>N</c:v>
                </c:pt>
              </c:strCache>
            </c:strRef>
          </c:cat>
          <c:val>
            <c:numRef>
              <c:f>Dat_01!$C$167:$O$167</c:f>
              <c:numCache>
                <c:formatCode>#,##0.000</c:formatCode>
                <c:ptCount val="13"/>
                <c:pt idx="0">
                  <c:v>43.603000000000002</c:v>
                </c:pt>
                <c:pt idx="1">
                  <c:v>10.196999999999999</c:v>
                </c:pt>
                <c:pt idx="2">
                  <c:v>5.3210000000000006</c:v>
                </c:pt>
                <c:pt idx="3">
                  <c:v>9.2089999999999996</c:v>
                </c:pt>
                <c:pt idx="4">
                  <c:v>1.5620000000000001</c:v>
                </c:pt>
                <c:pt idx="5">
                  <c:v>0.98100000000000009</c:v>
                </c:pt>
                <c:pt idx="6">
                  <c:v>8.0190000000000001</c:v>
                </c:pt>
                <c:pt idx="7">
                  <c:v>33.307000000000002</c:v>
                </c:pt>
                <c:pt idx="8">
                  <c:v>25.804000000000002</c:v>
                </c:pt>
                <c:pt idx="9">
                  <c:v>0</c:v>
                </c:pt>
                <c:pt idx="10">
                  <c:v>2.65</c:v>
                </c:pt>
                <c:pt idx="11">
                  <c:v>1.1019999999999999</c:v>
                </c:pt>
                <c:pt idx="12" formatCode="#,##0.00">
                  <c:v>1.536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Dat_01!$B$168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N</c:v>
                </c:pt>
                <c:pt idx="1">
                  <c:v>D</c:v>
                </c:pt>
                <c:pt idx="2">
                  <c:v>E</c:v>
                </c:pt>
                <c:pt idx="3">
                  <c:v>F</c:v>
                </c:pt>
                <c:pt idx="4">
                  <c:v>M</c:v>
                </c:pt>
                <c:pt idx="5">
                  <c:v>A</c:v>
                </c:pt>
                <c:pt idx="6">
                  <c:v>M</c:v>
                </c:pt>
                <c:pt idx="7">
                  <c:v>J</c:v>
                </c:pt>
                <c:pt idx="8">
                  <c:v>J</c:v>
                </c:pt>
                <c:pt idx="9">
                  <c:v>A</c:v>
                </c:pt>
                <c:pt idx="10">
                  <c:v>S</c:v>
                </c:pt>
                <c:pt idx="11">
                  <c:v>O</c:v>
                </c:pt>
                <c:pt idx="12">
                  <c:v>N</c:v>
                </c:pt>
              </c:strCache>
            </c:strRef>
          </c:cat>
          <c:val>
            <c:numRef>
              <c:f>Dat_01!$C$168:$O$168</c:f>
              <c:numCache>
                <c:formatCode>#,##0.000</c:formatCode>
                <c:ptCount val="13"/>
                <c:pt idx="0">
                  <c:v>-87.81</c:v>
                </c:pt>
                <c:pt idx="1">
                  <c:v>-24.122</c:v>
                </c:pt>
                <c:pt idx="2">
                  <c:v>-20.024000000000001</c:v>
                </c:pt>
                <c:pt idx="3">
                  <c:v>-19.650000000000002</c:v>
                </c:pt>
                <c:pt idx="4">
                  <c:v>-6.5549999999999997</c:v>
                </c:pt>
                <c:pt idx="5">
                  <c:v>-6.423</c:v>
                </c:pt>
                <c:pt idx="6">
                  <c:v>-27.414000000000001</c:v>
                </c:pt>
                <c:pt idx="7">
                  <c:v>-66.456000000000003</c:v>
                </c:pt>
                <c:pt idx="8">
                  <c:v>-84.402000000000001</c:v>
                </c:pt>
                <c:pt idx="9">
                  <c:v>-3.7090000000000001</c:v>
                </c:pt>
                <c:pt idx="10">
                  <c:v>-8.4089999999999989</c:v>
                </c:pt>
                <c:pt idx="11">
                  <c:v>-6.4119999999999999</c:v>
                </c:pt>
                <c:pt idx="12" formatCode="#,##0.00">
                  <c:v>-5.601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Dat_01!$B$169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Dat_01!$C$166:$O$166</c:f>
              <c:strCache>
                <c:ptCount val="13"/>
                <c:pt idx="0">
                  <c:v>N</c:v>
                </c:pt>
                <c:pt idx="1">
                  <c:v>D</c:v>
                </c:pt>
                <c:pt idx="2">
                  <c:v>E</c:v>
                </c:pt>
                <c:pt idx="3">
                  <c:v>F</c:v>
                </c:pt>
                <c:pt idx="4">
                  <c:v>M</c:v>
                </c:pt>
                <c:pt idx="5">
                  <c:v>A</c:v>
                </c:pt>
                <c:pt idx="6">
                  <c:v>M</c:v>
                </c:pt>
                <c:pt idx="7">
                  <c:v>J</c:v>
                </c:pt>
                <c:pt idx="8">
                  <c:v>J</c:v>
                </c:pt>
                <c:pt idx="9">
                  <c:v>A</c:v>
                </c:pt>
                <c:pt idx="10">
                  <c:v>S</c:v>
                </c:pt>
                <c:pt idx="11">
                  <c:v>O</c:v>
                </c:pt>
                <c:pt idx="12">
                  <c:v>N</c:v>
                </c:pt>
              </c:strCache>
            </c:strRef>
          </c:cat>
          <c:val>
            <c:numRef>
              <c:f>Dat_01!$C$169:$O$169</c:f>
              <c:numCache>
                <c:formatCode>#,##0.000</c:formatCode>
                <c:ptCount val="13"/>
                <c:pt idx="0">
                  <c:v>-44.207000000000001</c:v>
                </c:pt>
                <c:pt idx="1">
                  <c:v>-13.925000000000001</c:v>
                </c:pt>
                <c:pt idx="2">
                  <c:v>-14.702999999999999</c:v>
                </c:pt>
                <c:pt idx="3">
                  <c:v>-10.441000000000003</c:v>
                </c:pt>
                <c:pt idx="4">
                  <c:v>-4.9929999999999994</c:v>
                </c:pt>
                <c:pt idx="5">
                  <c:v>-5.4420000000000002</c:v>
                </c:pt>
                <c:pt idx="6">
                  <c:v>-19.395000000000003</c:v>
                </c:pt>
                <c:pt idx="7">
                  <c:v>-33.149000000000001</c:v>
                </c:pt>
                <c:pt idx="8">
                  <c:v>-58.597999999999999</c:v>
                </c:pt>
                <c:pt idx="9">
                  <c:v>-3.7090000000000001</c:v>
                </c:pt>
                <c:pt idx="10">
                  <c:v>-5.7589999999999986</c:v>
                </c:pt>
                <c:pt idx="11">
                  <c:v>-5.3100000000000005</c:v>
                </c:pt>
                <c:pt idx="12">
                  <c:v>-4.0649999999999995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81.422665017091873</c:v>
                </c:pt>
                <c:pt idx="1">
                  <c:v>18.577334982908113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18612244897959171"/>
                  <c:y val="-5.308078868190254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1730612244897958"/>
                  <c:y val="5.13706963100200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16653061224489796"/>
                  <c:y val="6.7973856209150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30367346938775508"/>
                  <c:y val="9.4117647058823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2742857142857143"/>
                  <c:y val="-5.228758169934640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5.0133886245724399</c:v>
                </c:pt>
                <c:pt idx="2">
                  <c:v>9.5114385682527001</c:v>
                </c:pt>
                <c:pt idx="3">
                  <c:v>68.789425282658328</c:v>
                </c:pt>
                <c:pt idx="5">
                  <c:v>0.74074158488232733</c:v>
                </c:pt>
                <c:pt idx="6">
                  <c:v>3.6381225450934238</c:v>
                </c:pt>
                <c:pt idx="7">
                  <c:v>3.6381225450934238</c:v>
                </c:pt>
                <c:pt idx="8">
                  <c:v>0</c:v>
                </c:pt>
                <c:pt idx="9">
                  <c:v>8.278551625594897</c:v>
                </c:pt>
                <c:pt idx="10">
                  <c:v>0.39020922385246387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87.693116605459224</c:v>
                </c:pt>
                <c:pt idx="1">
                  <c:v>12.306883394540785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4.6319679999999996</c:v>
                </c:pt>
                <c:pt idx="3">
                  <c:v>61.004249999999999</c:v>
                </c:pt>
                <c:pt idx="4">
                  <c:v>29.608969999999999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Dat_01!$C$122:$O$122</c:f>
              <c:numCache>
                <c:formatCode>#,##0.0</c:formatCode>
                <c:ptCount val="13"/>
                <c:pt idx="0">
                  <c:v>8.0420429999999996</c:v>
                </c:pt>
                <c:pt idx="1">
                  <c:v>8.2701910000000005</c:v>
                </c:pt>
                <c:pt idx="2">
                  <c:v>8.5854890000000008</c:v>
                </c:pt>
                <c:pt idx="3">
                  <c:v>6.4758909999999998</c:v>
                </c:pt>
                <c:pt idx="4">
                  <c:v>7.3957850000000001</c:v>
                </c:pt>
                <c:pt idx="5">
                  <c:v>13.863616</c:v>
                </c:pt>
                <c:pt idx="6">
                  <c:v>17.616911000000002</c:v>
                </c:pt>
                <c:pt idx="7">
                  <c:v>36.758597999999999</c:v>
                </c:pt>
                <c:pt idx="8">
                  <c:v>62.363782</c:v>
                </c:pt>
                <c:pt idx="9">
                  <c:v>66.467855</c:v>
                </c:pt>
                <c:pt idx="10">
                  <c:v>45.454340000000002</c:v>
                </c:pt>
                <c:pt idx="11">
                  <c:v>22.456917000000001</c:v>
                </c:pt>
                <c:pt idx="12">
                  <c:v>17.069234000000002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Dat_01!$C$123:$O$123</c:f>
              <c:numCache>
                <c:formatCode>#,##0.0</c:formatCode>
                <c:ptCount val="13"/>
                <c:pt idx="0">
                  <c:v>22.217787999999999</c:v>
                </c:pt>
                <c:pt idx="1">
                  <c:v>25.456890999999999</c:v>
                </c:pt>
                <c:pt idx="2">
                  <c:v>23.827804</c:v>
                </c:pt>
                <c:pt idx="3">
                  <c:v>22.326347999999999</c:v>
                </c:pt>
                <c:pt idx="4">
                  <c:v>24.290578</c:v>
                </c:pt>
                <c:pt idx="5">
                  <c:v>25.040586000000001</c:v>
                </c:pt>
                <c:pt idx="6">
                  <c:v>25.468105999999999</c:v>
                </c:pt>
                <c:pt idx="7">
                  <c:v>46.078491</c:v>
                </c:pt>
                <c:pt idx="8">
                  <c:v>58.218541000000002</c:v>
                </c:pt>
                <c:pt idx="9">
                  <c:v>51.241262999999996</c:v>
                </c:pt>
                <c:pt idx="10">
                  <c:v>39.777388999999999</c:v>
                </c:pt>
                <c:pt idx="11">
                  <c:v>43.751629999999999</c:v>
                </c:pt>
                <c:pt idx="12">
                  <c:v>32.383879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228.35513399999999</c:v>
                </c:pt>
                <c:pt idx="1">
                  <c:v>287.61223999999999</c:v>
                </c:pt>
                <c:pt idx="2">
                  <c:v>284.762474</c:v>
                </c:pt>
                <c:pt idx="3">
                  <c:v>188.665806</c:v>
                </c:pt>
                <c:pt idx="4">
                  <c:v>223.33681300000001</c:v>
                </c:pt>
                <c:pt idx="5">
                  <c:v>226.567814</c:v>
                </c:pt>
                <c:pt idx="6">
                  <c:v>243.85669100000001</c:v>
                </c:pt>
                <c:pt idx="7">
                  <c:v>273.81515200000001</c:v>
                </c:pt>
                <c:pt idx="8">
                  <c:v>334.267562</c:v>
                </c:pt>
                <c:pt idx="9">
                  <c:v>319.07413400000002</c:v>
                </c:pt>
                <c:pt idx="10">
                  <c:v>274.82982800000002</c:v>
                </c:pt>
                <c:pt idx="11">
                  <c:v>257.021049</c:v>
                </c:pt>
                <c:pt idx="12">
                  <c:v>234.20941099999999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27.233916000000001</c:v>
                </c:pt>
                <c:pt idx="1">
                  <c:v>25.260021999999999</c:v>
                </c:pt>
                <c:pt idx="2">
                  <c:v>27.366243000000001</c:v>
                </c:pt>
                <c:pt idx="3">
                  <c:v>29.660162</c:v>
                </c:pt>
                <c:pt idx="4">
                  <c:v>33.930326999999998</c:v>
                </c:pt>
                <c:pt idx="5">
                  <c:v>48.904601999999997</c:v>
                </c:pt>
                <c:pt idx="6">
                  <c:v>53.663460000000001</c:v>
                </c:pt>
                <c:pt idx="7">
                  <c:v>62.733255</c:v>
                </c:pt>
                <c:pt idx="8">
                  <c:v>56.807785000000003</c:v>
                </c:pt>
                <c:pt idx="9">
                  <c:v>56.215967999999997</c:v>
                </c:pt>
                <c:pt idx="10">
                  <c:v>48.014598999999997</c:v>
                </c:pt>
                <c:pt idx="11">
                  <c:v>37.975015999999997</c:v>
                </c:pt>
                <c:pt idx="12">
                  <c:v>28.186232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0.27039800000000003</c:v>
                </c:pt>
                <c:pt idx="1">
                  <c:v>0.23000100000000001</c:v>
                </c:pt>
                <c:pt idx="2">
                  <c:v>0.256185</c:v>
                </c:pt>
                <c:pt idx="3">
                  <c:v>0.25728499999999999</c:v>
                </c:pt>
                <c:pt idx="4">
                  <c:v>0.27165699999999998</c:v>
                </c:pt>
                <c:pt idx="5">
                  <c:v>0.216173</c:v>
                </c:pt>
                <c:pt idx="6">
                  <c:v>0.242977</c:v>
                </c:pt>
                <c:pt idx="7">
                  <c:v>0.25375799999999998</c:v>
                </c:pt>
                <c:pt idx="8">
                  <c:v>0.13533500000000001</c:v>
                </c:pt>
                <c:pt idx="9">
                  <c:v>6.2700000000000006E-2</c:v>
                </c:pt>
                <c:pt idx="10">
                  <c:v>0.16319</c:v>
                </c:pt>
                <c:pt idx="11">
                  <c:v>0.72397699999999998</c:v>
                </c:pt>
                <c:pt idx="12">
                  <c:v>1.328557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1.8790750000000001</c:v>
                </c:pt>
                <c:pt idx="1">
                  <c:v>3.2668629999999999</c:v>
                </c:pt>
                <c:pt idx="2">
                  <c:v>3.6863090000000001</c:v>
                </c:pt>
                <c:pt idx="3">
                  <c:v>3.272465</c:v>
                </c:pt>
                <c:pt idx="4">
                  <c:v>2.6087359999999999</c:v>
                </c:pt>
                <c:pt idx="5">
                  <c:v>2.4437060000000002</c:v>
                </c:pt>
                <c:pt idx="6">
                  <c:v>3.266893</c:v>
                </c:pt>
                <c:pt idx="7">
                  <c:v>4.1208809999999998</c:v>
                </c:pt>
                <c:pt idx="8">
                  <c:v>3.573118</c:v>
                </c:pt>
                <c:pt idx="9">
                  <c:v>3.1659009999999999</c:v>
                </c:pt>
                <c:pt idx="10">
                  <c:v>2.336195</c:v>
                </c:pt>
                <c:pt idx="11">
                  <c:v>3.0284080000000002</c:v>
                </c:pt>
                <c:pt idx="12">
                  <c:v>2.5220250000000002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9.5122354999999992</c:v>
                </c:pt>
                <c:pt idx="1">
                  <c:v>12.261645</c:v>
                </c:pt>
                <c:pt idx="2">
                  <c:v>10.134332000000001</c:v>
                </c:pt>
                <c:pt idx="3">
                  <c:v>8.8925330000000002</c:v>
                </c:pt>
                <c:pt idx="4">
                  <c:v>9.8915330000000008</c:v>
                </c:pt>
                <c:pt idx="5">
                  <c:v>12.984987</c:v>
                </c:pt>
                <c:pt idx="6">
                  <c:v>10.486427000000001</c:v>
                </c:pt>
                <c:pt idx="7">
                  <c:v>14.345347</c:v>
                </c:pt>
                <c:pt idx="8">
                  <c:v>9.4785564999999998</c:v>
                </c:pt>
                <c:pt idx="9">
                  <c:v>11.851848499999999</c:v>
                </c:pt>
                <c:pt idx="10">
                  <c:v>13.92998</c:v>
                </c:pt>
                <c:pt idx="11">
                  <c:v>8.0829000000000004</c:v>
                </c:pt>
                <c:pt idx="12">
                  <c:v>12.386824499999999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9.5122354999999992</c:v>
                </c:pt>
                <c:pt idx="1">
                  <c:v>12.261645</c:v>
                </c:pt>
                <c:pt idx="2">
                  <c:v>10.134332000000001</c:v>
                </c:pt>
                <c:pt idx="3">
                  <c:v>8.8925330000000002</c:v>
                </c:pt>
                <c:pt idx="4">
                  <c:v>9.8915330000000008</c:v>
                </c:pt>
                <c:pt idx="5">
                  <c:v>12.984987</c:v>
                </c:pt>
                <c:pt idx="6">
                  <c:v>10.486427000000001</c:v>
                </c:pt>
                <c:pt idx="7">
                  <c:v>14.345347</c:v>
                </c:pt>
                <c:pt idx="8">
                  <c:v>9.4785564999999998</c:v>
                </c:pt>
                <c:pt idx="9">
                  <c:v>11.851848499999999</c:v>
                </c:pt>
                <c:pt idx="10">
                  <c:v>13.92998</c:v>
                </c:pt>
                <c:pt idx="11">
                  <c:v>8.0829000000000004</c:v>
                </c:pt>
                <c:pt idx="12">
                  <c:v>12.386824499999999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4.6319679999999996</c:v>
                </c:pt>
                <c:pt idx="3">
                  <c:v>61.004249999999999</c:v>
                </c:pt>
                <c:pt idx="4">
                  <c:v>29.608969999999999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Dat_01!$B$137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Dat_01!$C$137:$O$137</c:f>
              <c:numCache>
                <c:formatCode>#,##0.0</c:formatCode>
                <c:ptCount val="13"/>
                <c:pt idx="0">
                  <c:v>30.259830999999998</c:v>
                </c:pt>
                <c:pt idx="1">
                  <c:v>33.727081999999996</c:v>
                </c:pt>
                <c:pt idx="2">
                  <c:v>32.413293000000003</c:v>
                </c:pt>
                <c:pt idx="3">
                  <c:v>28.802239</c:v>
                </c:pt>
                <c:pt idx="4">
                  <c:v>31.686363</c:v>
                </c:pt>
                <c:pt idx="5">
                  <c:v>38.904201999999998</c:v>
                </c:pt>
                <c:pt idx="6">
                  <c:v>43.085017000000001</c:v>
                </c:pt>
                <c:pt idx="7">
                  <c:v>82.837088999999992</c:v>
                </c:pt>
                <c:pt idx="8">
                  <c:v>120.582323</c:v>
                </c:pt>
                <c:pt idx="9">
                  <c:v>117.70911799999999</c:v>
                </c:pt>
                <c:pt idx="10">
                  <c:v>85.231729000000001</c:v>
                </c:pt>
                <c:pt idx="11">
                  <c:v>66.208546999999996</c:v>
                </c:pt>
                <c:pt idx="12">
                  <c:v>49.453113000000002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228.35513399999999</c:v>
                </c:pt>
                <c:pt idx="1">
                  <c:v>287.61223999999999</c:v>
                </c:pt>
                <c:pt idx="2">
                  <c:v>284.762474</c:v>
                </c:pt>
                <c:pt idx="3">
                  <c:v>188.665806</c:v>
                </c:pt>
                <c:pt idx="4">
                  <c:v>223.33681300000001</c:v>
                </c:pt>
                <c:pt idx="5">
                  <c:v>226.567814</c:v>
                </c:pt>
                <c:pt idx="6">
                  <c:v>243.85669100000001</c:v>
                </c:pt>
                <c:pt idx="7">
                  <c:v>273.81515200000001</c:v>
                </c:pt>
                <c:pt idx="8">
                  <c:v>334.267562</c:v>
                </c:pt>
                <c:pt idx="9">
                  <c:v>319.07413400000002</c:v>
                </c:pt>
                <c:pt idx="10">
                  <c:v>274.82982800000002</c:v>
                </c:pt>
                <c:pt idx="11">
                  <c:v>257.021049</c:v>
                </c:pt>
                <c:pt idx="12">
                  <c:v>234.20941099999999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27.233916000000001</c:v>
                </c:pt>
                <c:pt idx="1">
                  <c:v>25.260021999999999</c:v>
                </c:pt>
                <c:pt idx="2">
                  <c:v>27.366243000000001</c:v>
                </c:pt>
                <c:pt idx="3">
                  <c:v>29.660162</c:v>
                </c:pt>
                <c:pt idx="4">
                  <c:v>33.930326999999998</c:v>
                </c:pt>
                <c:pt idx="5">
                  <c:v>48.904601999999997</c:v>
                </c:pt>
                <c:pt idx="6">
                  <c:v>53.663460000000001</c:v>
                </c:pt>
                <c:pt idx="7">
                  <c:v>62.733255</c:v>
                </c:pt>
                <c:pt idx="8">
                  <c:v>56.807785000000003</c:v>
                </c:pt>
                <c:pt idx="9">
                  <c:v>56.215967999999997</c:v>
                </c:pt>
                <c:pt idx="10">
                  <c:v>48.014598999999997</c:v>
                </c:pt>
                <c:pt idx="11">
                  <c:v>37.975015999999997</c:v>
                </c:pt>
                <c:pt idx="12">
                  <c:v>28.186232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0.27039800000000003</c:v>
                </c:pt>
                <c:pt idx="1">
                  <c:v>0.23000100000000001</c:v>
                </c:pt>
                <c:pt idx="2">
                  <c:v>0.256185</c:v>
                </c:pt>
                <c:pt idx="3">
                  <c:v>0.25728499999999999</c:v>
                </c:pt>
                <c:pt idx="4">
                  <c:v>0.27165699999999998</c:v>
                </c:pt>
                <c:pt idx="5">
                  <c:v>0.216173</c:v>
                </c:pt>
                <c:pt idx="6">
                  <c:v>0.242977</c:v>
                </c:pt>
                <c:pt idx="7">
                  <c:v>0.25375799999999998</c:v>
                </c:pt>
                <c:pt idx="8">
                  <c:v>0.13533500000000001</c:v>
                </c:pt>
                <c:pt idx="9">
                  <c:v>6.2700000000000006E-2</c:v>
                </c:pt>
                <c:pt idx="10">
                  <c:v>0.16319</c:v>
                </c:pt>
                <c:pt idx="11">
                  <c:v>0.72397699999999998</c:v>
                </c:pt>
                <c:pt idx="12">
                  <c:v>1.328557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1.8790750000000001</c:v>
                </c:pt>
                <c:pt idx="1">
                  <c:v>3.2668629999999999</c:v>
                </c:pt>
                <c:pt idx="2">
                  <c:v>3.6863090000000001</c:v>
                </c:pt>
                <c:pt idx="3">
                  <c:v>3.272465</c:v>
                </c:pt>
                <c:pt idx="4">
                  <c:v>2.6087359999999999</c:v>
                </c:pt>
                <c:pt idx="5">
                  <c:v>2.4437060000000002</c:v>
                </c:pt>
                <c:pt idx="6">
                  <c:v>3.266893</c:v>
                </c:pt>
                <c:pt idx="7">
                  <c:v>4.1208809999999998</c:v>
                </c:pt>
                <c:pt idx="8">
                  <c:v>3.573118</c:v>
                </c:pt>
                <c:pt idx="9">
                  <c:v>3.1659009999999999</c:v>
                </c:pt>
                <c:pt idx="10">
                  <c:v>2.336195</c:v>
                </c:pt>
                <c:pt idx="11">
                  <c:v>3.0284080000000002</c:v>
                </c:pt>
                <c:pt idx="12">
                  <c:v>2.5220250000000002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nov.-24</c:v>
                </c:pt>
                <c:pt idx="1">
                  <c:v>dic.-24</c:v>
                </c:pt>
                <c:pt idx="2">
                  <c:v>ene.-25</c:v>
                </c:pt>
                <c:pt idx="3">
                  <c:v>feb.-25</c:v>
                </c:pt>
                <c:pt idx="4">
                  <c:v>mar.-25</c:v>
                </c:pt>
                <c:pt idx="5">
                  <c:v>abr.-25</c:v>
                </c:pt>
                <c:pt idx="6">
                  <c:v>may.-25</c:v>
                </c:pt>
                <c:pt idx="7">
                  <c:v>jun.-25</c:v>
                </c:pt>
                <c:pt idx="8">
                  <c:v>jul.-25</c:v>
                </c:pt>
                <c:pt idx="9">
                  <c:v>ago.-25</c:v>
                </c:pt>
                <c:pt idx="10">
                  <c:v>sep.-25</c:v>
                </c:pt>
                <c:pt idx="11">
                  <c:v>oct.-25</c:v>
                </c:pt>
                <c:pt idx="12">
                  <c:v>nov.-25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9.5122354999999992</c:v>
                </c:pt>
                <c:pt idx="1">
                  <c:v>12.261645</c:v>
                </c:pt>
                <c:pt idx="2">
                  <c:v>10.134332000000001</c:v>
                </c:pt>
                <c:pt idx="3">
                  <c:v>8.8925330000000002</c:v>
                </c:pt>
                <c:pt idx="4">
                  <c:v>9.8915330000000008</c:v>
                </c:pt>
                <c:pt idx="5">
                  <c:v>12.984987</c:v>
                </c:pt>
                <c:pt idx="6">
                  <c:v>10.486427000000001</c:v>
                </c:pt>
                <c:pt idx="7">
                  <c:v>14.345347</c:v>
                </c:pt>
                <c:pt idx="8">
                  <c:v>9.4785564999999998</c:v>
                </c:pt>
                <c:pt idx="9">
                  <c:v>11.851848499999999</c:v>
                </c:pt>
                <c:pt idx="10">
                  <c:v>13.92998</c:v>
                </c:pt>
                <c:pt idx="11">
                  <c:v>8.0829000000000004</c:v>
                </c:pt>
                <c:pt idx="12">
                  <c:v>12.386824499999999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9.5122354999999992</c:v>
                </c:pt>
                <c:pt idx="1">
                  <c:v>12.261645</c:v>
                </c:pt>
                <c:pt idx="2">
                  <c:v>10.134332000000001</c:v>
                </c:pt>
                <c:pt idx="3">
                  <c:v>8.8925330000000002</c:v>
                </c:pt>
                <c:pt idx="4">
                  <c:v>9.8915330000000008</c:v>
                </c:pt>
                <c:pt idx="5">
                  <c:v>12.984987</c:v>
                </c:pt>
                <c:pt idx="6">
                  <c:v>10.486427000000001</c:v>
                </c:pt>
                <c:pt idx="7">
                  <c:v>14.345347</c:v>
                </c:pt>
                <c:pt idx="8">
                  <c:v>9.4785564999999998</c:v>
                </c:pt>
                <c:pt idx="9">
                  <c:v>11.851848499999999</c:v>
                </c:pt>
                <c:pt idx="10">
                  <c:v>13.92998</c:v>
                </c:pt>
                <c:pt idx="11">
                  <c:v>8.0829000000000004</c:v>
                </c:pt>
                <c:pt idx="12">
                  <c:v>12.386824499999999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14.375781135318116</c:v>
                </c:pt>
                <c:pt idx="1">
                  <c:v>15.351874387287568</c:v>
                </c:pt>
                <c:pt idx="2">
                  <c:v>14.228379556947617</c:v>
                </c:pt>
                <c:pt idx="3">
                  <c:v>25.512265184366129</c:v>
                </c:pt>
                <c:pt idx="4">
                  <c:v>1.1261480587506196</c:v>
                </c:pt>
                <c:pt idx="5">
                  <c:v>2.2493480859338291E-2</c:v>
                </c:pt>
                <c:pt idx="6">
                  <c:v>0.33371717343081186</c:v>
                </c:pt>
                <c:pt idx="7">
                  <c:v>19.407186611416762</c:v>
                </c:pt>
                <c:pt idx="8">
                  <c:v>9.3825507517969129</c:v>
                </c:pt>
                <c:pt idx="9">
                  <c:v>0.25960365982612449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9837398373983739"/>
                  <c:y val="-7.1372549019607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6260495486844631"/>
                  <c:y val="-4.007758221398800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1.71151767793731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8.1302093335893985E-3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18.855176425800167</c:v>
                </c:pt>
                <c:pt idx="1">
                  <c:v>2.7959704353750956</c:v>
                </c:pt>
                <c:pt idx="2">
                  <c:v>14.641989846619754</c:v>
                </c:pt>
                <c:pt idx="3">
                  <c:v>44.811884974454429</c:v>
                </c:pt>
                <c:pt idx="4">
                  <c:v>0</c:v>
                </c:pt>
                <c:pt idx="5">
                  <c:v>0</c:v>
                </c:pt>
                <c:pt idx="6">
                  <c:v>0.12385704366603652</c:v>
                </c:pt>
                <c:pt idx="7">
                  <c:v>14.456567393283597</c:v>
                </c:pt>
                <c:pt idx="8">
                  <c:v>4.2172647284604858</c:v>
                </c:pt>
                <c:pt idx="9">
                  <c:v>9.7289152340430216E-2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70.594448322670047</c:v>
                </c:pt>
                <c:pt idx="1">
                  <c:v>29.405551677329949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6380369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38097</xdr:rowOff>
    </xdr:from>
    <xdr:to>
      <xdr:col>2</xdr:col>
      <xdr:colOff>1060510</xdr:colOff>
      <xdr:row>16</xdr:row>
      <xdr:rowOff>95249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010" y="866772"/>
          <a:ext cx="1044000" cy="1571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8255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89529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1,54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-5,60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18"/>
  <sheetViews>
    <sheetView showGridLines="0" showRowColHeaders="0" tabSelected="1" showOutlineSymbols="0" zoomScaleNormal="100" workbookViewId="0">
      <selection activeCell="B2" sqref="B2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Noviembre 2025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s="84" customFormat="1" ht="7.5" customHeight="1">
      <c r="B17" s="83"/>
      <c r="C17" s="86"/>
      <c r="D17" s="87"/>
      <c r="E17" s="87"/>
    </row>
    <row r="18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 A'!A1" display="'SN7 A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Noviembre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7" t="s">
        <v>114</v>
      </c>
      <c r="D7" s="55"/>
      <c r="E7" s="59"/>
    </row>
    <row r="8" spans="1:20" ht="12.75" customHeight="1">
      <c r="A8" s="58"/>
      <c r="B8" s="57"/>
      <c r="C8" s="247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E4" sqref="E4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Noviembre 2025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46" t="s">
        <v>132</v>
      </c>
      <c r="D7" s="37"/>
      <c r="E7" s="41"/>
    </row>
    <row r="8" spans="2:6" s="31" customFormat="1" ht="12.75" customHeight="1">
      <c r="B8" s="39"/>
      <c r="C8" s="246"/>
      <c r="D8" s="37"/>
      <c r="E8" s="41"/>
    </row>
    <row r="9" spans="2:6" s="31" customFormat="1" ht="12.75" customHeight="1">
      <c r="B9" s="39"/>
      <c r="C9" s="246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>
      <selection activeCell="D3" sqref="D3"/>
    </sheetView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Noviembre 2025</v>
      </c>
    </row>
    <row r="3" spans="1:13" s="185" customFormat="1" ht="20.25" customHeight="1">
      <c r="A3" s="3"/>
      <c r="B3" s="25" t="s">
        <v>131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46" t="s">
        <v>137</v>
      </c>
      <c r="C7" s="190"/>
      <c r="D7" s="193"/>
      <c r="E7" s="185"/>
      <c r="F7" s="194"/>
    </row>
    <row r="8" spans="1:13" ht="12.75" customHeight="1">
      <c r="A8" s="186"/>
      <c r="B8" s="246"/>
      <c r="C8" s="190"/>
      <c r="D8" s="193"/>
      <c r="E8" s="185"/>
      <c r="F8" s="194"/>
    </row>
    <row r="9" spans="1:13">
      <c r="A9" s="187"/>
      <c r="B9" s="246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topLeftCell="C1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42578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42578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42578125" style="206"/>
    <col min="260" max="260" width="13.42578125" style="206" bestFit="1" customWidth="1"/>
    <col min="261" max="497" width="11.42578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42578125" style="206"/>
    <col min="516" max="516" width="13.42578125" style="206" bestFit="1" customWidth="1"/>
    <col min="517" max="753" width="11.42578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42578125" style="206"/>
    <col min="772" max="772" width="13.42578125" style="206" bestFit="1" customWidth="1"/>
    <col min="773" max="1009" width="11.42578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42578125" style="206"/>
    <col min="1028" max="1028" width="13.42578125" style="206" bestFit="1" customWidth="1"/>
    <col min="1029" max="1265" width="11.42578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42578125" style="206"/>
    <col min="1284" max="1284" width="13.42578125" style="206" bestFit="1" customWidth="1"/>
    <col min="1285" max="1521" width="11.42578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42578125" style="206"/>
    <col min="1540" max="1540" width="13.42578125" style="206" bestFit="1" customWidth="1"/>
    <col min="1541" max="1777" width="11.42578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42578125" style="206"/>
    <col min="1796" max="1796" width="13.42578125" style="206" bestFit="1" customWidth="1"/>
    <col min="1797" max="2033" width="11.42578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42578125" style="206"/>
    <col min="2052" max="2052" width="13.42578125" style="206" bestFit="1" customWidth="1"/>
    <col min="2053" max="2289" width="11.42578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42578125" style="206"/>
    <col min="2308" max="2308" width="13.42578125" style="206" bestFit="1" customWidth="1"/>
    <col min="2309" max="2545" width="11.42578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42578125" style="206"/>
    <col min="2564" max="2564" width="13.42578125" style="206" bestFit="1" customWidth="1"/>
    <col min="2565" max="2801" width="11.42578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42578125" style="206"/>
    <col min="2820" max="2820" width="13.42578125" style="206" bestFit="1" customWidth="1"/>
    <col min="2821" max="3057" width="11.42578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42578125" style="206"/>
    <col min="3076" max="3076" width="13.42578125" style="206" bestFit="1" customWidth="1"/>
    <col min="3077" max="3313" width="11.42578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42578125" style="206"/>
    <col min="3332" max="3332" width="13.42578125" style="206" bestFit="1" customWidth="1"/>
    <col min="3333" max="3569" width="11.42578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42578125" style="206"/>
    <col min="3588" max="3588" width="13.42578125" style="206" bestFit="1" customWidth="1"/>
    <col min="3589" max="3825" width="11.42578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42578125" style="206"/>
    <col min="3844" max="3844" width="13.42578125" style="206" bestFit="1" customWidth="1"/>
    <col min="3845" max="4081" width="11.42578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42578125" style="206"/>
    <col min="4100" max="4100" width="13.42578125" style="206" bestFit="1" customWidth="1"/>
    <col min="4101" max="4337" width="11.42578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42578125" style="206"/>
    <col min="4356" max="4356" width="13.42578125" style="206" bestFit="1" customWidth="1"/>
    <col min="4357" max="4593" width="11.42578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42578125" style="206"/>
    <col min="4612" max="4612" width="13.42578125" style="206" bestFit="1" customWidth="1"/>
    <col min="4613" max="4849" width="11.42578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42578125" style="206"/>
    <col min="4868" max="4868" width="13.42578125" style="206" bestFit="1" customWidth="1"/>
    <col min="4869" max="5105" width="11.42578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42578125" style="206"/>
    <col min="5124" max="5124" width="13.42578125" style="206" bestFit="1" customWidth="1"/>
    <col min="5125" max="5361" width="11.42578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42578125" style="206"/>
    <col min="5380" max="5380" width="13.42578125" style="206" bestFit="1" customWidth="1"/>
    <col min="5381" max="5617" width="11.42578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42578125" style="206"/>
    <col min="5636" max="5636" width="13.42578125" style="206" bestFit="1" customWidth="1"/>
    <col min="5637" max="5873" width="11.42578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42578125" style="206"/>
    <col min="5892" max="5892" width="13.42578125" style="206" bestFit="1" customWidth="1"/>
    <col min="5893" max="6129" width="11.42578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42578125" style="206"/>
    <col min="6148" max="6148" width="13.42578125" style="206" bestFit="1" customWidth="1"/>
    <col min="6149" max="6385" width="11.42578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42578125" style="206"/>
    <col min="6404" max="6404" width="13.42578125" style="206" bestFit="1" customWidth="1"/>
    <col min="6405" max="6641" width="11.42578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42578125" style="206"/>
    <col min="6660" max="6660" width="13.42578125" style="206" bestFit="1" customWidth="1"/>
    <col min="6661" max="6897" width="11.42578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42578125" style="206"/>
    <col min="6916" max="6916" width="13.42578125" style="206" bestFit="1" customWidth="1"/>
    <col min="6917" max="7153" width="11.42578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42578125" style="206"/>
    <col min="7172" max="7172" width="13.42578125" style="206" bestFit="1" customWidth="1"/>
    <col min="7173" max="7409" width="11.42578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42578125" style="206"/>
    <col min="7428" max="7428" width="13.42578125" style="206" bestFit="1" customWidth="1"/>
    <col min="7429" max="7665" width="11.42578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42578125" style="206"/>
    <col min="7684" max="7684" width="13.42578125" style="206" bestFit="1" customWidth="1"/>
    <col min="7685" max="7921" width="11.42578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42578125" style="206"/>
    <col min="7940" max="7940" width="13.42578125" style="206" bestFit="1" customWidth="1"/>
    <col min="7941" max="8177" width="11.42578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42578125" style="206"/>
    <col min="8196" max="8196" width="13.42578125" style="206" bestFit="1" customWidth="1"/>
    <col min="8197" max="8433" width="11.42578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42578125" style="206"/>
    <col min="8452" max="8452" width="13.42578125" style="206" bestFit="1" customWidth="1"/>
    <col min="8453" max="8689" width="11.42578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42578125" style="206"/>
    <col min="8708" max="8708" width="13.42578125" style="206" bestFit="1" customWidth="1"/>
    <col min="8709" max="8945" width="11.42578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42578125" style="206"/>
    <col min="8964" max="8964" width="13.42578125" style="206" bestFit="1" customWidth="1"/>
    <col min="8965" max="9201" width="11.42578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42578125" style="206"/>
    <col min="9220" max="9220" width="13.42578125" style="206" bestFit="1" customWidth="1"/>
    <col min="9221" max="9457" width="11.42578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42578125" style="206"/>
    <col min="9476" max="9476" width="13.42578125" style="206" bestFit="1" customWidth="1"/>
    <col min="9477" max="9713" width="11.42578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42578125" style="206"/>
    <col min="9732" max="9732" width="13.42578125" style="206" bestFit="1" customWidth="1"/>
    <col min="9733" max="9969" width="11.42578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42578125" style="206"/>
    <col min="9988" max="9988" width="13.42578125" style="206" bestFit="1" customWidth="1"/>
    <col min="9989" max="10225" width="11.42578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42578125" style="206"/>
    <col min="10244" max="10244" width="13.42578125" style="206" bestFit="1" customWidth="1"/>
    <col min="10245" max="10481" width="11.42578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42578125" style="206"/>
    <col min="10500" max="10500" width="13.42578125" style="206" bestFit="1" customWidth="1"/>
    <col min="10501" max="10737" width="11.42578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42578125" style="206"/>
    <col min="10756" max="10756" width="13.42578125" style="206" bestFit="1" customWidth="1"/>
    <col min="10757" max="10993" width="11.42578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42578125" style="206"/>
    <col min="11012" max="11012" width="13.42578125" style="206" bestFit="1" customWidth="1"/>
    <col min="11013" max="11249" width="11.42578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42578125" style="206"/>
    <col min="11268" max="11268" width="13.42578125" style="206" bestFit="1" customWidth="1"/>
    <col min="11269" max="11505" width="11.42578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42578125" style="206"/>
    <col min="11524" max="11524" width="13.42578125" style="206" bestFit="1" customWidth="1"/>
    <col min="11525" max="11761" width="11.42578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42578125" style="206"/>
    <col min="11780" max="11780" width="13.42578125" style="206" bestFit="1" customWidth="1"/>
    <col min="11781" max="12017" width="11.42578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42578125" style="206"/>
    <col min="12036" max="12036" width="13.42578125" style="206" bestFit="1" customWidth="1"/>
    <col min="12037" max="12273" width="11.42578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42578125" style="206"/>
    <col min="12292" max="12292" width="13.42578125" style="206" bestFit="1" customWidth="1"/>
    <col min="12293" max="12529" width="11.42578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42578125" style="206"/>
    <col min="12548" max="12548" width="13.42578125" style="206" bestFit="1" customWidth="1"/>
    <col min="12549" max="12785" width="11.42578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42578125" style="206"/>
    <col min="12804" max="12804" width="13.42578125" style="206" bestFit="1" customWidth="1"/>
    <col min="12805" max="13041" width="11.42578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42578125" style="206"/>
    <col min="13060" max="13060" width="13.42578125" style="206" bestFit="1" customWidth="1"/>
    <col min="13061" max="13297" width="11.42578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42578125" style="206"/>
    <col min="13316" max="13316" width="13.42578125" style="206" bestFit="1" customWidth="1"/>
    <col min="13317" max="13553" width="11.42578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42578125" style="206"/>
    <col min="13572" max="13572" width="13.42578125" style="206" bestFit="1" customWidth="1"/>
    <col min="13573" max="13809" width="11.42578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42578125" style="206"/>
    <col min="13828" max="13828" width="13.42578125" style="206" bestFit="1" customWidth="1"/>
    <col min="13829" max="14065" width="11.42578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42578125" style="206"/>
    <col min="14084" max="14084" width="13.42578125" style="206" bestFit="1" customWidth="1"/>
    <col min="14085" max="14321" width="11.42578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42578125" style="206"/>
    <col min="14340" max="14340" width="13.42578125" style="206" bestFit="1" customWidth="1"/>
    <col min="14341" max="14577" width="11.42578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42578125" style="206"/>
    <col min="14596" max="14596" width="13.42578125" style="206" bestFit="1" customWidth="1"/>
    <col min="14597" max="14833" width="11.42578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42578125" style="206"/>
    <col min="14852" max="14852" width="13.42578125" style="206" bestFit="1" customWidth="1"/>
    <col min="14853" max="15089" width="11.42578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42578125" style="206"/>
    <col min="15108" max="15108" width="13.42578125" style="206" bestFit="1" customWidth="1"/>
    <col min="15109" max="15345" width="11.42578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42578125" style="206"/>
    <col min="15364" max="15364" width="13.42578125" style="206" bestFit="1" customWidth="1"/>
    <col min="15365" max="15601" width="11.42578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42578125" style="206"/>
    <col min="15620" max="15620" width="13.42578125" style="206" bestFit="1" customWidth="1"/>
    <col min="15621" max="15857" width="11.42578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42578125" style="206"/>
    <col min="15876" max="15876" width="13.42578125" style="206" bestFit="1" customWidth="1"/>
    <col min="15877" max="16113" width="11.42578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42578125" style="206"/>
    <col min="16132" max="16132" width="13.42578125" style="206" bestFit="1" customWidth="1"/>
    <col min="16133" max="16384" width="11.42578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Noviembre 2025</v>
      </c>
    </row>
    <row r="4" spans="1:14" s="58" customFormat="1" ht="20.25" customHeight="1">
      <c r="B4" s="57"/>
      <c r="C4" s="25" t="s">
        <v>131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47" t="s">
        <v>138</v>
      </c>
      <c r="D7" s="55"/>
      <c r="E7" s="250" t="s">
        <v>139</v>
      </c>
      <c r="F7" s="250"/>
      <c r="G7" s="204"/>
    </row>
    <row r="8" spans="1:14" ht="12.75" customHeight="1">
      <c r="A8" s="58"/>
      <c r="B8" s="57"/>
      <c r="C8" s="247"/>
      <c r="D8" s="55"/>
      <c r="E8" s="251" t="str">
        <f>CONCATENATE(TEXT(SUM(Dat_01!R23:R24),"0,00")," MWh")</f>
        <v>-4,07 MWh</v>
      </c>
      <c r="F8" s="251"/>
      <c r="G8" s="205"/>
    </row>
    <row r="9" spans="1:14">
      <c r="A9" s="58"/>
      <c r="B9" s="57"/>
      <c r="C9" s="247"/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C10" s="207"/>
      <c r="E10" s="248" t="s">
        <v>135</v>
      </c>
      <c r="F10" s="249" t="str">
        <f>CONCATENATE(TEXT(Dat_01!R23,"0,00")," MWh")</f>
        <v>1,54 MWh</v>
      </c>
    </row>
    <row r="11" spans="1:14">
      <c r="E11" s="248"/>
      <c r="F11" s="249"/>
    </row>
    <row r="12" spans="1:14">
      <c r="E12" s="211"/>
      <c r="F12" s="211"/>
    </row>
    <row r="13" spans="1:14">
      <c r="E13" s="211"/>
      <c r="F13" s="211"/>
    </row>
    <row r="14" spans="1:14">
      <c r="F14" s="211"/>
    </row>
    <row r="15" spans="1:14">
      <c r="E15" s="211"/>
      <c r="F15" s="212"/>
    </row>
    <row r="16" spans="1:14">
      <c r="E16" s="211"/>
      <c r="F16" s="211"/>
    </row>
    <row r="17" spans="1:14">
      <c r="E17" s="211"/>
      <c r="F17" s="211"/>
    </row>
    <row r="18" spans="1:14">
      <c r="E18" s="211"/>
      <c r="F18" s="211"/>
    </row>
    <row r="19" spans="1:14">
      <c r="E19" s="211"/>
      <c r="F19" s="211"/>
    </row>
    <row r="20" spans="1:14">
      <c r="E20" s="211"/>
      <c r="F20" s="211"/>
    </row>
    <row r="21" spans="1:14">
      <c r="E21" s="211"/>
      <c r="F21" s="211"/>
    </row>
    <row r="22" spans="1:14">
      <c r="E22" s="211"/>
      <c r="F22" s="211"/>
    </row>
    <row r="23" spans="1:14">
      <c r="E23" s="248" t="s">
        <v>136</v>
      </c>
      <c r="F23" s="249" t="str">
        <f>CONCATENATE(TEXT(SUM(Dat_01!R24),"0,00")," MWh")</f>
        <v>-5,60 MWh</v>
      </c>
    </row>
    <row r="24" spans="1:14" s="213" customFormat="1">
      <c r="A24" s="54"/>
      <c r="B24" s="54"/>
      <c r="C24" s="54"/>
      <c r="D24" s="54"/>
      <c r="E24" s="248"/>
      <c r="F24" s="249"/>
      <c r="G24" s="206"/>
      <c r="H24" s="206"/>
      <c r="I24" s="206"/>
      <c r="J24" s="206"/>
      <c r="K24" s="206"/>
      <c r="L24" s="206"/>
      <c r="M24" s="206"/>
      <c r="N24" s="206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0"/>
  <sheetViews>
    <sheetView zoomScaleNormal="100" workbookViewId="0">
      <selection activeCell="A85" sqref="A85"/>
    </sheetView>
  </sheetViews>
  <sheetFormatPr baseColWidth="10" defaultColWidth="11.42578125" defaultRowHeight="12"/>
  <cols>
    <col min="1" max="1" width="11" style="99" bestFit="1" customWidth="1"/>
    <col min="2" max="2" width="13" style="99" bestFit="1" customWidth="1"/>
    <col min="3" max="3" width="24" style="99" bestFit="1" customWidth="1"/>
    <col min="4" max="4" width="19.85546875" style="99" bestFit="1" customWidth="1"/>
    <col min="5" max="5" width="20.42578125" style="99" bestFit="1" customWidth="1"/>
    <col min="6" max="6" width="32.5703125" style="99" bestFit="1" customWidth="1"/>
    <col min="7" max="7" width="24" style="99" bestFit="1" customWidth="1"/>
    <col min="8" max="8" width="19.85546875" style="99" bestFit="1" customWidth="1"/>
    <col min="9" max="9" width="20.42578125" style="99" bestFit="1" customWidth="1"/>
    <col min="10" max="11" width="28.28515625" style="99" bestFit="1" customWidth="1"/>
    <col min="12" max="12" width="24.28515625" style="99" bestFit="1" customWidth="1"/>
    <col min="13" max="13" width="24.7109375" style="99" bestFit="1" customWidth="1"/>
    <col min="14" max="14" width="32.5703125" style="99" bestFit="1" customWidth="1"/>
    <col min="15" max="33" width="19.2851562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150</v>
      </c>
      <c r="B2" s="127" t="s">
        <v>151</v>
      </c>
    </row>
    <row r="4" spans="1:33" ht="15">
      <c r="A4" s="128" t="s">
        <v>59</v>
      </c>
      <c r="B4" s="263" t="s">
        <v>150</v>
      </c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264"/>
      <c r="S4" s="264"/>
      <c r="T4" s="264"/>
      <c r="U4" s="264"/>
      <c r="V4" s="264"/>
      <c r="W4" s="264"/>
      <c r="X4" s="264"/>
      <c r="Y4" s="264"/>
      <c r="Z4" s="264"/>
      <c r="AA4" s="264"/>
      <c r="AB4" s="264"/>
      <c r="AC4" s="264"/>
      <c r="AD4" s="264"/>
      <c r="AE4" s="264"/>
      <c r="AF4" s="264"/>
      <c r="AG4" s="264"/>
    </row>
    <row r="5" spans="1:33" ht="15">
      <c r="A5" s="128" t="s">
        <v>60</v>
      </c>
      <c r="B5" s="265" t="s">
        <v>15</v>
      </c>
      <c r="C5" s="266"/>
      <c r="D5" s="266"/>
      <c r="E5" s="266"/>
      <c r="F5" s="266"/>
      <c r="G5" s="266"/>
      <c r="H5" s="266"/>
      <c r="I5" s="267"/>
      <c r="J5" s="265" t="s">
        <v>14</v>
      </c>
      <c r="K5" s="266"/>
      <c r="L5" s="266"/>
      <c r="M5" s="266"/>
      <c r="N5" s="266"/>
      <c r="O5" s="266"/>
      <c r="P5" s="266"/>
      <c r="Q5" s="267"/>
      <c r="R5" s="265" t="s">
        <v>49</v>
      </c>
      <c r="S5" s="266"/>
      <c r="T5" s="266"/>
      <c r="U5" s="266"/>
      <c r="V5" s="266"/>
      <c r="W5" s="266"/>
      <c r="X5" s="266"/>
      <c r="Y5" s="267"/>
      <c r="Z5" s="265" t="s">
        <v>50</v>
      </c>
      <c r="AA5" s="266"/>
      <c r="AB5" s="266"/>
      <c r="AC5" s="266"/>
      <c r="AD5" s="266"/>
      <c r="AE5" s="266"/>
      <c r="AF5" s="266"/>
      <c r="AG5" s="266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28">
        <v>0</v>
      </c>
      <c r="C8" s="228">
        <v>0</v>
      </c>
      <c r="D8" s="229">
        <v>0</v>
      </c>
      <c r="E8" s="228">
        <v>0</v>
      </c>
      <c r="F8" s="228">
        <v>0</v>
      </c>
      <c r="G8" s="229">
        <v>0</v>
      </c>
      <c r="H8" s="228">
        <v>0</v>
      </c>
      <c r="I8" s="229">
        <v>0</v>
      </c>
      <c r="J8" s="228">
        <v>0</v>
      </c>
      <c r="K8" s="228">
        <v>0</v>
      </c>
      <c r="L8" s="229">
        <v>0</v>
      </c>
      <c r="M8" s="228">
        <v>0</v>
      </c>
      <c r="N8" s="228">
        <v>0</v>
      </c>
      <c r="O8" s="229">
        <v>0</v>
      </c>
      <c r="P8" s="228">
        <v>0</v>
      </c>
      <c r="Q8" s="229">
        <v>0</v>
      </c>
      <c r="R8" s="228">
        <v>0</v>
      </c>
      <c r="S8" s="228">
        <v>0</v>
      </c>
      <c r="T8" s="229">
        <v>0</v>
      </c>
      <c r="U8" s="228">
        <v>0</v>
      </c>
      <c r="V8" s="228">
        <v>0</v>
      </c>
      <c r="W8" s="229">
        <v>0</v>
      </c>
      <c r="X8" s="228">
        <v>0</v>
      </c>
      <c r="Y8" s="229">
        <v>0</v>
      </c>
      <c r="Z8" s="228">
        <v>0</v>
      </c>
      <c r="AA8" s="228">
        <v>284.31799999999998</v>
      </c>
      <c r="AB8" s="229">
        <v>-1</v>
      </c>
      <c r="AC8" s="228">
        <v>339.86099999999999</v>
      </c>
      <c r="AD8" s="228">
        <v>3101.6060000000002</v>
      </c>
      <c r="AE8" s="229">
        <v>-0.89042418670000001</v>
      </c>
      <c r="AF8" s="228">
        <v>627.69600000000003</v>
      </c>
      <c r="AG8" s="229">
        <v>-0.81577457499999995</v>
      </c>
    </row>
    <row r="9" spans="1:33">
      <c r="A9" s="127" t="s">
        <v>11</v>
      </c>
      <c r="B9" s="228">
        <v>0</v>
      </c>
      <c r="C9" s="228">
        <v>0</v>
      </c>
      <c r="D9" s="229">
        <v>0</v>
      </c>
      <c r="E9" s="228">
        <v>0</v>
      </c>
      <c r="F9" s="228">
        <v>0</v>
      </c>
      <c r="G9" s="229">
        <v>0</v>
      </c>
      <c r="H9" s="228">
        <v>0</v>
      </c>
      <c r="I9" s="229">
        <v>0</v>
      </c>
      <c r="J9" s="228">
        <v>0</v>
      </c>
      <c r="K9" s="228">
        <v>0</v>
      </c>
      <c r="L9" s="229">
        <v>0</v>
      </c>
      <c r="M9" s="228">
        <v>0</v>
      </c>
      <c r="N9" s="228">
        <v>0</v>
      </c>
      <c r="O9" s="229">
        <v>0</v>
      </c>
      <c r="P9" s="228">
        <v>0</v>
      </c>
      <c r="Q9" s="229">
        <v>0</v>
      </c>
      <c r="R9" s="228">
        <v>0</v>
      </c>
      <c r="S9" s="228">
        <v>0</v>
      </c>
      <c r="T9" s="229">
        <v>0</v>
      </c>
      <c r="U9" s="228">
        <v>95245.187999999995</v>
      </c>
      <c r="V9" s="228">
        <v>58050.74</v>
      </c>
      <c r="W9" s="229">
        <v>0.64072306400000001</v>
      </c>
      <c r="X9" s="228">
        <v>95245.187999999995</v>
      </c>
      <c r="Y9" s="229">
        <v>0.64072306400000001</v>
      </c>
      <c r="Z9" s="228">
        <v>0</v>
      </c>
      <c r="AA9" s="228">
        <v>0</v>
      </c>
      <c r="AB9" s="229">
        <v>0</v>
      </c>
      <c r="AC9" s="228">
        <v>0</v>
      </c>
      <c r="AD9" s="228">
        <v>0</v>
      </c>
      <c r="AE9" s="229">
        <v>0</v>
      </c>
      <c r="AF9" s="228">
        <v>0</v>
      </c>
      <c r="AG9" s="229">
        <v>0</v>
      </c>
    </row>
    <row r="10" spans="1:33">
      <c r="A10" s="127" t="s">
        <v>69</v>
      </c>
      <c r="B10" s="228">
        <v>16652.837</v>
      </c>
      <c r="C10" s="228">
        <v>14706.832</v>
      </c>
      <c r="D10" s="229">
        <v>0.13231979529999999</v>
      </c>
      <c r="E10" s="228">
        <v>187809.33300000001</v>
      </c>
      <c r="F10" s="228">
        <v>171372.68100000001</v>
      </c>
      <c r="G10" s="229">
        <v>9.5911739900000001E-2</v>
      </c>
      <c r="H10" s="228">
        <v>202311.63200000001</v>
      </c>
      <c r="I10" s="229">
        <v>8.3117954399999999E-2</v>
      </c>
      <c r="J10" s="228">
        <v>16330.550999999999</v>
      </c>
      <c r="K10" s="228">
        <v>14895.164000000001</v>
      </c>
      <c r="L10" s="229">
        <v>9.6365974899999998E-2</v>
      </c>
      <c r="M10" s="228">
        <v>196608.908</v>
      </c>
      <c r="N10" s="228">
        <v>175712.88800000001</v>
      </c>
      <c r="O10" s="229">
        <v>0.118921385</v>
      </c>
      <c r="P10" s="228">
        <v>212211.29399999999</v>
      </c>
      <c r="Q10" s="229">
        <v>0.11401614</v>
      </c>
      <c r="R10" s="228">
        <v>17069.234</v>
      </c>
      <c r="S10" s="228">
        <v>8042.0429999999997</v>
      </c>
      <c r="T10" s="229">
        <v>1.122499718</v>
      </c>
      <c r="U10" s="228">
        <v>304508.41800000001</v>
      </c>
      <c r="V10" s="228">
        <v>253553.72500000001</v>
      </c>
      <c r="W10" s="229">
        <v>0.20096211559999999</v>
      </c>
      <c r="X10" s="228">
        <v>312778.609</v>
      </c>
      <c r="Y10" s="229">
        <v>0.19959466649999999</v>
      </c>
      <c r="Z10" s="228">
        <v>144589.59</v>
      </c>
      <c r="AA10" s="228">
        <v>162623.89799999999</v>
      </c>
      <c r="AB10" s="229">
        <v>-0.1108958045</v>
      </c>
      <c r="AC10" s="228">
        <v>1650869.6969999999</v>
      </c>
      <c r="AD10" s="228">
        <v>1719067.5460000001</v>
      </c>
      <c r="AE10" s="229">
        <v>-3.9671419100000001E-2</v>
      </c>
      <c r="AF10" s="228">
        <v>1809749.1429999999</v>
      </c>
      <c r="AG10" s="229">
        <v>-4.4227509800000002E-2</v>
      </c>
    </row>
    <row r="11" spans="1:33">
      <c r="A11" s="127" t="s">
        <v>9</v>
      </c>
      <c r="B11" s="228">
        <v>16.105</v>
      </c>
      <c r="C11" s="228">
        <v>0</v>
      </c>
      <c r="D11" s="229">
        <v>0</v>
      </c>
      <c r="E11" s="228">
        <v>180.27699999999999</v>
      </c>
      <c r="F11" s="228">
        <v>640.072</v>
      </c>
      <c r="G11" s="229">
        <v>-0.71834887329999997</v>
      </c>
      <c r="H11" s="228">
        <v>180.27699999999999</v>
      </c>
      <c r="I11" s="229">
        <v>-0.72278639069999995</v>
      </c>
      <c r="J11" s="228">
        <v>0</v>
      </c>
      <c r="K11" s="228">
        <v>0</v>
      </c>
      <c r="L11" s="229">
        <v>0</v>
      </c>
      <c r="M11" s="228">
        <v>101.883</v>
      </c>
      <c r="N11" s="228">
        <v>252.227</v>
      </c>
      <c r="O11" s="229">
        <v>-0.59606624190000002</v>
      </c>
      <c r="P11" s="228">
        <v>101.883</v>
      </c>
      <c r="Q11" s="229">
        <v>-0.59915095529999995</v>
      </c>
      <c r="R11" s="228">
        <v>32383.879000000001</v>
      </c>
      <c r="S11" s="228">
        <v>22217.788</v>
      </c>
      <c r="T11" s="229">
        <v>0.45756539759999998</v>
      </c>
      <c r="U11" s="228">
        <v>392404.61499999999</v>
      </c>
      <c r="V11" s="228">
        <v>388493.78100000002</v>
      </c>
      <c r="W11" s="229">
        <v>1.00666579E-2</v>
      </c>
      <c r="X11" s="228">
        <v>417861.50599999999</v>
      </c>
      <c r="Y11" s="229">
        <v>1.56670909E-2</v>
      </c>
      <c r="Z11" s="228">
        <v>21440.702000000001</v>
      </c>
      <c r="AA11" s="228">
        <v>29713.278999999999</v>
      </c>
      <c r="AB11" s="229">
        <v>-0.27841346620000001</v>
      </c>
      <c r="AC11" s="228">
        <v>243574.391</v>
      </c>
      <c r="AD11" s="228">
        <v>233349.25899999999</v>
      </c>
      <c r="AE11" s="229">
        <v>4.3819003500000002E-2</v>
      </c>
      <c r="AF11" s="228">
        <v>264003.94699999999</v>
      </c>
      <c r="AG11" s="229">
        <v>1.51804976E-2</v>
      </c>
    </row>
    <row r="12" spans="1:33">
      <c r="A12" s="127" t="s">
        <v>8</v>
      </c>
      <c r="B12" s="228">
        <v>0</v>
      </c>
      <c r="C12" s="228">
        <v>0</v>
      </c>
      <c r="D12" s="229">
        <v>0</v>
      </c>
      <c r="E12" s="228">
        <v>0</v>
      </c>
      <c r="F12" s="228">
        <v>0</v>
      </c>
      <c r="G12" s="229">
        <v>0</v>
      </c>
      <c r="H12" s="228">
        <v>0</v>
      </c>
      <c r="I12" s="229">
        <v>0</v>
      </c>
      <c r="J12" s="228">
        <v>0</v>
      </c>
      <c r="K12" s="228">
        <v>0</v>
      </c>
      <c r="L12" s="229">
        <v>0</v>
      </c>
      <c r="M12" s="228">
        <v>0</v>
      </c>
      <c r="N12" s="228">
        <v>0</v>
      </c>
      <c r="O12" s="229">
        <v>0</v>
      </c>
      <c r="P12" s="228">
        <v>0</v>
      </c>
      <c r="Q12" s="229">
        <v>0</v>
      </c>
      <c r="R12" s="228">
        <v>0</v>
      </c>
      <c r="S12" s="228">
        <v>0</v>
      </c>
      <c r="T12" s="229">
        <v>0</v>
      </c>
      <c r="U12" s="228">
        <v>0</v>
      </c>
      <c r="V12" s="228">
        <v>0</v>
      </c>
      <c r="W12" s="229">
        <v>0</v>
      </c>
      <c r="X12" s="228">
        <v>0</v>
      </c>
      <c r="Y12" s="229">
        <v>0</v>
      </c>
      <c r="Z12" s="228">
        <v>112281.06600000001</v>
      </c>
      <c r="AA12" s="228">
        <v>91813.716</v>
      </c>
      <c r="AB12" s="229">
        <v>0.22292257509999999</v>
      </c>
      <c r="AC12" s="228">
        <v>1119237.669</v>
      </c>
      <c r="AD12" s="228">
        <v>1108125.7180000001</v>
      </c>
      <c r="AE12" s="229">
        <v>1.00276989E-2</v>
      </c>
      <c r="AF12" s="228">
        <v>1190470.9890000001</v>
      </c>
      <c r="AG12" s="229">
        <v>-1.42400588E-2</v>
      </c>
    </row>
    <row r="13" spans="1:33">
      <c r="A13" s="127" t="s">
        <v>25</v>
      </c>
      <c r="B13" s="228">
        <v>0</v>
      </c>
      <c r="C13" s="228">
        <v>0</v>
      </c>
      <c r="D13" s="229">
        <v>0</v>
      </c>
      <c r="E13" s="228">
        <v>0</v>
      </c>
      <c r="F13" s="228">
        <v>0</v>
      </c>
      <c r="G13" s="229">
        <v>0</v>
      </c>
      <c r="H13" s="228">
        <v>0</v>
      </c>
      <c r="I13" s="229">
        <v>0</v>
      </c>
      <c r="J13" s="228">
        <v>0</v>
      </c>
      <c r="K13" s="228">
        <v>0</v>
      </c>
      <c r="L13" s="229">
        <v>0</v>
      </c>
      <c r="M13" s="228">
        <v>0</v>
      </c>
      <c r="N13" s="228">
        <v>0</v>
      </c>
      <c r="O13" s="229">
        <v>0</v>
      </c>
      <c r="P13" s="228">
        <v>0</v>
      </c>
      <c r="Q13" s="229">
        <v>0</v>
      </c>
      <c r="R13" s="228">
        <v>234209.41099999999</v>
      </c>
      <c r="S13" s="228">
        <v>228355.13399999999</v>
      </c>
      <c r="T13" s="229">
        <v>2.5636721599999999E-2</v>
      </c>
      <c r="U13" s="228">
        <v>2860406.7340000002</v>
      </c>
      <c r="V13" s="228">
        <v>2625103.6179999998</v>
      </c>
      <c r="W13" s="229">
        <v>8.9635744000000003E-2</v>
      </c>
      <c r="X13" s="228">
        <v>3148018.9739999999</v>
      </c>
      <c r="Y13" s="229">
        <v>0.1004874732</v>
      </c>
      <c r="Z13" s="228">
        <v>343636.77799999999</v>
      </c>
      <c r="AA13" s="228">
        <v>391606.554</v>
      </c>
      <c r="AB13" s="229">
        <v>-0.1224948242</v>
      </c>
      <c r="AC13" s="228">
        <v>3451781.9939999999</v>
      </c>
      <c r="AD13" s="228">
        <v>3357669.4279999998</v>
      </c>
      <c r="AE13" s="229">
        <v>2.8029133899999999E-2</v>
      </c>
      <c r="AF13" s="228">
        <v>3829655.2080000001</v>
      </c>
      <c r="AG13" s="229">
        <v>3.4325669500000003E-2</v>
      </c>
    </row>
    <row r="14" spans="1:33">
      <c r="A14" s="127" t="s">
        <v>24</v>
      </c>
      <c r="B14" s="228">
        <v>0</v>
      </c>
      <c r="C14" s="228">
        <v>0</v>
      </c>
      <c r="D14" s="229">
        <v>0</v>
      </c>
      <c r="E14" s="228">
        <v>0</v>
      </c>
      <c r="F14" s="228">
        <v>0</v>
      </c>
      <c r="G14" s="229">
        <v>0</v>
      </c>
      <c r="H14" s="228">
        <v>0</v>
      </c>
      <c r="I14" s="229">
        <v>0</v>
      </c>
      <c r="J14" s="228">
        <v>0</v>
      </c>
      <c r="K14" s="228">
        <v>0</v>
      </c>
      <c r="L14" s="229">
        <v>0</v>
      </c>
      <c r="M14" s="228">
        <v>0</v>
      </c>
      <c r="N14" s="228">
        <v>0</v>
      </c>
      <c r="O14" s="229">
        <v>0</v>
      </c>
      <c r="P14" s="228">
        <v>0</v>
      </c>
      <c r="Q14" s="229">
        <v>0</v>
      </c>
      <c r="R14" s="228">
        <v>0</v>
      </c>
      <c r="S14" s="228">
        <v>0</v>
      </c>
      <c r="T14" s="229">
        <v>0</v>
      </c>
      <c r="U14" s="228">
        <v>0</v>
      </c>
      <c r="V14" s="228">
        <v>0</v>
      </c>
      <c r="W14" s="229">
        <v>0</v>
      </c>
      <c r="X14" s="228">
        <v>0</v>
      </c>
      <c r="Y14" s="229">
        <v>0</v>
      </c>
      <c r="Z14" s="228">
        <v>0</v>
      </c>
      <c r="AA14" s="228">
        <v>0</v>
      </c>
      <c r="AB14" s="229">
        <v>0</v>
      </c>
      <c r="AC14" s="228">
        <v>0</v>
      </c>
      <c r="AD14" s="228">
        <v>0</v>
      </c>
      <c r="AE14" s="229">
        <v>0</v>
      </c>
      <c r="AF14" s="228">
        <v>0</v>
      </c>
      <c r="AG14" s="229">
        <v>0</v>
      </c>
    </row>
    <row r="15" spans="1:33">
      <c r="A15" s="127" t="s">
        <v>6</v>
      </c>
      <c r="B15" s="228">
        <v>0</v>
      </c>
      <c r="C15" s="228">
        <v>0</v>
      </c>
      <c r="D15" s="229">
        <v>0</v>
      </c>
      <c r="E15" s="228">
        <v>0</v>
      </c>
      <c r="F15" s="228">
        <v>0</v>
      </c>
      <c r="G15" s="229">
        <v>0</v>
      </c>
      <c r="H15" s="228">
        <v>0</v>
      </c>
      <c r="I15" s="229">
        <v>0</v>
      </c>
      <c r="J15" s="228">
        <v>0</v>
      </c>
      <c r="K15" s="228">
        <v>0</v>
      </c>
      <c r="L15" s="229">
        <v>0</v>
      </c>
      <c r="M15" s="228">
        <v>0</v>
      </c>
      <c r="N15" s="228">
        <v>0</v>
      </c>
      <c r="O15" s="229">
        <v>0</v>
      </c>
      <c r="P15" s="228">
        <v>0</v>
      </c>
      <c r="Q15" s="229">
        <v>0</v>
      </c>
      <c r="R15" s="228">
        <v>0</v>
      </c>
      <c r="S15" s="228">
        <v>0</v>
      </c>
      <c r="T15" s="229">
        <v>0</v>
      </c>
      <c r="U15" s="228">
        <v>0</v>
      </c>
      <c r="V15" s="228">
        <v>0</v>
      </c>
      <c r="W15" s="229">
        <v>0</v>
      </c>
      <c r="X15" s="228">
        <v>0</v>
      </c>
      <c r="Y15" s="229">
        <v>0</v>
      </c>
      <c r="Z15" s="228">
        <v>949.78899999999999</v>
      </c>
      <c r="AA15" s="228">
        <v>324.08100000000002</v>
      </c>
      <c r="AB15" s="229">
        <v>1.9307148521999999</v>
      </c>
      <c r="AC15" s="228">
        <v>20545.127</v>
      </c>
      <c r="AD15" s="228">
        <v>21988.245999999999</v>
      </c>
      <c r="AE15" s="229">
        <v>-6.5631383200000004E-2</v>
      </c>
      <c r="AF15" s="228">
        <v>21908.871999999999</v>
      </c>
      <c r="AG15" s="229">
        <v>-3.5078911599999998E-2</v>
      </c>
    </row>
    <row r="16" spans="1:33">
      <c r="A16" s="127" t="s">
        <v>5</v>
      </c>
      <c r="B16" s="228">
        <v>0</v>
      </c>
      <c r="C16" s="228">
        <v>0</v>
      </c>
      <c r="D16" s="229">
        <v>0</v>
      </c>
      <c r="E16" s="228">
        <v>0</v>
      </c>
      <c r="F16" s="228">
        <v>0</v>
      </c>
      <c r="G16" s="229">
        <v>0</v>
      </c>
      <c r="H16" s="228">
        <v>0</v>
      </c>
      <c r="I16" s="229">
        <v>0</v>
      </c>
      <c r="J16" s="228">
        <v>0</v>
      </c>
      <c r="K16" s="228">
        <v>0</v>
      </c>
      <c r="L16" s="229">
        <v>0</v>
      </c>
      <c r="M16" s="228">
        <v>0</v>
      </c>
      <c r="N16" s="228">
        <v>0</v>
      </c>
      <c r="O16" s="229">
        <v>0</v>
      </c>
      <c r="P16" s="228">
        <v>0</v>
      </c>
      <c r="Q16" s="229">
        <v>0</v>
      </c>
      <c r="R16" s="228">
        <v>0</v>
      </c>
      <c r="S16" s="228">
        <v>0</v>
      </c>
      <c r="T16" s="229">
        <v>0</v>
      </c>
      <c r="U16" s="228">
        <v>0</v>
      </c>
      <c r="V16" s="228">
        <v>0</v>
      </c>
      <c r="W16" s="229">
        <v>0</v>
      </c>
      <c r="X16" s="228">
        <v>0</v>
      </c>
      <c r="Y16" s="229">
        <v>0</v>
      </c>
      <c r="Z16" s="228">
        <v>110859.167</v>
      </c>
      <c r="AA16" s="228">
        <v>42203.436000000002</v>
      </c>
      <c r="AB16" s="229">
        <v>1.6267806014999999</v>
      </c>
      <c r="AC16" s="228">
        <v>1301596.0220000001</v>
      </c>
      <c r="AD16" s="228">
        <v>1309849.29</v>
      </c>
      <c r="AE16" s="229">
        <v>-6.3009295E-3</v>
      </c>
      <c r="AF16" s="228">
        <v>1400200.7649999999</v>
      </c>
      <c r="AG16" s="229">
        <v>1.3953325500000001E-2</v>
      </c>
    </row>
    <row r="17" spans="1:33">
      <c r="A17" s="127" t="s">
        <v>4</v>
      </c>
      <c r="B17" s="228">
        <v>0</v>
      </c>
      <c r="C17" s="228">
        <v>0</v>
      </c>
      <c r="D17" s="229">
        <v>0</v>
      </c>
      <c r="E17" s="228">
        <v>6.6000000000000003E-2</v>
      </c>
      <c r="F17" s="228">
        <v>0.112</v>
      </c>
      <c r="G17" s="229">
        <v>-0.41071428570000001</v>
      </c>
      <c r="H17" s="228">
        <v>6.6000000000000003E-2</v>
      </c>
      <c r="I17" s="229">
        <v>-0.62711864409999996</v>
      </c>
      <c r="J17" s="228">
        <v>3.5950000000000002</v>
      </c>
      <c r="K17" s="228">
        <v>3.0169999999999999</v>
      </c>
      <c r="L17" s="229">
        <v>0.19158104079999999</v>
      </c>
      <c r="M17" s="228">
        <v>64.731999999999999</v>
      </c>
      <c r="N17" s="228">
        <v>65.914000000000001</v>
      </c>
      <c r="O17" s="229">
        <v>-1.7932457400000001E-2</v>
      </c>
      <c r="P17" s="228">
        <v>68.313000000000002</v>
      </c>
      <c r="Q17" s="229">
        <v>-1.6328999100000002E-2</v>
      </c>
      <c r="R17" s="228">
        <v>28186.232</v>
      </c>
      <c r="S17" s="228">
        <v>27233.916000000001</v>
      </c>
      <c r="T17" s="229">
        <v>3.4968015599999999E-2</v>
      </c>
      <c r="U17" s="228">
        <v>483457.64899999998</v>
      </c>
      <c r="V17" s="228">
        <v>482664.25699999998</v>
      </c>
      <c r="W17" s="229">
        <v>1.6437762000000001E-3</v>
      </c>
      <c r="X17" s="228">
        <v>508717.67099999997</v>
      </c>
      <c r="Y17" s="229">
        <v>5.7610888000000004E-3</v>
      </c>
      <c r="Z17" s="228">
        <v>32339.796999999999</v>
      </c>
      <c r="AA17" s="228">
        <v>28568.382000000001</v>
      </c>
      <c r="AB17" s="229">
        <v>0.1320136016</v>
      </c>
      <c r="AC17" s="228">
        <v>428803.87300000002</v>
      </c>
      <c r="AD17" s="228">
        <v>377999.54800000001</v>
      </c>
      <c r="AE17" s="229">
        <v>0.1344031369</v>
      </c>
      <c r="AF17" s="228">
        <v>456223.397</v>
      </c>
      <c r="AG17" s="229">
        <v>0.13542042839999999</v>
      </c>
    </row>
    <row r="18" spans="1:33">
      <c r="A18" s="127" t="s">
        <v>22</v>
      </c>
      <c r="B18" s="228">
        <v>0</v>
      </c>
      <c r="C18" s="228">
        <v>0</v>
      </c>
      <c r="D18" s="229">
        <v>0</v>
      </c>
      <c r="E18" s="228">
        <v>0</v>
      </c>
      <c r="F18" s="228">
        <v>0</v>
      </c>
      <c r="G18" s="229">
        <v>0</v>
      </c>
      <c r="H18" s="228">
        <v>0</v>
      </c>
      <c r="I18" s="229">
        <v>0</v>
      </c>
      <c r="J18" s="228">
        <v>0</v>
      </c>
      <c r="K18" s="228">
        <v>0</v>
      </c>
      <c r="L18" s="229">
        <v>0</v>
      </c>
      <c r="M18" s="228">
        <v>0</v>
      </c>
      <c r="N18" s="228">
        <v>0</v>
      </c>
      <c r="O18" s="229">
        <v>0</v>
      </c>
      <c r="P18" s="228">
        <v>0</v>
      </c>
      <c r="Q18" s="229">
        <v>0</v>
      </c>
      <c r="R18" s="228">
        <v>1328.557</v>
      </c>
      <c r="S18" s="228">
        <v>270.39800000000002</v>
      </c>
      <c r="T18" s="229">
        <v>3.9133388561000002</v>
      </c>
      <c r="U18" s="228">
        <v>3911.7939999999999</v>
      </c>
      <c r="V18" s="228">
        <v>1777.902</v>
      </c>
      <c r="W18" s="229">
        <v>1.2002303838999999</v>
      </c>
      <c r="X18" s="228">
        <v>4141.7950000000001</v>
      </c>
      <c r="Y18" s="229">
        <v>1.1751308583</v>
      </c>
      <c r="Z18" s="228">
        <v>746.05499999999995</v>
      </c>
      <c r="AA18" s="228">
        <v>1177.5519999999999</v>
      </c>
      <c r="AB18" s="229">
        <v>-0.36643562239999999</v>
      </c>
      <c r="AC18" s="228">
        <v>12036.175999999999</v>
      </c>
      <c r="AD18" s="228">
        <v>8114.0690000000004</v>
      </c>
      <c r="AE18" s="229">
        <v>0.48337116679999997</v>
      </c>
      <c r="AF18" s="228">
        <v>13166.661</v>
      </c>
      <c r="AG18" s="229">
        <v>0.53826052800000002</v>
      </c>
    </row>
    <row r="19" spans="1:33">
      <c r="A19" s="127" t="s">
        <v>23</v>
      </c>
      <c r="B19" s="228">
        <v>0</v>
      </c>
      <c r="C19" s="228">
        <v>0</v>
      </c>
      <c r="D19" s="229">
        <v>0</v>
      </c>
      <c r="E19" s="228">
        <v>0</v>
      </c>
      <c r="F19" s="228">
        <v>0</v>
      </c>
      <c r="G19" s="229">
        <v>0</v>
      </c>
      <c r="H19" s="228">
        <v>0</v>
      </c>
      <c r="I19" s="229">
        <v>0</v>
      </c>
      <c r="J19" s="228">
        <v>0</v>
      </c>
      <c r="K19" s="228">
        <v>0</v>
      </c>
      <c r="L19" s="229">
        <v>0</v>
      </c>
      <c r="M19" s="228">
        <v>0</v>
      </c>
      <c r="N19" s="228">
        <v>0</v>
      </c>
      <c r="O19" s="229">
        <v>0</v>
      </c>
      <c r="P19" s="228">
        <v>0</v>
      </c>
      <c r="Q19" s="229">
        <v>0</v>
      </c>
      <c r="R19" s="228">
        <v>2522.0250000000001</v>
      </c>
      <c r="S19" s="228">
        <v>1879.075</v>
      </c>
      <c r="T19" s="229">
        <v>0.3421630323</v>
      </c>
      <c r="U19" s="228">
        <v>34024.637000000002</v>
      </c>
      <c r="V19" s="228">
        <v>33417.142</v>
      </c>
      <c r="W19" s="229">
        <v>1.81791429E-2</v>
      </c>
      <c r="X19" s="228">
        <v>37291.5</v>
      </c>
      <c r="Y19" s="229">
        <v>1.96270448E-2</v>
      </c>
      <c r="Z19" s="228">
        <v>0</v>
      </c>
      <c r="AA19" s="228">
        <v>0</v>
      </c>
      <c r="AB19" s="229">
        <v>0</v>
      </c>
      <c r="AC19" s="228">
        <v>0</v>
      </c>
      <c r="AD19" s="228">
        <v>0</v>
      </c>
      <c r="AE19" s="229">
        <v>0</v>
      </c>
      <c r="AF19" s="228">
        <v>0</v>
      </c>
      <c r="AG19" s="229">
        <v>0</v>
      </c>
    </row>
    <row r="20" spans="1:33">
      <c r="A20" s="127" t="s">
        <v>46</v>
      </c>
      <c r="B20" s="228">
        <v>0</v>
      </c>
      <c r="C20" s="228">
        <v>0</v>
      </c>
      <c r="D20" s="229">
        <v>0</v>
      </c>
      <c r="E20" s="228">
        <v>0</v>
      </c>
      <c r="F20" s="228">
        <v>0</v>
      </c>
      <c r="G20" s="229">
        <v>0</v>
      </c>
      <c r="H20" s="228">
        <v>0</v>
      </c>
      <c r="I20" s="229">
        <v>0</v>
      </c>
      <c r="J20" s="228">
        <v>452.00549999999998</v>
      </c>
      <c r="K20" s="228">
        <v>233.876</v>
      </c>
      <c r="L20" s="229">
        <v>0.93267158670000005</v>
      </c>
      <c r="M20" s="228">
        <v>5676.8270000000002</v>
      </c>
      <c r="N20" s="228">
        <v>5294.7304999999997</v>
      </c>
      <c r="O20" s="229">
        <v>7.2165429399999995E-2</v>
      </c>
      <c r="P20" s="228">
        <v>6071.4989999999998</v>
      </c>
      <c r="Q20" s="229">
        <v>2.1247811500000002E-2</v>
      </c>
      <c r="R20" s="228">
        <v>12386.824500000001</v>
      </c>
      <c r="S20" s="228">
        <v>9512.2355000000007</v>
      </c>
      <c r="T20" s="229">
        <v>0.3021990993</v>
      </c>
      <c r="U20" s="228">
        <v>122465.26850000001</v>
      </c>
      <c r="V20" s="228">
        <v>133362.25200000001</v>
      </c>
      <c r="W20" s="229">
        <v>-8.1709654199999995E-2</v>
      </c>
      <c r="X20" s="228">
        <v>134726.9135</v>
      </c>
      <c r="Y20" s="229">
        <v>-5.3578889999999997E-2</v>
      </c>
      <c r="Z20" s="228">
        <v>0</v>
      </c>
      <c r="AA20" s="228">
        <v>0</v>
      </c>
      <c r="AB20" s="229">
        <v>0</v>
      </c>
      <c r="AC20" s="228">
        <v>0</v>
      </c>
      <c r="AD20" s="228">
        <v>0</v>
      </c>
      <c r="AE20" s="229">
        <v>0</v>
      </c>
      <c r="AF20" s="228">
        <v>0</v>
      </c>
      <c r="AG20" s="229">
        <v>0</v>
      </c>
    </row>
    <row r="21" spans="1:33">
      <c r="A21" s="127" t="s">
        <v>47</v>
      </c>
      <c r="B21" s="228">
        <v>0</v>
      </c>
      <c r="C21" s="228">
        <v>0</v>
      </c>
      <c r="D21" s="229">
        <v>0</v>
      </c>
      <c r="E21" s="228">
        <v>0</v>
      </c>
      <c r="F21" s="228">
        <v>0</v>
      </c>
      <c r="G21" s="229">
        <v>0</v>
      </c>
      <c r="H21" s="228">
        <v>0</v>
      </c>
      <c r="I21" s="229">
        <v>0</v>
      </c>
      <c r="J21" s="228">
        <v>452.00549999999998</v>
      </c>
      <c r="K21" s="228">
        <v>233.876</v>
      </c>
      <c r="L21" s="229">
        <v>0.93267158670000005</v>
      </c>
      <c r="M21" s="228">
        <v>5676.8270000000002</v>
      </c>
      <c r="N21" s="228">
        <v>5294.7304999999997</v>
      </c>
      <c r="O21" s="229">
        <v>7.2165429399999995E-2</v>
      </c>
      <c r="P21" s="228">
        <v>6071.4989999999998</v>
      </c>
      <c r="Q21" s="229">
        <v>2.1247811500000002E-2</v>
      </c>
      <c r="R21" s="228">
        <v>12386.824500000001</v>
      </c>
      <c r="S21" s="228">
        <v>9512.2355000000007</v>
      </c>
      <c r="T21" s="229">
        <v>0.3021990993</v>
      </c>
      <c r="U21" s="228">
        <v>122465.26850000001</v>
      </c>
      <c r="V21" s="228">
        <v>133362.25200000001</v>
      </c>
      <c r="W21" s="229">
        <v>-8.1709654199999995E-2</v>
      </c>
      <c r="X21" s="228">
        <v>134726.9135</v>
      </c>
      <c r="Y21" s="229">
        <v>-5.3578889999999997E-2</v>
      </c>
      <c r="Z21" s="228">
        <v>0</v>
      </c>
      <c r="AA21" s="228">
        <v>0</v>
      </c>
      <c r="AB21" s="229">
        <v>0</v>
      </c>
      <c r="AC21" s="228">
        <v>0</v>
      </c>
      <c r="AD21" s="228">
        <v>0</v>
      </c>
      <c r="AE21" s="229">
        <v>0</v>
      </c>
      <c r="AF21" s="228">
        <v>0</v>
      </c>
      <c r="AG21" s="229">
        <v>0</v>
      </c>
    </row>
    <row r="22" spans="1:33">
      <c r="A22" s="131" t="s">
        <v>2</v>
      </c>
      <c r="B22" s="230">
        <v>16668.941999999999</v>
      </c>
      <c r="C22" s="230">
        <v>14706.832</v>
      </c>
      <c r="D22" s="231">
        <v>0.13341486459999999</v>
      </c>
      <c r="E22" s="230">
        <v>187989.67600000001</v>
      </c>
      <c r="F22" s="230">
        <v>172012.86499999999</v>
      </c>
      <c r="G22" s="231">
        <v>9.2881488799999995E-2</v>
      </c>
      <c r="H22" s="230">
        <v>202491.97500000001</v>
      </c>
      <c r="I22" s="231">
        <v>8.0321173199999998E-2</v>
      </c>
      <c r="J22" s="230">
        <v>17238.156999999999</v>
      </c>
      <c r="K22" s="230">
        <v>15365.933000000001</v>
      </c>
      <c r="L22" s="231">
        <v>0.1218425201</v>
      </c>
      <c r="M22" s="230">
        <v>208129.177</v>
      </c>
      <c r="N22" s="230">
        <v>186620.49</v>
      </c>
      <c r="O22" s="231">
        <v>0.1152536198</v>
      </c>
      <c r="P22" s="230">
        <v>224524.48800000001</v>
      </c>
      <c r="Q22" s="231">
        <v>0.10763564790000001</v>
      </c>
      <c r="R22" s="230">
        <v>340472.98700000002</v>
      </c>
      <c r="S22" s="230">
        <v>307022.82500000001</v>
      </c>
      <c r="T22" s="231">
        <v>0.1089500821</v>
      </c>
      <c r="U22" s="230">
        <v>4418889.5719999997</v>
      </c>
      <c r="V22" s="230">
        <v>4109785.6690000002</v>
      </c>
      <c r="W22" s="231">
        <v>7.5211684500000001E-2</v>
      </c>
      <c r="X22" s="230">
        <v>4793509.07</v>
      </c>
      <c r="Y22" s="231">
        <v>8.4562981499999995E-2</v>
      </c>
      <c r="Z22" s="230">
        <v>766842.94400000002</v>
      </c>
      <c r="AA22" s="230">
        <v>748315.21600000001</v>
      </c>
      <c r="AB22" s="231">
        <v>2.4759256E-2</v>
      </c>
      <c r="AC22" s="230">
        <v>8228784.8099999996</v>
      </c>
      <c r="AD22" s="230">
        <v>8139264.71</v>
      </c>
      <c r="AE22" s="231">
        <v>1.0998548800000001E-2</v>
      </c>
      <c r="AF22" s="230">
        <v>8986006.6779999994</v>
      </c>
      <c r="AG22" s="231">
        <v>1.1801570000000001E-2</v>
      </c>
    </row>
    <row r="23" spans="1:33">
      <c r="A23" s="127" t="s">
        <v>107</v>
      </c>
      <c r="B23" s="228">
        <v>0</v>
      </c>
      <c r="C23" s="228">
        <v>0</v>
      </c>
      <c r="D23" s="229">
        <v>0</v>
      </c>
      <c r="E23" s="228">
        <v>0</v>
      </c>
      <c r="F23" s="228">
        <v>0</v>
      </c>
      <c r="G23" s="229">
        <v>0</v>
      </c>
      <c r="H23" s="228">
        <v>0</v>
      </c>
      <c r="I23" s="229">
        <v>0</v>
      </c>
      <c r="J23" s="228">
        <v>0</v>
      </c>
      <c r="K23" s="228">
        <v>0</v>
      </c>
      <c r="L23" s="229">
        <v>0</v>
      </c>
      <c r="M23" s="228">
        <v>0</v>
      </c>
      <c r="N23" s="228">
        <v>0</v>
      </c>
      <c r="O23" s="229">
        <v>0</v>
      </c>
      <c r="P23" s="228">
        <v>0</v>
      </c>
      <c r="Q23" s="229">
        <v>0</v>
      </c>
      <c r="R23" s="228">
        <v>1.536</v>
      </c>
      <c r="S23" s="228">
        <v>43.603000000000002</v>
      </c>
      <c r="T23" s="229">
        <v>-0.96477306610000002</v>
      </c>
      <c r="U23" s="228">
        <v>89.491</v>
      </c>
      <c r="V23" s="228">
        <v>133.102</v>
      </c>
      <c r="W23" s="229">
        <v>-0.32765097440000002</v>
      </c>
      <c r="X23" s="228">
        <v>99.688000000000002</v>
      </c>
      <c r="Y23" s="229">
        <v>-0.25321187509999998</v>
      </c>
      <c r="Z23" s="228">
        <v>0</v>
      </c>
      <c r="AA23" s="228">
        <v>0</v>
      </c>
      <c r="AB23" s="229">
        <v>0</v>
      </c>
      <c r="AC23" s="228">
        <v>0</v>
      </c>
      <c r="AD23" s="228">
        <v>0</v>
      </c>
      <c r="AE23" s="229">
        <v>0</v>
      </c>
      <c r="AF23" s="228">
        <v>0</v>
      </c>
      <c r="AG23" s="229">
        <v>0</v>
      </c>
    </row>
    <row r="24" spans="1:33">
      <c r="A24" s="127" t="s">
        <v>108</v>
      </c>
      <c r="B24" s="228">
        <v>0</v>
      </c>
      <c r="C24" s="228">
        <v>0</v>
      </c>
      <c r="D24" s="229">
        <v>0</v>
      </c>
      <c r="E24" s="228">
        <v>0</v>
      </c>
      <c r="F24" s="228">
        <v>0</v>
      </c>
      <c r="G24" s="229">
        <v>0</v>
      </c>
      <c r="H24" s="228">
        <v>0</v>
      </c>
      <c r="I24" s="229">
        <v>0</v>
      </c>
      <c r="J24" s="228">
        <v>0</v>
      </c>
      <c r="K24" s="228">
        <v>0</v>
      </c>
      <c r="L24" s="229">
        <v>0</v>
      </c>
      <c r="M24" s="228">
        <v>0</v>
      </c>
      <c r="N24" s="228">
        <v>0</v>
      </c>
      <c r="O24" s="229">
        <v>0</v>
      </c>
      <c r="P24" s="228">
        <v>0</v>
      </c>
      <c r="Q24" s="229">
        <v>0</v>
      </c>
      <c r="R24" s="228">
        <v>-5.601</v>
      </c>
      <c r="S24" s="228">
        <v>-87.81</v>
      </c>
      <c r="T24" s="229">
        <v>-0.93621455419999999</v>
      </c>
      <c r="U24" s="228">
        <v>-255.05500000000001</v>
      </c>
      <c r="V24" s="228">
        <v>-397.05599999999998</v>
      </c>
      <c r="W24" s="229">
        <v>-0.35763469129999997</v>
      </c>
      <c r="X24" s="228">
        <v>-279.17700000000002</v>
      </c>
      <c r="Y24" s="229">
        <v>-0.34449797840000002</v>
      </c>
      <c r="Z24" s="228">
        <v>0</v>
      </c>
      <c r="AA24" s="228">
        <v>0</v>
      </c>
      <c r="AB24" s="229">
        <v>0</v>
      </c>
      <c r="AC24" s="228">
        <v>0</v>
      </c>
      <c r="AD24" s="228">
        <v>0</v>
      </c>
      <c r="AE24" s="229">
        <v>0</v>
      </c>
      <c r="AF24" s="228">
        <v>0</v>
      </c>
      <c r="AG24" s="229">
        <v>0</v>
      </c>
    </row>
    <row r="25" spans="1:33">
      <c r="A25" s="127" t="s">
        <v>21</v>
      </c>
      <c r="B25" s="228">
        <v>0</v>
      </c>
      <c r="C25" s="228">
        <v>0</v>
      </c>
      <c r="D25" s="229">
        <v>0</v>
      </c>
      <c r="E25" s="228">
        <v>0</v>
      </c>
      <c r="F25" s="228">
        <v>0</v>
      </c>
      <c r="G25" s="229">
        <v>0</v>
      </c>
      <c r="H25" s="228">
        <v>0</v>
      </c>
      <c r="I25" s="229">
        <v>0</v>
      </c>
      <c r="J25" s="228">
        <v>0</v>
      </c>
      <c r="K25" s="228">
        <v>0</v>
      </c>
      <c r="L25" s="229">
        <v>0</v>
      </c>
      <c r="M25" s="228">
        <v>0</v>
      </c>
      <c r="N25" s="228">
        <v>0</v>
      </c>
      <c r="O25" s="229">
        <v>0</v>
      </c>
      <c r="P25" s="228">
        <v>0</v>
      </c>
      <c r="Q25" s="229">
        <v>0</v>
      </c>
      <c r="R25" s="228">
        <v>76900.410999999993</v>
      </c>
      <c r="S25" s="228">
        <v>78195.680999999997</v>
      </c>
      <c r="T25" s="229">
        <v>-1.6564469799999999E-2</v>
      </c>
      <c r="U25" s="228">
        <v>1415649.4790000001</v>
      </c>
      <c r="V25" s="228">
        <v>1501823.115</v>
      </c>
      <c r="W25" s="229">
        <v>-5.7379351199999998E-2</v>
      </c>
      <c r="X25" s="228">
        <v>1493634.2479999999</v>
      </c>
      <c r="Y25" s="229">
        <v>-7.4727046599999999E-2</v>
      </c>
      <c r="Z25" s="228">
        <v>0</v>
      </c>
      <c r="AA25" s="228">
        <v>0</v>
      </c>
      <c r="AB25" s="229">
        <v>0</v>
      </c>
      <c r="AC25" s="228">
        <v>0</v>
      </c>
      <c r="AD25" s="228">
        <v>0</v>
      </c>
      <c r="AE25" s="229">
        <v>0</v>
      </c>
      <c r="AF25" s="228">
        <v>0</v>
      </c>
      <c r="AG25" s="229">
        <v>0</v>
      </c>
    </row>
    <row r="26" spans="1:33">
      <c r="A26" s="131" t="s">
        <v>70</v>
      </c>
      <c r="B26" s="230">
        <v>16668.941999999999</v>
      </c>
      <c r="C26" s="230">
        <v>14706.832</v>
      </c>
      <c r="D26" s="231">
        <v>0.13341486459999999</v>
      </c>
      <c r="E26" s="230">
        <v>187989.67600000001</v>
      </c>
      <c r="F26" s="230">
        <v>172012.86499999999</v>
      </c>
      <c r="G26" s="231">
        <v>9.2881488799999995E-2</v>
      </c>
      <c r="H26" s="230">
        <v>202491.97500000001</v>
      </c>
      <c r="I26" s="231">
        <v>8.0321173199999998E-2</v>
      </c>
      <c r="J26" s="230">
        <v>17238.156999999999</v>
      </c>
      <c r="K26" s="230">
        <v>15365.933000000001</v>
      </c>
      <c r="L26" s="231">
        <v>0.1218425201</v>
      </c>
      <c r="M26" s="230">
        <v>208129.177</v>
      </c>
      <c r="N26" s="230">
        <v>186620.49</v>
      </c>
      <c r="O26" s="231">
        <v>0.1152536198</v>
      </c>
      <c r="P26" s="230">
        <v>224524.48800000001</v>
      </c>
      <c r="Q26" s="231">
        <v>0.10763564790000001</v>
      </c>
      <c r="R26" s="230">
        <v>417369.33299999998</v>
      </c>
      <c r="S26" s="230">
        <v>385174.299</v>
      </c>
      <c r="T26" s="231">
        <v>8.35856237E-2</v>
      </c>
      <c r="U26" s="230">
        <v>5834373.4869999997</v>
      </c>
      <c r="V26" s="230">
        <v>5611344.8300000001</v>
      </c>
      <c r="W26" s="231">
        <v>3.9746025900000002E-2</v>
      </c>
      <c r="X26" s="230">
        <v>6286963.8289999999</v>
      </c>
      <c r="Y26" s="231">
        <v>4.19693732E-2</v>
      </c>
      <c r="Z26" s="230">
        <v>766842.94400000002</v>
      </c>
      <c r="AA26" s="230">
        <v>748315.21600000001</v>
      </c>
      <c r="AB26" s="231">
        <v>2.4759256E-2</v>
      </c>
      <c r="AC26" s="230">
        <v>8228784.8099999996</v>
      </c>
      <c r="AD26" s="230">
        <v>8139264.71</v>
      </c>
      <c r="AE26" s="231">
        <v>1.0998548800000001E-2</v>
      </c>
      <c r="AF26" s="230">
        <v>8986006.6779999994</v>
      </c>
      <c r="AG26" s="231">
        <v>1.1801570000000001E-2</v>
      </c>
    </row>
    <row r="27" spans="1:33" ht="15">
      <c r="A27" s="225" t="s">
        <v>149</v>
      </c>
      <c r="B27" s="226">
        <f>SUM(B26,J26,R26,Z26)</f>
        <v>1218119.3759999999</v>
      </c>
      <c r="C27" s="226">
        <f>SUM(C26,K26,S26,AA26)</f>
        <v>1163562.28</v>
      </c>
      <c r="D27" s="227">
        <f>((B27/C27)-1)*100</f>
        <v>4.6887989528158203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63" t="str">
        <f>A2</f>
        <v>Noviembre 2025</v>
      </c>
      <c r="C29" s="264"/>
    </row>
    <row r="30" spans="1:33" ht="15">
      <c r="A30" s="128" t="s">
        <v>61</v>
      </c>
      <c r="B30" s="260" t="s">
        <v>64</v>
      </c>
      <c r="C30" s="261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603.1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658.31</v>
      </c>
      <c r="D41" s="156"/>
    </row>
    <row r="42" spans="1:6">
      <c r="A42" s="127" t="s">
        <v>4</v>
      </c>
      <c r="B42" s="157">
        <v>374.25309499999997</v>
      </c>
      <c r="C42" s="157">
        <v>318.26493499999998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>
      <c r="A47" s="127" t="s">
        <v>133</v>
      </c>
      <c r="B47" s="99">
        <v>1.2</v>
      </c>
      <c r="C47" s="99">
        <v>5.08</v>
      </c>
    </row>
    <row r="48" spans="1:6" ht="15">
      <c r="A48" s="131" t="s">
        <v>2</v>
      </c>
      <c r="B48" s="158">
        <f>SUM(B33:B47)</f>
        <v>2278.8495950000001</v>
      </c>
      <c r="C48" s="158">
        <f>SUM(C33:C47)</f>
        <v>3397.1739350000003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125</v>
      </c>
      <c r="L51" s="176" t="s">
        <v>126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10.589864241167438</v>
      </c>
      <c r="D52" s="155"/>
      <c r="F52" s="102" t="s">
        <v>10</v>
      </c>
      <c r="G52" s="103">
        <f>C35</f>
        <v>487.64</v>
      </c>
      <c r="H52" s="104">
        <f>G52/$G$62*100</f>
        <v>14.375781135318116</v>
      </c>
      <c r="J52" s="174" t="s">
        <v>123</v>
      </c>
      <c r="K52" s="177">
        <f>SUM(C52:C58)</f>
        <v>81.422665017091873</v>
      </c>
      <c r="L52" s="177">
        <f>SUM(H52:H56)</f>
        <v>70.594448322670047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6.1203444246216465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15.351874387287568</v>
      </c>
      <c r="J53" s="178" t="s">
        <v>124</v>
      </c>
      <c r="K53" s="179">
        <f>SUM(C59:C62)</f>
        <v>18.577334982908113</v>
      </c>
      <c r="L53" s="179">
        <f>SUM(H57:H61)</f>
        <v>29.405551677329949</v>
      </c>
    </row>
    <row r="54" spans="1:12">
      <c r="A54" s="102" t="s">
        <v>9</v>
      </c>
      <c r="B54" s="103">
        <f t="shared" si="1"/>
        <v>603.1</v>
      </c>
      <c r="C54" s="104">
        <f t="shared" si="0"/>
        <v>26.479051093897528</v>
      </c>
      <c r="D54" s="155"/>
      <c r="F54" s="102" t="s">
        <v>8</v>
      </c>
      <c r="G54" s="103">
        <f>C37</f>
        <v>482.64</v>
      </c>
      <c r="H54" s="104">
        <f t="shared" si="2"/>
        <v>14.228379556947617</v>
      </c>
    </row>
    <row r="55" spans="1:12">
      <c r="A55" s="102" t="s">
        <v>25</v>
      </c>
      <c r="B55" s="103">
        <f>B38</f>
        <v>822.9</v>
      </c>
      <c r="C55" s="104">
        <f t="shared" si="0"/>
        <v>36.129350265574985</v>
      </c>
      <c r="D55" s="155"/>
      <c r="F55" s="102" t="s">
        <v>25</v>
      </c>
      <c r="G55" s="103">
        <f>C38</f>
        <v>865.4</v>
      </c>
      <c r="H55" s="104">
        <f t="shared" si="2"/>
        <v>25.512265184366129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1.1261480587506196</v>
      </c>
    </row>
    <row r="57" spans="1:12">
      <c r="A57" s="102" t="s">
        <v>23</v>
      </c>
      <c r="B57" s="103">
        <f>B44</f>
        <v>10.523</v>
      </c>
      <c r="C57" s="104">
        <f t="shared" si="0"/>
        <v>0.46201136571229257</v>
      </c>
      <c r="D57" s="155"/>
      <c r="F57" s="102" t="s">
        <v>12</v>
      </c>
      <c r="G57" s="104">
        <f>C33</f>
        <v>0.76300000000000001</v>
      </c>
      <c r="H57" s="104">
        <f t="shared" si="2"/>
        <v>2.2493480859338291E-2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1.6420436261180025</v>
      </c>
      <c r="D58" s="155"/>
      <c r="F58" s="102" t="s">
        <v>6</v>
      </c>
      <c r="G58" s="103">
        <f>C40</f>
        <v>11.32</v>
      </c>
      <c r="H58" s="104">
        <f t="shared" si="2"/>
        <v>0.33371717343081186</v>
      </c>
    </row>
    <row r="59" spans="1:12">
      <c r="A59" s="102" t="s">
        <v>46</v>
      </c>
      <c r="B59" s="103">
        <f>B45</f>
        <v>37.4</v>
      </c>
      <c r="C59" s="104">
        <f t="shared" si="3"/>
        <v>1.6420436261180025</v>
      </c>
      <c r="D59" s="155"/>
      <c r="F59" s="102" t="s">
        <v>5</v>
      </c>
      <c r="G59" s="103">
        <f>C41</f>
        <v>658.31</v>
      </c>
      <c r="H59" s="104">
        <f t="shared" si="2"/>
        <v>19.407186611416762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0.1561917165752619</v>
      </c>
      <c r="D60" s="155"/>
      <c r="F60" s="102" t="s">
        <v>4</v>
      </c>
      <c r="G60" s="103">
        <f>C42</f>
        <v>318.26493499999998</v>
      </c>
      <c r="H60" s="104">
        <f t="shared" si="2"/>
        <v>9.3825507517969129</v>
      </c>
    </row>
    <row r="61" spans="1:12">
      <c r="A61" s="102" t="s">
        <v>4</v>
      </c>
      <c r="B61" s="103">
        <f>B42</f>
        <v>374.25309499999997</v>
      </c>
      <c r="C61" s="104">
        <f t="shared" si="3"/>
        <v>16.431548374323135</v>
      </c>
      <c r="D61" s="155"/>
      <c r="F61" s="102" t="s">
        <v>22</v>
      </c>
      <c r="G61" s="103">
        <f>C43</f>
        <v>8.8059999999999992</v>
      </c>
      <c r="H61" s="104">
        <f t="shared" si="2"/>
        <v>0.25960365982612449</v>
      </c>
    </row>
    <row r="62" spans="1:12">
      <c r="A62" s="102" t="s">
        <v>22</v>
      </c>
      <c r="B62" s="103">
        <f>B43</f>
        <v>7.9160000000000004</v>
      </c>
      <c r="C62" s="104">
        <f>B62/$B$63*100</f>
        <v>0.3475512658917142</v>
      </c>
      <c r="D62" s="155"/>
      <c r="F62" s="105" t="s">
        <v>20</v>
      </c>
      <c r="G62" s="106">
        <f>SUM(G52:G61)</f>
        <v>3392.0939349999999</v>
      </c>
      <c r="H62" s="107">
        <f>SUM(H52:H61)</f>
        <v>100</v>
      </c>
    </row>
    <row r="63" spans="1:12">
      <c r="A63" s="105" t="s">
        <v>20</v>
      </c>
      <c r="B63" s="106">
        <f>SUM(B52:B62)</f>
        <v>2277.6495949999999</v>
      </c>
      <c r="C63" s="107">
        <f>SUM(C52:C62)</f>
        <v>99.999999999999986</v>
      </c>
    </row>
    <row r="66" spans="1:15">
      <c r="A66" s="97" t="s">
        <v>115</v>
      </c>
      <c r="B66" s="98"/>
      <c r="F66" s="97" t="s">
        <v>116</v>
      </c>
      <c r="G66" s="98"/>
    </row>
    <row r="67" spans="1:15">
      <c r="A67" s="100"/>
      <c r="B67" s="101" t="s">
        <v>118</v>
      </c>
      <c r="C67" s="101" t="s">
        <v>117</v>
      </c>
      <c r="D67" s="101" t="s">
        <v>93</v>
      </c>
      <c r="F67" s="100"/>
      <c r="G67" s="101" t="s">
        <v>26</v>
      </c>
      <c r="H67" s="101" t="s">
        <v>93</v>
      </c>
      <c r="J67" s="175"/>
      <c r="K67" s="176" t="s">
        <v>125</v>
      </c>
      <c r="L67" s="176" t="s">
        <v>126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18.855176425800167</v>
      </c>
      <c r="H68" s="104"/>
      <c r="J68" s="174" t="s">
        <v>123</v>
      </c>
      <c r="K68" s="177">
        <f>SUM(C68:C74)</f>
        <v>87.693116605459224</v>
      </c>
      <c r="L68" s="177">
        <f>SUM(G68:G72)</f>
        <v>81.105021682249443</v>
      </c>
    </row>
    <row r="69" spans="1:15">
      <c r="A69" s="102" t="s">
        <v>10</v>
      </c>
      <c r="B69" s="104">
        <f t="shared" si="4"/>
        <v>4.0896794289702196</v>
      </c>
      <c r="C69" s="104">
        <f>(D69/SUM($D$68:$D$78))*100</f>
        <v>5.0133886245724399</v>
      </c>
      <c r="D69" s="103">
        <f>R10</f>
        <v>17069.234</v>
      </c>
      <c r="F69" s="102" t="s">
        <v>9</v>
      </c>
      <c r="G69" s="104">
        <f>Z11/Z$22*100</f>
        <v>2.7959704353750956</v>
      </c>
      <c r="H69" s="104"/>
      <c r="J69" s="178" t="s">
        <v>124</v>
      </c>
      <c r="K69" s="179">
        <f>SUM(C75:C78)</f>
        <v>12.306883394540785</v>
      </c>
      <c r="L69" s="179">
        <f>SUM(G73:G77)</f>
        <v>18.894978317750549</v>
      </c>
    </row>
    <row r="70" spans="1:15">
      <c r="A70" s="102" t="s">
        <v>9</v>
      </c>
      <c r="B70" s="104">
        <f t="shared" si="4"/>
        <v>7.7589705417689334</v>
      </c>
      <c r="C70" s="104">
        <f>(D70/SUM($D$68:$D$78))*100</f>
        <v>9.5114385682527001</v>
      </c>
      <c r="D70" s="103">
        <f>R11</f>
        <v>32383.879000000001</v>
      </c>
      <c r="F70" s="102" t="s">
        <v>8</v>
      </c>
      <c r="G70" s="104">
        <f>Z12/Z$22*100</f>
        <v>14.641989846619754</v>
      </c>
      <c r="H70" s="104"/>
    </row>
    <row r="71" spans="1:15">
      <c r="A71" s="102" t="s">
        <v>25</v>
      </c>
      <c r="B71" s="104">
        <f t="shared" si="4"/>
        <v>56.115078757367286</v>
      </c>
      <c r="C71" s="104">
        <f>(D71/SUM($D$68:$D$78))*100</f>
        <v>68.789425282658328</v>
      </c>
      <c r="D71" s="103">
        <f>R13</f>
        <v>234209.41099999999</v>
      </c>
      <c r="F71" s="102" t="s">
        <v>25</v>
      </c>
      <c r="G71" s="104">
        <f>Z13/Z$22*100</f>
        <v>44.811884974454429</v>
      </c>
      <c r="H71" s="104"/>
      <c r="J71" s="215" t="s">
        <v>141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4"/>
      <c r="J72" s="101"/>
      <c r="K72" s="101" t="s">
        <v>117</v>
      </c>
      <c r="L72" s="101" t="s">
        <v>93</v>
      </c>
    </row>
    <row r="73" spans="1:15" ht="12.75">
      <c r="A73" s="102" t="s">
        <v>23</v>
      </c>
      <c r="B73" s="104">
        <f t="shared" si="4"/>
        <v>0.60426107942797069</v>
      </c>
      <c r="C73" s="104">
        <f t="shared" ref="C73:C77" si="5">(D73/SUM($D$68:$D$78))*100</f>
        <v>0.74074158488232733</v>
      </c>
      <c r="D73" s="103">
        <f>R19</f>
        <v>2522.0250000000001</v>
      </c>
      <c r="F73" s="102" t="s">
        <v>12</v>
      </c>
      <c r="G73" s="104">
        <f>Z8/Z$22*100</f>
        <v>0</v>
      </c>
      <c r="H73" s="104"/>
      <c r="J73" s="214" t="s">
        <v>140</v>
      </c>
      <c r="K73" s="219">
        <f>IF(L73=0,0,L73/L73)</f>
        <v>1</v>
      </c>
      <c r="L73" s="217">
        <f>R23</f>
        <v>1.536</v>
      </c>
      <c r="M73" s="216" t="str">
        <f>CONCATENATE(J73," ",TEXT(L73,"0,00")," MWh")</f>
        <v>Entrega baterías 1,54 MWh</v>
      </c>
      <c r="N73" s="218">
        <f>1-K73</f>
        <v>0</v>
      </c>
      <c r="O73" s="224">
        <f>1-N73</f>
        <v>1</v>
      </c>
    </row>
    <row r="74" spans="1:15" ht="12.75">
      <c r="A74" s="102" t="s">
        <v>47</v>
      </c>
      <c r="B74" s="104">
        <f t="shared" si="4"/>
        <v>2.9678040237724983</v>
      </c>
      <c r="C74" s="104">
        <f t="shared" si="5"/>
        <v>3.6381225450934238</v>
      </c>
      <c r="D74" s="103">
        <f>R21</f>
        <v>12386.824500000001</v>
      </c>
      <c r="F74" s="102" t="s">
        <v>6</v>
      </c>
      <c r="G74" s="104">
        <f>Z15/Z$22*100</f>
        <v>0.12385704366603652</v>
      </c>
      <c r="H74" s="104"/>
      <c r="J74" s="214" t="s">
        <v>145</v>
      </c>
      <c r="K74" s="219">
        <f>IF(L74=0,0,L74/L74)</f>
        <v>1</v>
      </c>
      <c r="L74" s="217">
        <f>R24</f>
        <v>-5.601</v>
      </c>
      <c r="M74" s="216" t="str">
        <f>CONCATENATE(J74," ",TEXT(L74,"0,00")," MWh")</f>
        <v>Carga baterías -5,60 MWh</v>
      </c>
      <c r="N74" s="218">
        <f>1-K74</f>
        <v>0</v>
      </c>
      <c r="O74" s="224">
        <f>1-N74</f>
        <v>1</v>
      </c>
    </row>
    <row r="75" spans="1:15">
      <c r="A75" s="102" t="s">
        <v>46</v>
      </c>
      <c r="B75" s="104">
        <f t="shared" si="4"/>
        <v>2.9678040237724983</v>
      </c>
      <c r="C75" s="104">
        <f t="shared" si="5"/>
        <v>3.6381225450934238</v>
      </c>
      <c r="D75" s="103">
        <f>R20</f>
        <v>12386.824500000001</v>
      </c>
      <c r="F75" s="102" t="s">
        <v>5</v>
      </c>
      <c r="G75" s="104">
        <f>Z16/Z$22*100</f>
        <v>14.456567393283597</v>
      </c>
      <c r="H75" s="104"/>
      <c r="L75" s="223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4.2172647284604858</v>
      </c>
      <c r="H76" s="104"/>
    </row>
    <row r="77" spans="1:15">
      <c r="A77" s="102" t="s">
        <v>4</v>
      </c>
      <c r="B77" s="104">
        <f t="shared" si="4"/>
        <v>6.7532411349321322</v>
      </c>
      <c r="C77" s="104">
        <f t="shared" si="5"/>
        <v>8.278551625594897</v>
      </c>
      <c r="D77" s="103">
        <f>R17</f>
        <v>28186.232</v>
      </c>
      <c r="F77" s="102" t="s">
        <v>22</v>
      </c>
      <c r="G77" s="104">
        <f>Z18/Z$22*100</f>
        <v>9.7289152340430216E-2</v>
      </c>
      <c r="H77" s="104"/>
    </row>
    <row r="78" spans="1:15">
      <c r="A78" s="102" t="s">
        <v>22</v>
      </c>
      <c r="B78" s="104">
        <f t="shared" si="4"/>
        <v>0.31831377044303155</v>
      </c>
      <c r="C78" s="104">
        <f>(D78/SUM($D$68:$D$78))*100</f>
        <v>0.39020922385246387</v>
      </c>
      <c r="D78" s="103">
        <f>R18</f>
        <v>1328.557</v>
      </c>
      <c r="F78" s="105" t="s">
        <v>20</v>
      </c>
      <c r="G78" s="107">
        <f>SUM(G68:G77)</f>
        <v>100</v>
      </c>
      <c r="H78" s="107"/>
    </row>
    <row r="79" spans="1:15">
      <c r="A79" s="102" t="s">
        <v>21</v>
      </c>
      <c r="B79" s="104">
        <f t="shared" si="4"/>
        <v>18.424847239545443</v>
      </c>
      <c r="C79" s="104"/>
      <c r="D79" s="103">
        <f>R25</f>
        <v>76900.410999999993</v>
      </c>
    </row>
    <row r="80" spans="1:15">
      <c r="A80" s="105" t="s">
        <v>20</v>
      </c>
      <c r="B80" s="107">
        <f>SUM(B68:B79)</f>
        <v>100.00000000000001</v>
      </c>
      <c r="C80" s="107">
        <f>SUM(C68:C79)</f>
        <v>100.00000000000001</v>
      </c>
      <c r="D80" s="106">
        <f>SUM(D68:D79)</f>
        <v>417373.39799999993</v>
      </c>
    </row>
    <row r="85" spans="1:26" ht="15">
      <c r="A85" s="128"/>
      <c r="B85" s="128" t="s">
        <v>61</v>
      </c>
      <c r="C85" s="269" t="s">
        <v>13</v>
      </c>
      <c r="D85" s="270"/>
      <c r="E85" s="270"/>
      <c r="F85" s="270"/>
      <c r="G85" s="270"/>
      <c r="H85" s="270"/>
      <c r="I85" s="270"/>
      <c r="J85" s="270"/>
      <c r="K85" s="270"/>
      <c r="L85" s="270"/>
      <c r="M85" s="270"/>
      <c r="N85" s="270"/>
      <c r="O85" s="270"/>
      <c r="P85" s="270"/>
      <c r="Q85" s="270"/>
      <c r="R85" s="270"/>
      <c r="S85" s="270"/>
      <c r="T85" s="270"/>
      <c r="U85" s="270"/>
      <c r="V85" s="270"/>
      <c r="W85" s="270"/>
      <c r="X85" s="270"/>
      <c r="Y85" s="270"/>
      <c r="Z85" s="270"/>
    </row>
    <row r="86" spans="1:26">
      <c r="A86" s="128"/>
      <c r="B86" s="126" t="s">
        <v>59</v>
      </c>
      <c r="C86" s="181" t="s">
        <v>94</v>
      </c>
      <c r="D86" s="181" t="s">
        <v>95</v>
      </c>
      <c r="E86" s="181" t="s">
        <v>96</v>
      </c>
      <c r="F86" s="181" t="s">
        <v>97</v>
      </c>
      <c r="G86" s="181" t="s">
        <v>98</v>
      </c>
      <c r="H86" s="181" t="s">
        <v>99</v>
      </c>
      <c r="I86" s="181" t="s">
        <v>100</v>
      </c>
      <c r="J86" s="181" t="s">
        <v>101</v>
      </c>
      <c r="K86" s="181" t="s">
        <v>102</v>
      </c>
      <c r="L86" s="181" t="s">
        <v>103</v>
      </c>
      <c r="M86" s="181" t="s">
        <v>104</v>
      </c>
      <c r="N86" s="181" t="s">
        <v>105</v>
      </c>
      <c r="O86" s="181" t="s">
        <v>106</v>
      </c>
      <c r="P86" s="181" t="s">
        <v>109</v>
      </c>
      <c r="Q86" s="181" t="s">
        <v>122</v>
      </c>
      <c r="R86" s="181" t="s">
        <v>129</v>
      </c>
      <c r="S86" s="181" t="s">
        <v>130</v>
      </c>
      <c r="T86" s="181" t="s">
        <v>143</v>
      </c>
      <c r="U86" s="181" t="s">
        <v>144</v>
      </c>
      <c r="V86" s="181" t="s">
        <v>146</v>
      </c>
      <c r="W86" s="181" t="s">
        <v>147</v>
      </c>
      <c r="X86" s="181" t="s">
        <v>148</v>
      </c>
      <c r="Y86" s="181" t="s">
        <v>150</v>
      </c>
      <c r="Z86" s="181" t="s">
        <v>152</v>
      </c>
    </row>
    <row r="87" spans="1:26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</row>
    <row r="88" spans="1:26">
      <c r="A88" s="257" t="s">
        <v>49</v>
      </c>
      <c r="B88" s="127" t="s">
        <v>11</v>
      </c>
      <c r="C88" s="232">
        <v>0</v>
      </c>
      <c r="D88" s="232">
        <v>0</v>
      </c>
      <c r="E88" s="232">
        <v>0</v>
      </c>
      <c r="F88" s="232">
        <v>0</v>
      </c>
      <c r="G88" s="232">
        <v>25.151703999999999</v>
      </c>
      <c r="H88" s="232">
        <v>29.836832000000001</v>
      </c>
      <c r="I88" s="232">
        <v>3.0622039999999999</v>
      </c>
      <c r="J88" s="232">
        <v>0</v>
      </c>
      <c r="K88" s="232">
        <v>0</v>
      </c>
      <c r="L88" s="232">
        <v>0</v>
      </c>
      <c r="M88" s="232">
        <v>0</v>
      </c>
      <c r="N88" s="232">
        <v>0</v>
      </c>
      <c r="O88" s="232">
        <v>4.6319679999999996</v>
      </c>
      <c r="P88" s="232">
        <v>61.004249999999999</v>
      </c>
      <c r="Q88" s="232">
        <v>29.608969999999999</v>
      </c>
      <c r="R88" s="232">
        <v>0</v>
      </c>
      <c r="S88" s="232">
        <v>0</v>
      </c>
      <c r="T88" s="232">
        <v>0</v>
      </c>
      <c r="U88" s="232">
        <v>0</v>
      </c>
      <c r="V88" s="232">
        <v>0</v>
      </c>
      <c r="W88" s="232">
        <v>0</v>
      </c>
      <c r="X88" s="232">
        <v>0</v>
      </c>
      <c r="Y88" s="232">
        <v>0</v>
      </c>
      <c r="Z88" s="232">
        <v>0</v>
      </c>
    </row>
    <row r="89" spans="1:26">
      <c r="A89" s="258"/>
      <c r="B89" s="127" t="s">
        <v>69</v>
      </c>
      <c r="C89" s="232">
        <v>6.1979410000000001</v>
      </c>
      <c r="D89" s="232">
        <v>5.7004010000000003</v>
      </c>
      <c r="E89" s="232">
        <v>6.2874660000000002</v>
      </c>
      <c r="F89" s="232">
        <v>18.937709000000002</v>
      </c>
      <c r="G89" s="232">
        <v>12.634096</v>
      </c>
      <c r="H89" s="232">
        <v>18.518857000000001</v>
      </c>
      <c r="I89" s="232">
        <v>51.657288000000001</v>
      </c>
      <c r="J89" s="232">
        <v>63.154792</v>
      </c>
      <c r="K89" s="232">
        <v>37.101396999999999</v>
      </c>
      <c r="L89" s="232">
        <v>25.321735</v>
      </c>
      <c r="M89" s="232">
        <v>8.0420429999999996</v>
      </c>
      <c r="N89" s="232">
        <v>8.2701910000000005</v>
      </c>
      <c r="O89" s="232">
        <v>8.5854890000000008</v>
      </c>
      <c r="P89" s="232">
        <v>6.4758909999999998</v>
      </c>
      <c r="Q89" s="232">
        <v>7.3957850000000001</v>
      </c>
      <c r="R89" s="232">
        <v>13.863616</v>
      </c>
      <c r="S89" s="232">
        <v>17.616911000000002</v>
      </c>
      <c r="T89" s="232">
        <v>36.758597999999999</v>
      </c>
      <c r="U89" s="232">
        <v>62.363782</v>
      </c>
      <c r="V89" s="232">
        <v>66.467855</v>
      </c>
      <c r="W89" s="232">
        <v>45.454340000000002</v>
      </c>
      <c r="X89" s="232">
        <v>22.456917000000001</v>
      </c>
      <c r="Y89" s="232">
        <v>17.069234000000002</v>
      </c>
      <c r="Z89" s="232">
        <v>3.697244</v>
      </c>
    </row>
    <row r="90" spans="1:26">
      <c r="A90" s="258"/>
      <c r="B90" s="127" t="s">
        <v>9</v>
      </c>
      <c r="C90" s="232">
        <v>25.499687000000002</v>
      </c>
      <c r="D90" s="232">
        <v>24.103729999999999</v>
      </c>
      <c r="E90" s="232">
        <v>25.225477999999999</v>
      </c>
      <c r="F90" s="232">
        <v>29.829684</v>
      </c>
      <c r="G90" s="232">
        <v>29.728614</v>
      </c>
      <c r="H90" s="232">
        <v>43.667929999999998</v>
      </c>
      <c r="I90" s="232">
        <v>52.690387999999999</v>
      </c>
      <c r="J90" s="232">
        <v>57.984402000000003</v>
      </c>
      <c r="K90" s="232">
        <v>36.627740000000003</v>
      </c>
      <c r="L90" s="232">
        <v>40.918340000000001</v>
      </c>
      <c r="M90" s="232">
        <v>22.217787999999999</v>
      </c>
      <c r="N90" s="232">
        <v>25.456890999999999</v>
      </c>
      <c r="O90" s="232">
        <v>23.827804</v>
      </c>
      <c r="P90" s="232">
        <v>22.326347999999999</v>
      </c>
      <c r="Q90" s="232">
        <v>24.290578</v>
      </c>
      <c r="R90" s="232">
        <v>25.040586000000001</v>
      </c>
      <c r="S90" s="232">
        <v>25.468105999999999</v>
      </c>
      <c r="T90" s="232">
        <v>46.078491</v>
      </c>
      <c r="U90" s="232">
        <v>58.218541000000002</v>
      </c>
      <c r="V90" s="232">
        <v>51.241262999999996</v>
      </c>
      <c r="W90" s="232">
        <v>39.777388999999999</v>
      </c>
      <c r="X90" s="232">
        <v>43.751629999999999</v>
      </c>
      <c r="Y90" s="232">
        <v>32.383879</v>
      </c>
      <c r="Z90" s="232">
        <v>8.480893</v>
      </c>
    </row>
    <row r="91" spans="1:26">
      <c r="A91" s="258"/>
      <c r="B91" s="127" t="s">
        <v>25</v>
      </c>
      <c r="C91" s="232">
        <v>245.660033</v>
      </c>
      <c r="D91" s="232">
        <v>219.76708199999999</v>
      </c>
      <c r="E91" s="232">
        <v>214.68396200000001</v>
      </c>
      <c r="F91" s="232">
        <v>206.60469800000001</v>
      </c>
      <c r="G91" s="232">
        <v>207.90606</v>
      </c>
      <c r="H91" s="232">
        <v>213.69113200000001</v>
      </c>
      <c r="I91" s="232">
        <v>274.34556800000001</v>
      </c>
      <c r="J91" s="232">
        <v>334.32576699999998</v>
      </c>
      <c r="K91" s="232">
        <v>246.11744899999999</v>
      </c>
      <c r="L91" s="232">
        <v>233.64673300000001</v>
      </c>
      <c r="M91" s="232">
        <v>228.35513399999999</v>
      </c>
      <c r="N91" s="232">
        <v>287.61223999999999</v>
      </c>
      <c r="O91" s="232">
        <v>284.762474</v>
      </c>
      <c r="P91" s="232">
        <v>188.665806</v>
      </c>
      <c r="Q91" s="232">
        <v>223.33681300000001</v>
      </c>
      <c r="R91" s="232">
        <v>226.567814</v>
      </c>
      <c r="S91" s="232">
        <v>243.85669100000001</v>
      </c>
      <c r="T91" s="232">
        <v>273.81515200000001</v>
      </c>
      <c r="U91" s="232">
        <v>334.267562</v>
      </c>
      <c r="V91" s="232">
        <v>319.07413400000002</v>
      </c>
      <c r="W91" s="232">
        <v>274.82982800000002</v>
      </c>
      <c r="X91" s="232">
        <v>257.021049</v>
      </c>
      <c r="Y91" s="232">
        <v>234.20941099999999</v>
      </c>
      <c r="Z91" s="232">
        <v>97.585840000000005</v>
      </c>
    </row>
    <row r="92" spans="1:26">
      <c r="A92" s="258"/>
      <c r="B92" s="127" t="s">
        <v>24</v>
      </c>
      <c r="C92" s="232">
        <v>0</v>
      </c>
      <c r="D92" s="232">
        <v>0</v>
      </c>
      <c r="E92" s="232">
        <v>0</v>
      </c>
      <c r="F92" s="232">
        <v>0</v>
      </c>
      <c r="G92" s="232">
        <v>0</v>
      </c>
      <c r="H92" s="232">
        <v>0</v>
      </c>
      <c r="I92" s="232">
        <v>0</v>
      </c>
      <c r="J92" s="232">
        <v>0</v>
      </c>
      <c r="K92" s="232">
        <v>0</v>
      </c>
      <c r="L92" s="232">
        <v>0</v>
      </c>
      <c r="M92" s="232">
        <v>0</v>
      </c>
      <c r="N92" s="232">
        <v>0</v>
      </c>
      <c r="O92" s="232">
        <v>0</v>
      </c>
      <c r="P92" s="232">
        <v>0</v>
      </c>
      <c r="Q92" s="232">
        <v>0</v>
      </c>
      <c r="R92" s="232">
        <v>0</v>
      </c>
      <c r="S92" s="232">
        <v>0</v>
      </c>
      <c r="T92" s="232">
        <v>0</v>
      </c>
      <c r="U92" s="232">
        <v>0</v>
      </c>
      <c r="V92" s="232">
        <v>0</v>
      </c>
      <c r="W92" s="232">
        <v>0</v>
      </c>
      <c r="X92" s="232">
        <v>0</v>
      </c>
      <c r="Y92" s="232">
        <v>0</v>
      </c>
      <c r="Z92" s="232">
        <v>0</v>
      </c>
    </row>
    <row r="93" spans="1:26">
      <c r="A93" s="258"/>
      <c r="B93" s="127" t="s">
        <v>5</v>
      </c>
      <c r="C93" s="232">
        <v>0</v>
      </c>
      <c r="D93" s="232">
        <v>0</v>
      </c>
      <c r="E93" s="232">
        <v>0</v>
      </c>
      <c r="F93" s="232">
        <v>0</v>
      </c>
      <c r="G93" s="232">
        <v>0</v>
      </c>
      <c r="H93" s="232">
        <v>0</v>
      </c>
      <c r="I93" s="232">
        <v>0</v>
      </c>
      <c r="J93" s="232">
        <v>0</v>
      </c>
      <c r="K93" s="232">
        <v>0</v>
      </c>
      <c r="L93" s="232">
        <v>0</v>
      </c>
      <c r="M93" s="232">
        <v>0</v>
      </c>
      <c r="N93" s="232">
        <v>0</v>
      </c>
      <c r="O93" s="232">
        <v>0</v>
      </c>
      <c r="P93" s="232">
        <v>0</v>
      </c>
      <c r="Q93" s="232">
        <v>0</v>
      </c>
      <c r="R93" s="232">
        <v>0</v>
      </c>
      <c r="S93" s="232">
        <v>0</v>
      </c>
      <c r="T93" s="232">
        <v>0</v>
      </c>
      <c r="U93" s="232">
        <v>0</v>
      </c>
      <c r="V93" s="232">
        <v>0</v>
      </c>
      <c r="W93" s="232">
        <v>0</v>
      </c>
      <c r="X93" s="232">
        <v>0</v>
      </c>
      <c r="Y93" s="232">
        <v>0</v>
      </c>
      <c r="Z93" s="232">
        <v>0</v>
      </c>
    </row>
    <row r="94" spans="1:26">
      <c r="A94" s="258"/>
      <c r="B94" s="127" t="s">
        <v>4</v>
      </c>
      <c r="C94" s="232">
        <v>24.205653000000002</v>
      </c>
      <c r="D94" s="232">
        <v>30.786093000000001</v>
      </c>
      <c r="E94" s="232">
        <v>45.328431999999999</v>
      </c>
      <c r="F94" s="232">
        <v>44.661211000000002</v>
      </c>
      <c r="G94" s="232">
        <v>58.387267000000001</v>
      </c>
      <c r="H94" s="232">
        <v>53.303195000000002</v>
      </c>
      <c r="I94" s="232">
        <v>60.213101000000002</v>
      </c>
      <c r="J94" s="232">
        <v>55.546011</v>
      </c>
      <c r="K94" s="232">
        <v>44.045144000000001</v>
      </c>
      <c r="L94" s="232">
        <v>38.954234</v>
      </c>
      <c r="M94" s="232">
        <v>27.233916000000001</v>
      </c>
      <c r="N94" s="232">
        <v>25.260021999999999</v>
      </c>
      <c r="O94" s="232">
        <v>27.366243000000001</v>
      </c>
      <c r="P94" s="232">
        <v>29.660162</v>
      </c>
      <c r="Q94" s="232">
        <v>33.930326999999998</v>
      </c>
      <c r="R94" s="232">
        <v>48.904601999999997</v>
      </c>
      <c r="S94" s="232">
        <v>53.663460000000001</v>
      </c>
      <c r="T94" s="232">
        <v>62.733255</v>
      </c>
      <c r="U94" s="232">
        <v>56.807785000000003</v>
      </c>
      <c r="V94" s="232">
        <v>56.215967999999997</v>
      </c>
      <c r="W94" s="232">
        <v>48.014598999999997</v>
      </c>
      <c r="X94" s="232">
        <v>37.975015999999997</v>
      </c>
      <c r="Y94" s="232">
        <v>28.186232</v>
      </c>
      <c r="Z94" s="232">
        <v>11.239509</v>
      </c>
    </row>
    <row r="95" spans="1:26">
      <c r="A95" s="258"/>
      <c r="B95" s="127" t="s">
        <v>22</v>
      </c>
      <c r="C95" s="232">
        <v>0.10423</v>
      </c>
      <c r="D95" s="232">
        <v>3.9530000000000003E-2</v>
      </c>
      <c r="E95" s="232">
        <v>4.0002000000000003E-2</v>
      </c>
      <c r="F95" s="232">
        <v>1.5544000000000001E-2</v>
      </c>
      <c r="G95" s="232">
        <v>4.1384999999999998E-2</v>
      </c>
      <c r="H95" s="232">
        <v>7.8099000000000002E-2</v>
      </c>
      <c r="I95" s="232">
        <v>0.18402499999999999</v>
      </c>
      <c r="J95" s="232">
        <v>0.28992600000000002</v>
      </c>
      <c r="K95" s="232">
        <v>0.364813</v>
      </c>
      <c r="L95" s="232">
        <v>0.34994999999999998</v>
      </c>
      <c r="M95" s="232">
        <v>0.27039800000000003</v>
      </c>
      <c r="N95" s="232">
        <v>0.23000100000000001</v>
      </c>
      <c r="O95" s="232">
        <v>0.256185</v>
      </c>
      <c r="P95" s="232">
        <v>0.25728499999999999</v>
      </c>
      <c r="Q95" s="232">
        <v>0.27165699999999998</v>
      </c>
      <c r="R95" s="232">
        <v>0.216173</v>
      </c>
      <c r="S95" s="232">
        <v>0.242977</v>
      </c>
      <c r="T95" s="232">
        <v>0.25375799999999998</v>
      </c>
      <c r="U95" s="232">
        <v>0.13533500000000001</v>
      </c>
      <c r="V95" s="232">
        <v>6.2700000000000006E-2</v>
      </c>
      <c r="W95" s="232">
        <v>0.16319</v>
      </c>
      <c r="X95" s="232">
        <v>0.72397699999999998</v>
      </c>
      <c r="Y95" s="232">
        <v>1.328557</v>
      </c>
      <c r="Z95" s="232">
        <v>0.52561599999999997</v>
      </c>
    </row>
    <row r="96" spans="1:26">
      <c r="A96" s="258"/>
      <c r="B96" s="127" t="s">
        <v>23</v>
      </c>
      <c r="C96" s="232">
        <v>3.9370180000000001</v>
      </c>
      <c r="D96" s="232">
        <v>3.7397490000000002</v>
      </c>
      <c r="E96" s="232">
        <v>3.4851179999999999</v>
      </c>
      <c r="F96" s="232">
        <v>1.9095409999999999</v>
      </c>
      <c r="G96" s="232">
        <v>3.5397620000000001</v>
      </c>
      <c r="H96" s="232">
        <v>3.4609559999999999</v>
      </c>
      <c r="I96" s="232">
        <v>3.2774670000000001</v>
      </c>
      <c r="J96" s="232">
        <v>3.1243509999999999</v>
      </c>
      <c r="K96" s="232">
        <v>2.778902</v>
      </c>
      <c r="L96" s="232">
        <v>2.2852030000000001</v>
      </c>
      <c r="M96" s="232">
        <v>1.8790750000000001</v>
      </c>
      <c r="N96" s="232">
        <v>3.2668629999999999</v>
      </c>
      <c r="O96" s="232">
        <v>3.6863090000000001</v>
      </c>
      <c r="P96" s="232">
        <v>3.272465</v>
      </c>
      <c r="Q96" s="232">
        <v>2.6087359999999999</v>
      </c>
      <c r="R96" s="232">
        <v>2.4437060000000002</v>
      </c>
      <c r="S96" s="232">
        <v>3.266893</v>
      </c>
      <c r="T96" s="232">
        <v>4.1208809999999998</v>
      </c>
      <c r="U96" s="232">
        <v>3.573118</v>
      </c>
      <c r="V96" s="232">
        <v>3.1659009999999999</v>
      </c>
      <c r="W96" s="232">
        <v>2.336195</v>
      </c>
      <c r="X96" s="232">
        <v>3.0284080000000002</v>
      </c>
      <c r="Y96" s="232">
        <v>2.5220250000000002</v>
      </c>
      <c r="Z96" s="232">
        <v>1.4845999999999999</v>
      </c>
    </row>
    <row r="97" spans="1:26">
      <c r="A97" s="258"/>
      <c r="B97" s="127" t="s">
        <v>46</v>
      </c>
      <c r="C97" s="232">
        <v>10.485035</v>
      </c>
      <c r="D97" s="232">
        <v>5.6085469999999997</v>
      </c>
      <c r="E97" s="232">
        <v>12.829401000000001</v>
      </c>
      <c r="F97" s="232">
        <v>11.323399</v>
      </c>
      <c r="G97" s="232">
        <v>12.2750895</v>
      </c>
      <c r="H97" s="232">
        <v>16.584269500000001</v>
      </c>
      <c r="I97" s="232">
        <v>15.726691000000001</v>
      </c>
      <c r="J97" s="232">
        <v>15.578734000000001</v>
      </c>
      <c r="K97" s="232">
        <v>14.1961285</v>
      </c>
      <c r="L97" s="232">
        <v>9.2427220000000005</v>
      </c>
      <c r="M97" s="232">
        <v>9.5122354999999992</v>
      </c>
      <c r="N97" s="232">
        <v>12.261645</v>
      </c>
      <c r="O97" s="232">
        <v>10.134332000000001</v>
      </c>
      <c r="P97" s="232">
        <v>8.8925330000000002</v>
      </c>
      <c r="Q97" s="232">
        <v>9.8915330000000008</v>
      </c>
      <c r="R97" s="232">
        <v>12.984987</v>
      </c>
      <c r="S97" s="232">
        <v>10.486427000000001</v>
      </c>
      <c r="T97" s="232">
        <v>14.345347</v>
      </c>
      <c r="U97" s="232">
        <v>9.4785564999999998</v>
      </c>
      <c r="V97" s="232">
        <v>11.851848499999999</v>
      </c>
      <c r="W97" s="232">
        <v>13.92998</v>
      </c>
      <c r="X97" s="232">
        <v>8.0829000000000004</v>
      </c>
      <c r="Y97" s="232">
        <v>12.386824499999999</v>
      </c>
      <c r="Z97" s="232">
        <v>5.1479999999999997</v>
      </c>
    </row>
    <row r="98" spans="1:26">
      <c r="A98" s="258"/>
      <c r="B98" s="127" t="s">
        <v>47</v>
      </c>
      <c r="C98" s="232">
        <v>10.485035</v>
      </c>
      <c r="D98" s="232">
        <v>5.6085469999999997</v>
      </c>
      <c r="E98" s="232">
        <v>12.829401000000001</v>
      </c>
      <c r="F98" s="232">
        <v>11.323399</v>
      </c>
      <c r="G98" s="232">
        <v>12.2750895</v>
      </c>
      <c r="H98" s="232">
        <v>16.584269500000001</v>
      </c>
      <c r="I98" s="232">
        <v>15.726691000000001</v>
      </c>
      <c r="J98" s="232">
        <v>15.578734000000001</v>
      </c>
      <c r="K98" s="232">
        <v>14.1961285</v>
      </c>
      <c r="L98" s="232">
        <v>9.2427220000000005</v>
      </c>
      <c r="M98" s="232">
        <v>9.5122354999999992</v>
      </c>
      <c r="N98" s="232">
        <v>12.261645</v>
      </c>
      <c r="O98" s="232">
        <v>10.134332000000001</v>
      </c>
      <c r="P98" s="232">
        <v>8.8925330000000002</v>
      </c>
      <c r="Q98" s="232">
        <v>9.8915330000000008</v>
      </c>
      <c r="R98" s="232">
        <v>12.984987</v>
      </c>
      <c r="S98" s="232">
        <v>10.486427000000001</v>
      </c>
      <c r="T98" s="232">
        <v>14.345347</v>
      </c>
      <c r="U98" s="232">
        <v>9.4785564999999998</v>
      </c>
      <c r="V98" s="232">
        <v>11.851848499999999</v>
      </c>
      <c r="W98" s="232">
        <v>13.92998</v>
      </c>
      <c r="X98" s="232">
        <v>8.0829000000000004</v>
      </c>
      <c r="Y98" s="232">
        <v>12.386824499999999</v>
      </c>
      <c r="Z98" s="232">
        <v>5.1479999999999997</v>
      </c>
    </row>
    <row r="99" spans="1:26">
      <c r="A99" s="258"/>
      <c r="B99" s="131" t="s">
        <v>2</v>
      </c>
      <c r="C99" s="233">
        <v>326.57463200000001</v>
      </c>
      <c r="D99" s="233">
        <v>295.353679</v>
      </c>
      <c r="E99" s="233">
        <v>320.70925999999997</v>
      </c>
      <c r="F99" s="233">
        <v>324.60518500000001</v>
      </c>
      <c r="G99" s="233">
        <v>361.93906700000002</v>
      </c>
      <c r="H99" s="233">
        <v>395.72554000000002</v>
      </c>
      <c r="I99" s="233">
        <v>476.88342299999999</v>
      </c>
      <c r="J99" s="233">
        <v>545.582717</v>
      </c>
      <c r="K99" s="233">
        <v>395.42770200000001</v>
      </c>
      <c r="L99" s="233">
        <v>359.96163899999999</v>
      </c>
      <c r="M99" s="233">
        <v>307.02282500000001</v>
      </c>
      <c r="N99" s="233">
        <v>374.61949800000002</v>
      </c>
      <c r="O99" s="233">
        <v>373.38513599999999</v>
      </c>
      <c r="P99" s="233">
        <v>329.447273</v>
      </c>
      <c r="Q99" s="233">
        <v>341.225932</v>
      </c>
      <c r="R99" s="233">
        <v>343.00647099999998</v>
      </c>
      <c r="S99" s="233">
        <v>365.08789200000001</v>
      </c>
      <c r="T99" s="233">
        <v>452.450829</v>
      </c>
      <c r="U99" s="233">
        <v>534.32323599999995</v>
      </c>
      <c r="V99" s="233">
        <v>519.93151799999998</v>
      </c>
      <c r="W99" s="233">
        <v>438.43550099999999</v>
      </c>
      <c r="X99" s="233">
        <v>381.12279699999999</v>
      </c>
      <c r="Y99" s="233">
        <v>340.47298699999999</v>
      </c>
      <c r="Z99" s="233">
        <v>133.30970199999999</v>
      </c>
    </row>
    <row r="100" spans="1:26">
      <c r="A100" s="258"/>
      <c r="B100" s="127" t="s">
        <v>107</v>
      </c>
      <c r="C100" s="232">
        <v>2.9220000000000001E-3</v>
      </c>
      <c r="D100" s="232">
        <v>0</v>
      </c>
      <c r="E100" s="232">
        <v>2.3219999999999998E-3</v>
      </c>
      <c r="F100" s="232">
        <v>0</v>
      </c>
      <c r="G100" s="232">
        <v>8.5810000000000001E-3</v>
      </c>
      <c r="H100" s="232">
        <v>1.8225999999999999E-2</v>
      </c>
      <c r="I100" s="232">
        <v>0</v>
      </c>
      <c r="J100" s="232">
        <v>0</v>
      </c>
      <c r="K100" s="232">
        <v>4.75E-4</v>
      </c>
      <c r="L100" s="232">
        <v>5.6973000000000003E-2</v>
      </c>
      <c r="M100" s="232">
        <v>4.3603000000000003E-2</v>
      </c>
      <c r="N100" s="232">
        <v>1.0196999999999999E-2</v>
      </c>
      <c r="O100" s="232">
        <v>5.3210000000000002E-3</v>
      </c>
      <c r="P100" s="232">
        <v>9.2090000000000002E-3</v>
      </c>
      <c r="Q100" s="232">
        <v>1.562E-3</v>
      </c>
      <c r="R100" s="232">
        <v>9.810000000000001E-4</v>
      </c>
      <c r="S100" s="232">
        <v>8.0190000000000001E-3</v>
      </c>
      <c r="T100" s="232">
        <v>3.3307000000000003E-2</v>
      </c>
      <c r="U100" s="232">
        <v>2.5804000000000001E-2</v>
      </c>
      <c r="V100" s="232">
        <v>0</v>
      </c>
      <c r="W100" s="232">
        <v>2.65E-3</v>
      </c>
      <c r="X100" s="232">
        <v>1.1019999999999999E-3</v>
      </c>
      <c r="Y100" s="232">
        <v>1.536E-3</v>
      </c>
      <c r="Z100" s="232">
        <v>0</v>
      </c>
    </row>
    <row r="101" spans="1:26">
      <c r="A101" s="258"/>
      <c r="B101" s="127" t="s">
        <v>108</v>
      </c>
      <c r="C101" s="232">
        <v>-2.2768E-2</v>
      </c>
      <c r="D101" s="232">
        <v>-1.0208999999999999E-2</v>
      </c>
      <c r="E101" s="232">
        <v>-3.2804E-2</v>
      </c>
      <c r="F101" s="232">
        <v>-4.0090000000000004E-3</v>
      </c>
      <c r="G101" s="232">
        <v>-3.6989000000000001E-2</v>
      </c>
      <c r="H101" s="232">
        <v>-6.3725000000000004E-2</v>
      </c>
      <c r="I101" s="232">
        <v>-5.3999999999999998E-5</v>
      </c>
      <c r="J101" s="232">
        <v>-1.776E-3</v>
      </c>
      <c r="K101" s="232">
        <v>-9.0050000000000009E-3</v>
      </c>
      <c r="L101" s="232">
        <v>-0.12790699999999999</v>
      </c>
      <c r="M101" s="232">
        <v>-8.7809999999999999E-2</v>
      </c>
      <c r="N101" s="232">
        <v>-2.4122000000000001E-2</v>
      </c>
      <c r="O101" s="232">
        <v>-2.0024E-2</v>
      </c>
      <c r="P101" s="232">
        <v>-1.9650000000000001E-2</v>
      </c>
      <c r="Q101" s="232">
        <v>-6.5550000000000001E-3</v>
      </c>
      <c r="R101" s="232">
        <v>-6.4229999999999999E-3</v>
      </c>
      <c r="S101" s="232">
        <v>-2.7414000000000001E-2</v>
      </c>
      <c r="T101" s="232">
        <v>-6.6456000000000001E-2</v>
      </c>
      <c r="U101" s="232">
        <v>-8.4402000000000005E-2</v>
      </c>
      <c r="V101" s="232">
        <v>-3.7090000000000001E-3</v>
      </c>
      <c r="W101" s="232">
        <v>-8.4089999999999998E-3</v>
      </c>
      <c r="X101" s="232">
        <v>-6.4120000000000002E-3</v>
      </c>
      <c r="Y101" s="232">
        <v>-5.6010000000000001E-3</v>
      </c>
      <c r="Z101" s="232">
        <v>0</v>
      </c>
    </row>
    <row r="102" spans="1:26">
      <c r="A102" s="258"/>
      <c r="B102" s="127" t="s">
        <v>21</v>
      </c>
      <c r="C102" s="232">
        <v>122.760274</v>
      </c>
      <c r="D102" s="232">
        <v>114.74408200000001</v>
      </c>
      <c r="E102" s="232">
        <v>110.667727</v>
      </c>
      <c r="F102" s="232">
        <v>109.36235000000001</v>
      </c>
      <c r="G102" s="232">
        <v>117.764884</v>
      </c>
      <c r="H102" s="232">
        <v>145.36358899999999</v>
      </c>
      <c r="I102" s="232">
        <v>208.454387</v>
      </c>
      <c r="J102" s="232">
        <v>187.956546</v>
      </c>
      <c r="K102" s="232">
        <v>162.00915900000001</v>
      </c>
      <c r="L102" s="232">
        <v>144.54443599999999</v>
      </c>
      <c r="M102" s="232">
        <v>78.195680999999993</v>
      </c>
      <c r="N102" s="232">
        <v>77.984769</v>
      </c>
      <c r="O102" s="232">
        <v>85.443509000000006</v>
      </c>
      <c r="P102" s="232">
        <v>90.795297000000005</v>
      </c>
      <c r="Q102" s="232">
        <v>113.220591</v>
      </c>
      <c r="R102" s="232">
        <v>85.306769000000003</v>
      </c>
      <c r="S102" s="232">
        <v>110.447626</v>
      </c>
      <c r="T102" s="232">
        <v>171.035324</v>
      </c>
      <c r="U102" s="232">
        <v>188.42781500000001</v>
      </c>
      <c r="V102" s="232">
        <v>208.61120199999999</v>
      </c>
      <c r="W102" s="232">
        <v>166.21217300000001</v>
      </c>
      <c r="X102" s="232">
        <v>119.248762</v>
      </c>
      <c r="Y102" s="232">
        <v>76.900411000000005</v>
      </c>
      <c r="Z102" s="232">
        <v>47.280500000000004</v>
      </c>
    </row>
    <row r="103" spans="1:26">
      <c r="A103" s="259"/>
      <c r="B103" s="131" t="s">
        <v>70</v>
      </c>
      <c r="C103" s="233">
        <v>449.31506000000002</v>
      </c>
      <c r="D103" s="233">
        <v>410.08755200000002</v>
      </c>
      <c r="E103" s="233">
        <v>431.34650499999998</v>
      </c>
      <c r="F103" s="233">
        <v>433.963526</v>
      </c>
      <c r="G103" s="233">
        <v>479.675543</v>
      </c>
      <c r="H103" s="233">
        <v>541.04363000000001</v>
      </c>
      <c r="I103" s="233">
        <v>685.33775600000001</v>
      </c>
      <c r="J103" s="233">
        <v>733.53748700000006</v>
      </c>
      <c r="K103" s="233">
        <v>557.42833099999996</v>
      </c>
      <c r="L103" s="233">
        <v>504.43514099999999</v>
      </c>
      <c r="M103" s="233">
        <v>385.17429900000002</v>
      </c>
      <c r="N103" s="233">
        <v>452.59034200000002</v>
      </c>
      <c r="O103" s="233">
        <v>458.813942</v>
      </c>
      <c r="P103" s="233">
        <v>420.23212899999999</v>
      </c>
      <c r="Q103" s="233">
        <v>454.44153</v>
      </c>
      <c r="R103" s="233">
        <v>428.30779799999999</v>
      </c>
      <c r="S103" s="233">
        <v>475.51612299999999</v>
      </c>
      <c r="T103" s="233">
        <v>623.45300399999996</v>
      </c>
      <c r="U103" s="233">
        <v>722.692453</v>
      </c>
      <c r="V103" s="233">
        <v>728.53901099999996</v>
      </c>
      <c r="W103" s="233">
        <v>604.64191500000004</v>
      </c>
      <c r="X103" s="233">
        <v>500.36624899999998</v>
      </c>
      <c r="Y103" s="233">
        <v>417.36933299999998</v>
      </c>
      <c r="Z103" s="233">
        <v>180.59020200000001</v>
      </c>
    </row>
    <row r="104" spans="1:26">
      <c r="A104" s="262" t="s">
        <v>50</v>
      </c>
      <c r="B104" s="127" t="s">
        <v>12</v>
      </c>
      <c r="C104" s="232">
        <v>0.29624200000000001</v>
      </c>
      <c r="D104" s="232">
        <v>0.28508299999999998</v>
      </c>
      <c r="E104" s="232">
        <v>0.272924</v>
      </c>
      <c r="F104" s="232">
        <v>0.258407</v>
      </c>
      <c r="G104" s="232">
        <v>0.28213199999999999</v>
      </c>
      <c r="H104" s="232">
        <v>0.27541500000000002</v>
      </c>
      <c r="I104" s="232">
        <v>0.290603</v>
      </c>
      <c r="J104" s="232">
        <v>0.28181699999999998</v>
      </c>
      <c r="K104" s="232">
        <v>0.27621200000000001</v>
      </c>
      <c r="L104" s="232">
        <v>0.29845300000000002</v>
      </c>
      <c r="M104" s="232">
        <v>0.28431800000000002</v>
      </c>
      <c r="N104" s="232">
        <v>0.28783500000000001</v>
      </c>
      <c r="O104" s="232">
        <v>0.285242</v>
      </c>
      <c r="P104" s="232">
        <v>5.4619000000000001E-2</v>
      </c>
      <c r="Q104" s="232">
        <v>0</v>
      </c>
      <c r="R104" s="232">
        <v>0</v>
      </c>
      <c r="S104" s="232">
        <v>0</v>
      </c>
      <c r="T104" s="232">
        <v>0</v>
      </c>
      <c r="U104" s="232">
        <v>0</v>
      </c>
      <c r="V104" s="232">
        <v>0</v>
      </c>
      <c r="W104" s="232">
        <v>0</v>
      </c>
      <c r="X104" s="232">
        <v>0</v>
      </c>
      <c r="Y104" s="232">
        <v>0</v>
      </c>
      <c r="Z104" s="232">
        <v>0</v>
      </c>
    </row>
    <row r="105" spans="1:26">
      <c r="A105" s="258"/>
      <c r="B105" s="127" t="s">
        <v>69</v>
      </c>
      <c r="C105" s="232">
        <v>169.88187400000001</v>
      </c>
      <c r="D105" s="232">
        <v>150.50368700000001</v>
      </c>
      <c r="E105" s="232">
        <v>159.11780200000001</v>
      </c>
      <c r="F105" s="232">
        <v>147.29312100000001</v>
      </c>
      <c r="G105" s="232">
        <v>146.28192000000001</v>
      </c>
      <c r="H105" s="232">
        <v>150.704353</v>
      </c>
      <c r="I105" s="232">
        <v>160.623885</v>
      </c>
      <c r="J105" s="232">
        <v>152.78751800000001</v>
      </c>
      <c r="K105" s="232">
        <v>158.02361400000001</v>
      </c>
      <c r="L105" s="232">
        <v>161.225874</v>
      </c>
      <c r="M105" s="232">
        <v>162.623898</v>
      </c>
      <c r="N105" s="232">
        <v>158.879446</v>
      </c>
      <c r="O105" s="232">
        <v>164.446281</v>
      </c>
      <c r="P105" s="232">
        <v>147.68749600000001</v>
      </c>
      <c r="Q105" s="232">
        <v>173.83343199999999</v>
      </c>
      <c r="R105" s="232">
        <v>146.76996600000001</v>
      </c>
      <c r="S105" s="232">
        <v>139.11880199999999</v>
      </c>
      <c r="T105" s="232">
        <v>133.45317499999999</v>
      </c>
      <c r="U105" s="232">
        <v>138.95270500000001</v>
      </c>
      <c r="V105" s="232">
        <v>156.42968200000001</v>
      </c>
      <c r="W105" s="232">
        <v>146.533942</v>
      </c>
      <c r="X105" s="232">
        <v>159.05462600000001</v>
      </c>
      <c r="Y105" s="232">
        <v>144.58958999999999</v>
      </c>
      <c r="Z105" s="232">
        <v>60.055852000000002</v>
      </c>
    </row>
    <row r="106" spans="1:26">
      <c r="A106" s="258"/>
      <c r="B106" s="127" t="s">
        <v>9</v>
      </c>
      <c r="C106" s="232">
        <v>28.281392</v>
      </c>
      <c r="D106" s="232">
        <v>23.554095</v>
      </c>
      <c r="E106" s="232">
        <v>23.025227000000001</v>
      </c>
      <c r="F106" s="232">
        <v>15.266852</v>
      </c>
      <c r="G106" s="232">
        <v>13.422698</v>
      </c>
      <c r="H106" s="232">
        <v>26.814177000000001</v>
      </c>
      <c r="I106" s="232">
        <v>16.554684000000002</v>
      </c>
      <c r="J106" s="232">
        <v>15.849519000000001</v>
      </c>
      <c r="K106" s="232">
        <v>24.502908999999999</v>
      </c>
      <c r="L106" s="232">
        <v>16.364426999999999</v>
      </c>
      <c r="M106" s="232">
        <v>29.713279</v>
      </c>
      <c r="N106" s="232">
        <v>20.429556000000002</v>
      </c>
      <c r="O106" s="232">
        <v>37.045735999999998</v>
      </c>
      <c r="P106" s="232">
        <v>22.268398999999999</v>
      </c>
      <c r="Q106" s="232">
        <v>28.510366000000001</v>
      </c>
      <c r="R106" s="232">
        <v>15.002691</v>
      </c>
      <c r="S106" s="232">
        <v>15.518791</v>
      </c>
      <c r="T106" s="232">
        <v>14.439681999999999</v>
      </c>
      <c r="U106" s="232">
        <v>17.277450000000002</v>
      </c>
      <c r="V106" s="232">
        <v>21.905667999999999</v>
      </c>
      <c r="W106" s="232">
        <v>21.204673</v>
      </c>
      <c r="X106" s="232">
        <v>28.960232999999999</v>
      </c>
      <c r="Y106" s="232">
        <v>21.440702000000002</v>
      </c>
      <c r="Z106" s="232">
        <v>6.1937680000000004</v>
      </c>
    </row>
    <row r="107" spans="1:26">
      <c r="A107" s="258"/>
      <c r="B107" s="127" t="s">
        <v>8</v>
      </c>
      <c r="C107" s="232">
        <v>121.758736</v>
      </c>
      <c r="D107" s="232">
        <v>103.04591600000001</v>
      </c>
      <c r="E107" s="232">
        <v>118.98512599999999</v>
      </c>
      <c r="F107" s="232">
        <v>101.478588</v>
      </c>
      <c r="G107" s="232">
        <v>109.30998200000001</v>
      </c>
      <c r="H107" s="232">
        <v>82.237212</v>
      </c>
      <c r="I107" s="232">
        <v>108.818316</v>
      </c>
      <c r="J107" s="232">
        <v>104.478976</v>
      </c>
      <c r="K107" s="232">
        <v>76.899137999999994</v>
      </c>
      <c r="L107" s="232">
        <v>89.300011999999995</v>
      </c>
      <c r="M107" s="232">
        <v>91.813715999999999</v>
      </c>
      <c r="N107" s="232">
        <v>71.233320000000006</v>
      </c>
      <c r="O107" s="232">
        <v>82.867552000000003</v>
      </c>
      <c r="P107" s="232">
        <v>111.33349800000001</v>
      </c>
      <c r="Q107" s="232">
        <v>126.580506</v>
      </c>
      <c r="R107" s="232">
        <v>98.063034000000002</v>
      </c>
      <c r="S107" s="232">
        <v>81.823025999999999</v>
      </c>
      <c r="T107" s="232">
        <v>84.304407999999995</v>
      </c>
      <c r="U107" s="232">
        <v>97.386711000000005</v>
      </c>
      <c r="V107" s="232">
        <v>100.206506</v>
      </c>
      <c r="W107" s="232">
        <v>99.346721000000002</v>
      </c>
      <c r="X107" s="232">
        <v>125.044641</v>
      </c>
      <c r="Y107" s="232">
        <v>112.281066</v>
      </c>
      <c r="Z107" s="232">
        <v>39.940587999999998</v>
      </c>
    </row>
    <row r="108" spans="1:26">
      <c r="A108" s="258"/>
      <c r="B108" s="127" t="s">
        <v>25</v>
      </c>
      <c r="C108" s="232">
        <v>349.62675200000001</v>
      </c>
      <c r="D108" s="232">
        <v>283.485344</v>
      </c>
      <c r="E108" s="232">
        <v>307.37834299999997</v>
      </c>
      <c r="F108" s="232">
        <v>316.11086599999999</v>
      </c>
      <c r="G108" s="232">
        <v>261.3288</v>
      </c>
      <c r="H108" s="232">
        <v>271.16905600000001</v>
      </c>
      <c r="I108" s="232">
        <v>265.51519999999999</v>
      </c>
      <c r="J108" s="232">
        <v>260.370474</v>
      </c>
      <c r="K108" s="232">
        <v>296.23593199999999</v>
      </c>
      <c r="L108" s="232">
        <v>354.842107</v>
      </c>
      <c r="M108" s="232">
        <v>391.60655400000002</v>
      </c>
      <c r="N108" s="232">
        <v>377.87321400000002</v>
      </c>
      <c r="O108" s="232">
        <v>342.56568199999998</v>
      </c>
      <c r="P108" s="232">
        <v>249.83534599999999</v>
      </c>
      <c r="Q108" s="232">
        <v>290.37200899999999</v>
      </c>
      <c r="R108" s="232">
        <v>290.70250900000002</v>
      </c>
      <c r="S108" s="232">
        <v>328.785506</v>
      </c>
      <c r="T108" s="232">
        <v>284.15903500000002</v>
      </c>
      <c r="U108" s="232">
        <v>316.61882300000002</v>
      </c>
      <c r="V108" s="232">
        <v>340.02993600000002</v>
      </c>
      <c r="W108" s="232">
        <v>307.60187999999999</v>
      </c>
      <c r="X108" s="232">
        <v>357.47449</v>
      </c>
      <c r="Y108" s="232">
        <v>343.63677799999999</v>
      </c>
      <c r="Z108" s="232">
        <v>137.02084199999999</v>
      </c>
    </row>
    <row r="109" spans="1:26">
      <c r="A109" s="258"/>
      <c r="B109" s="127" t="s">
        <v>6</v>
      </c>
      <c r="C109" s="232">
        <v>0.73928799999999995</v>
      </c>
      <c r="D109" s="232">
        <v>1.4498660000000001</v>
      </c>
      <c r="E109" s="232">
        <v>1.626099</v>
      </c>
      <c r="F109" s="232">
        <v>1.3224050000000001</v>
      </c>
      <c r="G109" s="232">
        <v>2.25665</v>
      </c>
      <c r="H109" s="232">
        <v>2.6416550000000001</v>
      </c>
      <c r="I109" s="232">
        <v>3.5113099999999999</v>
      </c>
      <c r="J109" s="232">
        <v>3.975784</v>
      </c>
      <c r="K109" s="232">
        <v>2.271474</v>
      </c>
      <c r="L109" s="232">
        <v>1.869634</v>
      </c>
      <c r="M109" s="232">
        <v>0.32408100000000001</v>
      </c>
      <c r="N109" s="232">
        <v>1.363745</v>
      </c>
      <c r="O109" s="232">
        <v>1.249555</v>
      </c>
      <c r="P109" s="232">
        <v>1.142978</v>
      </c>
      <c r="Q109" s="232">
        <v>1.2419039999999999</v>
      </c>
      <c r="R109" s="232">
        <v>1.7632380000000001</v>
      </c>
      <c r="S109" s="232">
        <v>1.701465</v>
      </c>
      <c r="T109" s="232">
        <v>2.9528669999999999</v>
      </c>
      <c r="U109" s="232">
        <v>3.1269979999999999</v>
      </c>
      <c r="V109" s="232">
        <v>2.6583589999999999</v>
      </c>
      <c r="W109" s="232">
        <v>2.5908169999999999</v>
      </c>
      <c r="X109" s="232">
        <v>1.167157</v>
      </c>
      <c r="Y109" s="232">
        <v>0.94978899999999999</v>
      </c>
      <c r="Z109" s="232">
        <v>0</v>
      </c>
    </row>
    <row r="110" spans="1:26">
      <c r="A110" s="258"/>
      <c r="B110" s="127" t="s">
        <v>5</v>
      </c>
      <c r="C110" s="232">
        <v>53.153264999999998</v>
      </c>
      <c r="D110" s="232">
        <v>108.660585</v>
      </c>
      <c r="E110" s="232">
        <v>89.216486000000003</v>
      </c>
      <c r="F110" s="232">
        <v>94.616236999999998</v>
      </c>
      <c r="G110" s="232">
        <v>146.946403</v>
      </c>
      <c r="H110" s="232">
        <v>129.811801</v>
      </c>
      <c r="I110" s="232">
        <v>169.34169700000001</v>
      </c>
      <c r="J110" s="232">
        <v>210.63462999999999</v>
      </c>
      <c r="K110" s="232">
        <v>148.53897900000001</v>
      </c>
      <c r="L110" s="232">
        <v>116.72577099999999</v>
      </c>
      <c r="M110" s="232">
        <v>42.203436000000004</v>
      </c>
      <c r="N110" s="232">
        <v>98.604742999999999</v>
      </c>
      <c r="O110" s="232">
        <v>94.891767999999999</v>
      </c>
      <c r="P110" s="232">
        <v>107.781023</v>
      </c>
      <c r="Q110" s="232">
        <v>77.912910999999994</v>
      </c>
      <c r="R110" s="232">
        <v>105.255258</v>
      </c>
      <c r="S110" s="232">
        <v>99.380206999999999</v>
      </c>
      <c r="T110" s="232">
        <v>143.378455</v>
      </c>
      <c r="U110" s="232">
        <v>163.042329</v>
      </c>
      <c r="V110" s="232">
        <v>149.38965200000001</v>
      </c>
      <c r="W110" s="232">
        <v>165.43566200000001</v>
      </c>
      <c r="X110" s="232">
        <v>84.269589999999994</v>
      </c>
      <c r="Y110" s="232">
        <v>110.859167</v>
      </c>
      <c r="Z110" s="232">
        <v>42.598320000000001</v>
      </c>
    </row>
    <row r="111" spans="1:26">
      <c r="A111" s="258"/>
      <c r="B111" s="127" t="s">
        <v>4</v>
      </c>
      <c r="C111" s="232">
        <v>24.766017999999999</v>
      </c>
      <c r="D111" s="232">
        <v>26.429468</v>
      </c>
      <c r="E111" s="232">
        <v>32.017468999999998</v>
      </c>
      <c r="F111" s="232">
        <v>36.139912000000002</v>
      </c>
      <c r="G111" s="232">
        <v>35.883150999999998</v>
      </c>
      <c r="H111" s="232">
        <v>36.359181999999997</v>
      </c>
      <c r="I111" s="232">
        <v>42.950865999999998</v>
      </c>
      <c r="J111" s="232">
        <v>40.957819000000001</v>
      </c>
      <c r="K111" s="232">
        <v>37.569015999999998</v>
      </c>
      <c r="L111" s="232">
        <v>36.358265000000003</v>
      </c>
      <c r="M111" s="232">
        <v>28.568382</v>
      </c>
      <c r="N111" s="232">
        <v>27.419523999999999</v>
      </c>
      <c r="O111" s="232">
        <v>32.201141</v>
      </c>
      <c r="P111" s="232">
        <v>36.099778000000001</v>
      </c>
      <c r="Q111" s="232">
        <v>37.572127000000002</v>
      </c>
      <c r="R111" s="232">
        <v>38.334235999999997</v>
      </c>
      <c r="S111" s="232">
        <v>44.380906000000003</v>
      </c>
      <c r="T111" s="232">
        <v>42.392861000000003</v>
      </c>
      <c r="U111" s="232">
        <v>44.388679000000003</v>
      </c>
      <c r="V111" s="232">
        <v>45.802045</v>
      </c>
      <c r="W111" s="232">
        <v>39.475147</v>
      </c>
      <c r="X111" s="232">
        <v>35.817155999999997</v>
      </c>
      <c r="Y111" s="232">
        <v>32.339796999999997</v>
      </c>
      <c r="Z111" s="232">
        <v>11.179741999999999</v>
      </c>
    </row>
    <row r="112" spans="1:26">
      <c r="A112" s="258"/>
      <c r="B112" s="127" t="s">
        <v>22</v>
      </c>
      <c r="C112" s="232">
        <v>0.50013399999999997</v>
      </c>
      <c r="D112" s="232">
        <v>0.49944300000000003</v>
      </c>
      <c r="E112" s="232">
        <v>0.57839200000000002</v>
      </c>
      <c r="F112" s="232">
        <v>0.26424700000000001</v>
      </c>
      <c r="G112" s="232">
        <v>0.430983</v>
      </c>
      <c r="H112" s="232">
        <v>0.49796200000000002</v>
      </c>
      <c r="I112" s="232">
        <v>0.62341999999999997</v>
      </c>
      <c r="J112" s="232">
        <v>1.3289139999999999</v>
      </c>
      <c r="K112" s="232">
        <v>1.1101749999999999</v>
      </c>
      <c r="L112" s="232">
        <v>1.1028469999999999</v>
      </c>
      <c r="M112" s="232">
        <v>1.1775519999999999</v>
      </c>
      <c r="N112" s="232">
        <v>1.130485</v>
      </c>
      <c r="O112" s="232">
        <v>1.1695549999999999</v>
      </c>
      <c r="P112" s="232">
        <v>1.2032910000000001</v>
      </c>
      <c r="Q112" s="232">
        <v>1.447702</v>
      </c>
      <c r="R112" s="232">
        <v>1.4667380000000001</v>
      </c>
      <c r="S112" s="232">
        <v>1.444064</v>
      </c>
      <c r="T112" s="232">
        <v>1.2805299999999999</v>
      </c>
      <c r="U112" s="232">
        <v>1.163958</v>
      </c>
      <c r="V112" s="232">
        <v>0.98014500000000004</v>
      </c>
      <c r="W112" s="232">
        <v>0.36074600000000001</v>
      </c>
      <c r="X112" s="232">
        <v>0.77339199999999997</v>
      </c>
      <c r="Y112" s="232">
        <v>0.74605500000000002</v>
      </c>
      <c r="Z112" s="232">
        <v>0</v>
      </c>
    </row>
    <row r="113" spans="1:26">
      <c r="A113" s="258"/>
      <c r="B113" s="131" t="s">
        <v>2</v>
      </c>
      <c r="C113" s="233">
        <v>749.00370099999998</v>
      </c>
      <c r="D113" s="233">
        <v>697.91348700000003</v>
      </c>
      <c r="E113" s="233">
        <v>732.21786799999995</v>
      </c>
      <c r="F113" s="233">
        <v>712.75063499999999</v>
      </c>
      <c r="G113" s="233">
        <v>716.14271900000006</v>
      </c>
      <c r="H113" s="233">
        <v>700.51081299999998</v>
      </c>
      <c r="I113" s="233">
        <v>768.22998099999995</v>
      </c>
      <c r="J113" s="233">
        <v>790.66545099999996</v>
      </c>
      <c r="K113" s="233">
        <v>745.42744900000002</v>
      </c>
      <c r="L113" s="233">
        <v>778.08739000000003</v>
      </c>
      <c r="M113" s="233">
        <v>748.31521599999996</v>
      </c>
      <c r="N113" s="233">
        <v>757.22186799999997</v>
      </c>
      <c r="O113" s="233">
        <v>756.72251200000005</v>
      </c>
      <c r="P113" s="233">
        <v>677.40642800000001</v>
      </c>
      <c r="Q113" s="233">
        <v>737.470957</v>
      </c>
      <c r="R113" s="233">
        <v>697.35766999999998</v>
      </c>
      <c r="S113" s="233">
        <v>712.15276700000004</v>
      </c>
      <c r="T113" s="233">
        <v>706.36101299999996</v>
      </c>
      <c r="U113" s="233">
        <v>781.95765300000005</v>
      </c>
      <c r="V113" s="233">
        <v>817.40199299999995</v>
      </c>
      <c r="W113" s="233">
        <v>782.54958799999997</v>
      </c>
      <c r="X113" s="233">
        <v>792.561285</v>
      </c>
      <c r="Y113" s="233">
        <v>766.84294399999999</v>
      </c>
      <c r="Z113" s="233">
        <v>296.98911199999998</v>
      </c>
    </row>
    <row r="114" spans="1:26">
      <c r="A114" s="259"/>
      <c r="B114" s="131" t="s">
        <v>70</v>
      </c>
      <c r="C114" s="233">
        <v>749.00370099999998</v>
      </c>
      <c r="D114" s="233">
        <v>697.91348700000003</v>
      </c>
      <c r="E114" s="233">
        <v>732.21786799999995</v>
      </c>
      <c r="F114" s="233">
        <v>712.75063499999999</v>
      </c>
      <c r="G114" s="233">
        <v>716.14271900000006</v>
      </c>
      <c r="H114" s="233">
        <v>700.51081299999998</v>
      </c>
      <c r="I114" s="233">
        <v>768.22998099999995</v>
      </c>
      <c r="J114" s="233">
        <v>790.66545099999996</v>
      </c>
      <c r="K114" s="233">
        <v>745.42744900000002</v>
      </c>
      <c r="L114" s="233">
        <v>778.08739000000003</v>
      </c>
      <c r="M114" s="233">
        <v>748.31521599999996</v>
      </c>
      <c r="N114" s="233">
        <v>757.22186799999997</v>
      </c>
      <c r="O114" s="233">
        <v>756.72251200000005</v>
      </c>
      <c r="P114" s="233">
        <v>677.40642800000001</v>
      </c>
      <c r="Q114" s="233">
        <v>737.470957</v>
      </c>
      <c r="R114" s="233">
        <v>697.35766999999998</v>
      </c>
      <c r="S114" s="233">
        <v>712.15276700000004</v>
      </c>
      <c r="T114" s="233">
        <v>706.36101299999996</v>
      </c>
      <c r="U114" s="233">
        <v>781.95765300000005</v>
      </c>
      <c r="V114" s="233">
        <v>817.40199299999995</v>
      </c>
      <c r="W114" s="233">
        <v>782.54958799999997</v>
      </c>
      <c r="X114" s="233">
        <v>792.561285</v>
      </c>
      <c r="Y114" s="233">
        <v>766.84294399999999</v>
      </c>
      <c r="Z114" s="233">
        <v>296.98911199999998</v>
      </c>
    </row>
    <row r="115" spans="1:26" ht="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ht="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ht="12" customHeight="1">
      <c r="A117"/>
      <c r="B117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/>
      <c r="Q117"/>
      <c r="R117"/>
      <c r="S117"/>
    </row>
    <row r="118" spans="1:26">
      <c r="B118" s="99" t="s">
        <v>134</v>
      </c>
      <c r="C118" s="201">
        <f>+C133+C134</f>
        <v>-4.4206999999999996E-2</v>
      </c>
      <c r="D118" s="201">
        <f t="shared" ref="D118:N118" si="6">+D133+D134</f>
        <v>-1.3925000000000002E-2</v>
      </c>
      <c r="E118" s="201">
        <f t="shared" si="6"/>
        <v>-1.4703000000000001E-2</v>
      </c>
      <c r="F118" s="201">
        <f t="shared" si="6"/>
        <v>-1.0441000000000001E-2</v>
      </c>
      <c r="G118" s="201">
        <f t="shared" si="6"/>
        <v>-4.993E-3</v>
      </c>
      <c r="H118" s="201">
        <f t="shared" si="6"/>
        <v>-5.4419999999999998E-3</v>
      </c>
      <c r="I118" s="201">
        <f t="shared" si="6"/>
        <v>-1.9395000000000003E-2</v>
      </c>
      <c r="J118" s="201">
        <f t="shared" si="6"/>
        <v>-3.3148999999999998E-2</v>
      </c>
      <c r="K118" s="201">
        <f t="shared" si="6"/>
        <v>-5.8598000000000004E-2</v>
      </c>
      <c r="L118" s="201">
        <f t="shared" si="6"/>
        <v>-3.7090000000000001E-3</v>
      </c>
      <c r="M118" s="201">
        <f t="shared" si="6"/>
        <v>-5.7590000000000002E-3</v>
      </c>
      <c r="N118" s="201">
        <f t="shared" si="6"/>
        <v>-5.3100000000000005E-3</v>
      </c>
      <c r="O118" s="201">
        <f>+O133+O134</f>
        <v>-4.065E-3</v>
      </c>
    </row>
    <row r="119" spans="1:26">
      <c r="B119" s="255" t="s">
        <v>65</v>
      </c>
      <c r="C119" s="108" t="str">
        <f>TEXT(EDATE(D119,-1),"mmmm aaaa")</f>
        <v>noviembre 2024</v>
      </c>
      <c r="D119" s="108" t="str">
        <f t="shared" ref="D119:M119" si="7">TEXT(EDATE(E119,-1),"mmmm aaaa")</f>
        <v>diciembre 2024</v>
      </c>
      <c r="E119" s="108" t="str">
        <f t="shared" si="7"/>
        <v>enero 2025</v>
      </c>
      <c r="F119" s="108" t="str">
        <f t="shared" si="7"/>
        <v>febrero 2025</v>
      </c>
      <c r="G119" s="108" t="str">
        <f t="shared" si="7"/>
        <v>marzo 2025</v>
      </c>
      <c r="H119" s="108" t="str">
        <f t="shared" si="7"/>
        <v>abril 2025</v>
      </c>
      <c r="I119" s="108" t="str">
        <f t="shared" si="7"/>
        <v>mayo 2025</v>
      </c>
      <c r="J119" s="108" t="str">
        <f t="shared" si="7"/>
        <v>junio 2025</v>
      </c>
      <c r="K119" s="108" t="str">
        <f t="shared" si="7"/>
        <v>julio 2025</v>
      </c>
      <c r="L119" s="108" t="str">
        <f t="shared" si="7"/>
        <v>agosto 2025</v>
      </c>
      <c r="M119" s="108" t="str">
        <f t="shared" si="7"/>
        <v>septiembre 2025</v>
      </c>
      <c r="N119" s="108" t="str">
        <f>TEXT(EDATE(O119,-1),"mmmm aaaa")</f>
        <v>octubre 2025</v>
      </c>
      <c r="O119" s="109" t="str">
        <f>A2</f>
        <v>Noviembre 2025</v>
      </c>
    </row>
    <row r="120" spans="1:26">
      <c r="B120" s="256"/>
      <c r="C120" s="116" t="str">
        <f>TEXT(EDATE($A$2,-12),"mmm")&amp;".-"&amp;TEXT(EDATE($A$2,-12),"aa")</f>
        <v>nov.-24</v>
      </c>
      <c r="D120" s="116" t="str">
        <f>TEXT(EDATE($A$2,-11),"mmm")&amp;".-"&amp;TEXT(EDATE($A$2,-11),"aa")</f>
        <v>dic.-24</v>
      </c>
      <c r="E120" s="116" t="str">
        <f>TEXT(EDATE($A$2,-10),"mmm")&amp;".-"&amp;TEXT(EDATE($A$2,-10),"aa")</f>
        <v>ene.-25</v>
      </c>
      <c r="F120" s="116" t="str">
        <f>TEXT(EDATE($A$2,-9),"mmm")&amp;".-"&amp;TEXT(EDATE($A$2,-9),"aa")</f>
        <v>feb.-25</v>
      </c>
      <c r="G120" s="116" t="str">
        <f>TEXT(EDATE($A$2,-8),"mmm")&amp;".-"&amp;TEXT(EDATE($A$2,-8),"aa")</f>
        <v>mar.-25</v>
      </c>
      <c r="H120" s="116" t="str">
        <f>TEXT(EDATE($A$2,-7),"mmm")&amp;".-"&amp;TEXT(EDATE($A$2,-7),"aa")</f>
        <v>abr.-25</v>
      </c>
      <c r="I120" s="116" t="str">
        <f>TEXT(EDATE($A$2,-6),"mmm")&amp;".-"&amp;TEXT(EDATE($A$2,-6),"aa")</f>
        <v>may.-25</v>
      </c>
      <c r="J120" s="116" t="str">
        <f>TEXT(EDATE($A$2,-5),"mmm")&amp;".-"&amp;TEXT(EDATE($A$2,-5),"aa")</f>
        <v>jun.-25</v>
      </c>
      <c r="K120" s="116" t="str">
        <f>TEXT(EDATE($A$2,-4),"mmm")&amp;".-"&amp;TEXT(EDATE($A$2,-4),"aa")</f>
        <v>jul.-25</v>
      </c>
      <c r="L120" s="116" t="str">
        <f>TEXT(EDATE($A$2,-3),"mmm")&amp;".-"&amp;TEXT(EDATE($A$2,-3),"aa")</f>
        <v>ago.-25</v>
      </c>
      <c r="M120" s="116" t="str">
        <f>TEXT(EDATE($A$2,-2),"mmm")&amp;".-"&amp;TEXT(EDATE($A$2,-2),"aa")</f>
        <v>sep.-25</v>
      </c>
      <c r="N120" s="116" t="str">
        <f>TEXT(EDATE($A$2,-1),"mmm")&amp;".-"&amp;TEXT(EDATE($A$2,-1),"aa")</f>
        <v>oct.-25</v>
      </c>
      <c r="O120" s="136" t="str">
        <f>TEXT($A$2,"mmm")&amp;".-"&amp;TEXT($A$2,"aa")</f>
        <v>nov.-25</v>
      </c>
    </row>
    <row r="121" spans="1:26">
      <c r="A121" s="252" t="s">
        <v>67</v>
      </c>
      <c r="B121" s="117" t="s">
        <v>11</v>
      </c>
      <c r="C121" s="118">
        <f t="shared" ref="C121:O121" si="8">HLOOKUP(C$119,$86:$103,3,FALSE)</f>
        <v>0</v>
      </c>
      <c r="D121" s="118">
        <f t="shared" si="8"/>
        <v>0</v>
      </c>
      <c r="E121" s="118">
        <f t="shared" si="8"/>
        <v>4.6319679999999996</v>
      </c>
      <c r="F121" s="118">
        <f t="shared" si="8"/>
        <v>61.004249999999999</v>
      </c>
      <c r="G121" s="118">
        <f t="shared" si="8"/>
        <v>29.608969999999999</v>
      </c>
      <c r="H121" s="118">
        <f t="shared" si="8"/>
        <v>0</v>
      </c>
      <c r="I121" s="118">
        <f t="shared" si="8"/>
        <v>0</v>
      </c>
      <c r="J121" s="118">
        <f t="shared" si="8"/>
        <v>0</v>
      </c>
      <c r="K121" s="118">
        <f t="shared" si="8"/>
        <v>0</v>
      </c>
      <c r="L121" s="118">
        <f t="shared" si="8"/>
        <v>0</v>
      </c>
      <c r="M121" s="118">
        <f t="shared" si="8"/>
        <v>0</v>
      </c>
      <c r="N121" s="118">
        <f t="shared" si="8"/>
        <v>0</v>
      </c>
      <c r="O121" s="119">
        <f t="shared" si="8"/>
        <v>0</v>
      </c>
    </row>
    <row r="122" spans="1:26">
      <c r="A122" s="253"/>
      <c r="B122" s="102" t="s">
        <v>10</v>
      </c>
      <c r="C122" s="104">
        <f t="shared" ref="C122:O122" si="9">HLOOKUP(C$119,$86:$103,4,FALSE)</f>
        <v>8.0420429999999996</v>
      </c>
      <c r="D122" s="104">
        <f t="shared" si="9"/>
        <v>8.2701910000000005</v>
      </c>
      <c r="E122" s="104">
        <f t="shared" si="9"/>
        <v>8.5854890000000008</v>
      </c>
      <c r="F122" s="104">
        <f t="shared" si="9"/>
        <v>6.4758909999999998</v>
      </c>
      <c r="G122" s="104">
        <f t="shared" si="9"/>
        <v>7.3957850000000001</v>
      </c>
      <c r="H122" s="104">
        <f t="shared" si="9"/>
        <v>13.863616</v>
      </c>
      <c r="I122" s="104">
        <f t="shared" si="9"/>
        <v>17.616911000000002</v>
      </c>
      <c r="J122" s="104">
        <f t="shared" si="9"/>
        <v>36.758597999999999</v>
      </c>
      <c r="K122" s="104">
        <f t="shared" si="9"/>
        <v>62.363782</v>
      </c>
      <c r="L122" s="104">
        <f t="shared" si="9"/>
        <v>66.467855</v>
      </c>
      <c r="M122" s="104">
        <f t="shared" si="9"/>
        <v>45.454340000000002</v>
      </c>
      <c r="N122" s="104">
        <f t="shared" si="9"/>
        <v>22.456917000000001</v>
      </c>
      <c r="O122" s="119">
        <f t="shared" si="9"/>
        <v>17.069234000000002</v>
      </c>
    </row>
    <row r="123" spans="1:26">
      <c r="A123" s="253"/>
      <c r="B123" s="102" t="s">
        <v>9</v>
      </c>
      <c r="C123" s="104">
        <f t="shared" ref="C123:O123" si="10">HLOOKUP(C$119,$86:$103,5,FALSE)</f>
        <v>22.217787999999999</v>
      </c>
      <c r="D123" s="104">
        <f t="shared" si="10"/>
        <v>25.456890999999999</v>
      </c>
      <c r="E123" s="104">
        <f t="shared" si="10"/>
        <v>23.827804</v>
      </c>
      <c r="F123" s="104">
        <f t="shared" si="10"/>
        <v>22.326347999999999</v>
      </c>
      <c r="G123" s="104">
        <f t="shared" si="10"/>
        <v>24.290578</v>
      </c>
      <c r="H123" s="104">
        <f t="shared" si="10"/>
        <v>25.040586000000001</v>
      </c>
      <c r="I123" s="104">
        <f t="shared" si="10"/>
        <v>25.468105999999999</v>
      </c>
      <c r="J123" s="104">
        <f t="shared" si="10"/>
        <v>46.078491</v>
      </c>
      <c r="K123" s="104">
        <f t="shared" si="10"/>
        <v>58.218541000000002</v>
      </c>
      <c r="L123" s="104">
        <f t="shared" si="10"/>
        <v>51.241262999999996</v>
      </c>
      <c r="M123" s="104">
        <f t="shared" si="10"/>
        <v>39.777388999999999</v>
      </c>
      <c r="N123" s="104">
        <f t="shared" si="10"/>
        <v>43.751629999999999</v>
      </c>
      <c r="O123" s="119">
        <f t="shared" si="10"/>
        <v>32.383879</v>
      </c>
    </row>
    <row r="124" spans="1:26" ht="14.25">
      <c r="A124" s="253"/>
      <c r="B124" s="102" t="s">
        <v>128</v>
      </c>
      <c r="C124" s="104">
        <f t="shared" ref="C124:O124" si="11">HLOOKUP(C$119,$86:$103,6,FALSE)</f>
        <v>228.35513399999999</v>
      </c>
      <c r="D124" s="104">
        <f t="shared" si="11"/>
        <v>287.61223999999999</v>
      </c>
      <c r="E124" s="104">
        <f t="shared" si="11"/>
        <v>284.762474</v>
      </c>
      <c r="F124" s="104">
        <f t="shared" si="11"/>
        <v>188.665806</v>
      </c>
      <c r="G124" s="104">
        <f t="shared" si="11"/>
        <v>223.33681300000001</v>
      </c>
      <c r="H124" s="104">
        <f t="shared" si="11"/>
        <v>226.567814</v>
      </c>
      <c r="I124" s="104">
        <f t="shared" si="11"/>
        <v>243.85669100000001</v>
      </c>
      <c r="J124" s="104">
        <f t="shared" si="11"/>
        <v>273.81515200000001</v>
      </c>
      <c r="K124" s="104">
        <f t="shared" si="11"/>
        <v>334.267562</v>
      </c>
      <c r="L124" s="104">
        <f t="shared" si="11"/>
        <v>319.07413400000002</v>
      </c>
      <c r="M124" s="104">
        <f t="shared" si="11"/>
        <v>274.82982800000002</v>
      </c>
      <c r="N124" s="104">
        <f t="shared" si="11"/>
        <v>257.021049</v>
      </c>
      <c r="O124" s="119">
        <f t="shared" si="11"/>
        <v>234.20941099999999</v>
      </c>
    </row>
    <row r="125" spans="1:26">
      <c r="A125" s="253"/>
      <c r="B125" s="102" t="s">
        <v>24</v>
      </c>
      <c r="C125" s="104">
        <f t="shared" ref="C125:O125" si="12">HLOOKUP(C$119,$86:$103,7,FALSE)</f>
        <v>0</v>
      </c>
      <c r="D125" s="104">
        <f t="shared" si="12"/>
        <v>0</v>
      </c>
      <c r="E125" s="104">
        <f t="shared" si="12"/>
        <v>0</v>
      </c>
      <c r="F125" s="104">
        <f t="shared" si="12"/>
        <v>0</v>
      </c>
      <c r="G125" s="104">
        <f t="shared" si="12"/>
        <v>0</v>
      </c>
      <c r="H125" s="104">
        <f t="shared" si="12"/>
        <v>0</v>
      </c>
      <c r="I125" s="104">
        <f t="shared" si="12"/>
        <v>0</v>
      </c>
      <c r="J125" s="104">
        <f t="shared" si="12"/>
        <v>0</v>
      </c>
      <c r="K125" s="104">
        <f t="shared" si="12"/>
        <v>0</v>
      </c>
      <c r="L125" s="104">
        <f t="shared" si="12"/>
        <v>0</v>
      </c>
      <c r="M125" s="104">
        <f t="shared" si="12"/>
        <v>0</v>
      </c>
      <c r="N125" s="104">
        <f t="shared" si="12"/>
        <v>0</v>
      </c>
      <c r="O125" s="119">
        <f t="shared" si="12"/>
        <v>0</v>
      </c>
    </row>
    <row r="126" spans="1:26">
      <c r="A126" s="253"/>
      <c r="B126" s="102" t="s">
        <v>5</v>
      </c>
      <c r="C126" s="104">
        <f t="shared" ref="C126:O126" si="13">HLOOKUP(C$119,$86:$104,8,FALSE)</f>
        <v>0</v>
      </c>
      <c r="D126" s="104">
        <f t="shared" si="13"/>
        <v>0</v>
      </c>
      <c r="E126" s="104">
        <f t="shared" si="13"/>
        <v>0</v>
      </c>
      <c r="F126" s="104">
        <f t="shared" si="13"/>
        <v>0</v>
      </c>
      <c r="G126" s="104">
        <f t="shared" si="13"/>
        <v>0</v>
      </c>
      <c r="H126" s="104">
        <f t="shared" si="13"/>
        <v>0</v>
      </c>
      <c r="I126" s="104">
        <f t="shared" si="13"/>
        <v>0</v>
      </c>
      <c r="J126" s="104">
        <f t="shared" si="13"/>
        <v>0</v>
      </c>
      <c r="K126" s="104">
        <f t="shared" si="13"/>
        <v>0</v>
      </c>
      <c r="L126" s="104">
        <f t="shared" si="13"/>
        <v>0</v>
      </c>
      <c r="M126" s="104">
        <f t="shared" si="13"/>
        <v>0</v>
      </c>
      <c r="N126" s="104">
        <f t="shared" si="13"/>
        <v>0</v>
      </c>
      <c r="O126" s="119">
        <f t="shared" si="13"/>
        <v>0</v>
      </c>
    </row>
    <row r="127" spans="1:26">
      <c r="A127" s="253"/>
      <c r="B127" s="102" t="s">
        <v>4</v>
      </c>
      <c r="C127" s="104">
        <f t="shared" ref="C127:O127" si="14">HLOOKUP(C$119,$86:$104,9,FALSE)</f>
        <v>27.233916000000001</v>
      </c>
      <c r="D127" s="104">
        <f t="shared" si="14"/>
        <v>25.260021999999999</v>
      </c>
      <c r="E127" s="104">
        <f t="shared" si="14"/>
        <v>27.366243000000001</v>
      </c>
      <c r="F127" s="104">
        <f t="shared" si="14"/>
        <v>29.660162</v>
      </c>
      <c r="G127" s="104">
        <f t="shared" si="14"/>
        <v>33.930326999999998</v>
      </c>
      <c r="H127" s="104">
        <f t="shared" si="14"/>
        <v>48.904601999999997</v>
      </c>
      <c r="I127" s="104">
        <f t="shared" si="14"/>
        <v>53.663460000000001</v>
      </c>
      <c r="J127" s="104">
        <f t="shared" si="14"/>
        <v>62.733255</v>
      </c>
      <c r="K127" s="104">
        <f t="shared" si="14"/>
        <v>56.807785000000003</v>
      </c>
      <c r="L127" s="104">
        <f t="shared" si="14"/>
        <v>56.215967999999997</v>
      </c>
      <c r="M127" s="104">
        <f t="shared" si="14"/>
        <v>48.014598999999997</v>
      </c>
      <c r="N127" s="104">
        <f t="shared" si="14"/>
        <v>37.975015999999997</v>
      </c>
      <c r="O127" s="119">
        <f t="shared" si="14"/>
        <v>28.186232</v>
      </c>
    </row>
    <row r="128" spans="1:26">
      <c r="A128" s="253"/>
      <c r="B128" s="110" t="s">
        <v>22</v>
      </c>
      <c r="C128" s="104">
        <f t="shared" ref="C128:O128" si="15">HLOOKUP(C$119,$86:$104,10,FALSE)</f>
        <v>0.27039800000000003</v>
      </c>
      <c r="D128" s="104">
        <f t="shared" si="15"/>
        <v>0.23000100000000001</v>
      </c>
      <c r="E128" s="104">
        <f t="shared" si="15"/>
        <v>0.256185</v>
      </c>
      <c r="F128" s="104">
        <f t="shared" si="15"/>
        <v>0.25728499999999999</v>
      </c>
      <c r="G128" s="104">
        <f t="shared" si="15"/>
        <v>0.27165699999999998</v>
      </c>
      <c r="H128" s="104">
        <f t="shared" si="15"/>
        <v>0.216173</v>
      </c>
      <c r="I128" s="104">
        <f t="shared" si="15"/>
        <v>0.242977</v>
      </c>
      <c r="J128" s="104">
        <f t="shared" si="15"/>
        <v>0.25375799999999998</v>
      </c>
      <c r="K128" s="104">
        <f t="shared" si="15"/>
        <v>0.13533500000000001</v>
      </c>
      <c r="L128" s="104">
        <f t="shared" si="15"/>
        <v>6.2700000000000006E-2</v>
      </c>
      <c r="M128" s="104">
        <f t="shared" si="15"/>
        <v>0.16319</v>
      </c>
      <c r="N128" s="104">
        <f t="shared" si="15"/>
        <v>0.72397699999999998</v>
      </c>
      <c r="O128" s="119">
        <f t="shared" si="15"/>
        <v>1.328557</v>
      </c>
    </row>
    <row r="129" spans="1:15">
      <c r="A129" s="253"/>
      <c r="B129" s="110" t="s">
        <v>23</v>
      </c>
      <c r="C129" s="104">
        <f t="shared" ref="C129:O129" si="16">HLOOKUP(C$119,$86:$104,11,FALSE)</f>
        <v>1.8790750000000001</v>
      </c>
      <c r="D129" s="104">
        <f t="shared" si="16"/>
        <v>3.2668629999999999</v>
      </c>
      <c r="E129" s="104">
        <f t="shared" si="16"/>
        <v>3.6863090000000001</v>
      </c>
      <c r="F129" s="104">
        <f t="shared" si="16"/>
        <v>3.272465</v>
      </c>
      <c r="G129" s="104">
        <f t="shared" si="16"/>
        <v>2.6087359999999999</v>
      </c>
      <c r="H129" s="104">
        <f t="shared" si="16"/>
        <v>2.4437060000000002</v>
      </c>
      <c r="I129" s="104">
        <f t="shared" si="16"/>
        <v>3.266893</v>
      </c>
      <c r="J129" s="104">
        <f t="shared" si="16"/>
        <v>4.1208809999999998</v>
      </c>
      <c r="K129" s="104">
        <f t="shared" si="16"/>
        <v>3.573118</v>
      </c>
      <c r="L129" s="104">
        <f t="shared" si="16"/>
        <v>3.1659009999999999</v>
      </c>
      <c r="M129" s="104">
        <f t="shared" si="16"/>
        <v>2.336195</v>
      </c>
      <c r="N129" s="104">
        <f t="shared" si="16"/>
        <v>3.0284080000000002</v>
      </c>
      <c r="O129" s="119">
        <f t="shared" si="16"/>
        <v>2.5220250000000002</v>
      </c>
    </row>
    <row r="130" spans="1:15">
      <c r="A130" s="253"/>
      <c r="B130" s="102" t="s">
        <v>47</v>
      </c>
      <c r="C130" s="104">
        <f t="shared" ref="C130:O130" si="17">HLOOKUP(C$119,$86:$104,13,FALSE)</f>
        <v>9.5122354999999992</v>
      </c>
      <c r="D130" s="104">
        <f t="shared" si="17"/>
        <v>12.261645</v>
      </c>
      <c r="E130" s="104">
        <f t="shared" si="17"/>
        <v>10.134332000000001</v>
      </c>
      <c r="F130" s="104">
        <f t="shared" si="17"/>
        <v>8.8925330000000002</v>
      </c>
      <c r="G130" s="104">
        <f t="shared" si="17"/>
        <v>9.8915330000000008</v>
      </c>
      <c r="H130" s="104">
        <f t="shared" si="17"/>
        <v>12.984987</v>
      </c>
      <c r="I130" s="104">
        <f t="shared" si="17"/>
        <v>10.486427000000001</v>
      </c>
      <c r="J130" s="104">
        <f t="shared" si="17"/>
        <v>14.345347</v>
      </c>
      <c r="K130" s="104">
        <f t="shared" si="17"/>
        <v>9.4785564999999998</v>
      </c>
      <c r="L130" s="104">
        <f t="shared" si="17"/>
        <v>11.851848499999999</v>
      </c>
      <c r="M130" s="104">
        <f t="shared" si="17"/>
        <v>13.92998</v>
      </c>
      <c r="N130" s="104">
        <f t="shared" si="17"/>
        <v>8.0829000000000004</v>
      </c>
      <c r="O130" s="119">
        <f t="shared" si="17"/>
        <v>12.386824499999999</v>
      </c>
    </row>
    <row r="131" spans="1:15">
      <c r="A131" s="253"/>
      <c r="B131" s="102" t="s">
        <v>46</v>
      </c>
      <c r="C131" s="104">
        <f t="shared" ref="C131:O131" si="18">HLOOKUP(C$119,$86:$104,12,FALSE)</f>
        <v>9.5122354999999992</v>
      </c>
      <c r="D131" s="104">
        <f t="shared" si="18"/>
        <v>12.261645</v>
      </c>
      <c r="E131" s="104">
        <f t="shared" si="18"/>
        <v>10.134332000000001</v>
      </c>
      <c r="F131" s="104">
        <f t="shared" si="18"/>
        <v>8.8925330000000002</v>
      </c>
      <c r="G131" s="104">
        <f t="shared" si="18"/>
        <v>9.8915330000000008</v>
      </c>
      <c r="H131" s="104">
        <f t="shared" si="18"/>
        <v>12.984987</v>
      </c>
      <c r="I131" s="104">
        <f t="shared" si="18"/>
        <v>10.486427000000001</v>
      </c>
      <c r="J131" s="104">
        <f t="shared" si="18"/>
        <v>14.345347</v>
      </c>
      <c r="K131" s="104">
        <f t="shared" si="18"/>
        <v>9.4785564999999998</v>
      </c>
      <c r="L131" s="104">
        <f t="shared" si="18"/>
        <v>11.851848499999999</v>
      </c>
      <c r="M131" s="104">
        <f t="shared" si="18"/>
        <v>13.92998</v>
      </c>
      <c r="N131" s="104">
        <f t="shared" si="18"/>
        <v>8.0829000000000004</v>
      </c>
      <c r="O131" s="119">
        <f t="shared" si="18"/>
        <v>12.386824499999999</v>
      </c>
    </row>
    <row r="132" spans="1:15">
      <c r="A132" s="253"/>
      <c r="B132" s="111" t="s">
        <v>2</v>
      </c>
      <c r="C132" s="159">
        <f t="shared" ref="C132:O132" si="19">HLOOKUP(C$119,$86:$104,14,FALSE)</f>
        <v>307.02282500000001</v>
      </c>
      <c r="D132" s="159">
        <f t="shared" si="19"/>
        <v>374.61949800000002</v>
      </c>
      <c r="E132" s="159">
        <f t="shared" si="19"/>
        <v>373.38513599999999</v>
      </c>
      <c r="F132" s="159">
        <f t="shared" si="19"/>
        <v>329.447273</v>
      </c>
      <c r="G132" s="159">
        <f t="shared" si="19"/>
        <v>341.225932</v>
      </c>
      <c r="H132" s="159">
        <f t="shared" si="19"/>
        <v>343.00647099999998</v>
      </c>
      <c r="I132" s="159">
        <f t="shared" si="19"/>
        <v>365.08789200000001</v>
      </c>
      <c r="J132" s="159">
        <f t="shared" si="19"/>
        <v>452.450829</v>
      </c>
      <c r="K132" s="159">
        <f t="shared" si="19"/>
        <v>534.32323599999995</v>
      </c>
      <c r="L132" s="159">
        <f t="shared" si="19"/>
        <v>519.93151799999998</v>
      </c>
      <c r="M132" s="159">
        <f t="shared" si="19"/>
        <v>438.43550099999999</v>
      </c>
      <c r="N132" s="159">
        <f t="shared" si="19"/>
        <v>381.12279699999999</v>
      </c>
      <c r="O132" s="160">
        <f t="shared" si="19"/>
        <v>340.47298699999999</v>
      </c>
    </row>
    <row r="133" spans="1:15">
      <c r="A133" s="253"/>
      <c r="B133" s="102" t="s">
        <v>107</v>
      </c>
      <c r="C133" s="104">
        <f>HLOOKUP(C$119,$86:$104,15,FALSE)</f>
        <v>4.3603000000000003E-2</v>
      </c>
      <c r="D133" s="104">
        <f t="shared" ref="D133:O133" si="20">HLOOKUP(D$119,$86:$104,15,FALSE)</f>
        <v>1.0196999999999999E-2</v>
      </c>
      <c r="E133" s="104">
        <f t="shared" si="20"/>
        <v>5.3210000000000002E-3</v>
      </c>
      <c r="F133" s="104">
        <f t="shared" si="20"/>
        <v>9.2090000000000002E-3</v>
      </c>
      <c r="G133" s="104">
        <f t="shared" si="20"/>
        <v>1.562E-3</v>
      </c>
      <c r="H133" s="104">
        <f t="shared" si="20"/>
        <v>9.810000000000001E-4</v>
      </c>
      <c r="I133" s="104">
        <f t="shared" si="20"/>
        <v>8.0190000000000001E-3</v>
      </c>
      <c r="J133" s="104">
        <f t="shared" si="20"/>
        <v>3.3307000000000003E-2</v>
      </c>
      <c r="K133" s="104">
        <f t="shared" si="20"/>
        <v>2.5804000000000001E-2</v>
      </c>
      <c r="L133" s="104">
        <f t="shared" si="20"/>
        <v>0</v>
      </c>
      <c r="M133" s="104">
        <f t="shared" si="20"/>
        <v>2.65E-3</v>
      </c>
      <c r="N133" s="104">
        <f t="shared" si="20"/>
        <v>1.1019999999999999E-3</v>
      </c>
      <c r="O133" s="162">
        <f t="shared" si="20"/>
        <v>1.536E-3</v>
      </c>
    </row>
    <row r="134" spans="1:15">
      <c r="A134" s="253"/>
      <c r="B134" s="102" t="s">
        <v>108</v>
      </c>
      <c r="C134" s="104">
        <f>HLOOKUP(C$119,$86:$104,16,FALSE)</f>
        <v>-8.7809999999999999E-2</v>
      </c>
      <c r="D134" s="104">
        <f t="shared" ref="D134:O134" si="21">HLOOKUP(D$119,$86:$104,16,FALSE)</f>
        <v>-2.4122000000000001E-2</v>
      </c>
      <c r="E134" s="104">
        <f t="shared" si="21"/>
        <v>-2.0024E-2</v>
      </c>
      <c r="F134" s="104">
        <f t="shared" si="21"/>
        <v>-1.9650000000000001E-2</v>
      </c>
      <c r="G134" s="104">
        <f t="shared" si="21"/>
        <v>-6.5550000000000001E-3</v>
      </c>
      <c r="H134" s="104">
        <f t="shared" si="21"/>
        <v>-6.4229999999999999E-3</v>
      </c>
      <c r="I134" s="104">
        <f t="shared" si="21"/>
        <v>-2.7414000000000001E-2</v>
      </c>
      <c r="J134" s="104">
        <f t="shared" si="21"/>
        <v>-6.6456000000000001E-2</v>
      </c>
      <c r="K134" s="104">
        <f t="shared" si="21"/>
        <v>-8.4402000000000005E-2</v>
      </c>
      <c r="L134" s="104">
        <f t="shared" si="21"/>
        <v>-3.7090000000000001E-3</v>
      </c>
      <c r="M134" s="104">
        <f t="shared" si="21"/>
        <v>-8.4089999999999998E-3</v>
      </c>
      <c r="N134" s="104">
        <f t="shared" si="21"/>
        <v>-6.4120000000000002E-3</v>
      </c>
      <c r="O134" s="163">
        <f t="shared" si="21"/>
        <v>-5.6010000000000001E-3</v>
      </c>
    </row>
    <row r="135" spans="1:15">
      <c r="A135" s="253"/>
      <c r="B135" s="102" t="s">
        <v>21</v>
      </c>
      <c r="C135" s="161">
        <f>HLOOKUP(C$119,$86:$104,17,FALSE)</f>
        <v>78.195680999999993</v>
      </c>
      <c r="D135" s="161">
        <f t="shared" ref="D135:O135" si="22">HLOOKUP(D$119,$86:$104,17,FALSE)</f>
        <v>77.984769</v>
      </c>
      <c r="E135" s="161">
        <f t="shared" si="22"/>
        <v>85.443509000000006</v>
      </c>
      <c r="F135" s="161">
        <f t="shared" si="22"/>
        <v>90.795297000000005</v>
      </c>
      <c r="G135" s="161">
        <f t="shared" si="22"/>
        <v>113.220591</v>
      </c>
      <c r="H135" s="161">
        <f t="shared" si="22"/>
        <v>85.306769000000003</v>
      </c>
      <c r="I135" s="161">
        <f t="shared" si="22"/>
        <v>110.447626</v>
      </c>
      <c r="J135" s="161">
        <f t="shared" si="22"/>
        <v>171.035324</v>
      </c>
      <c r="K135" s="161">
        <f t="shared" si="22"/>
        <v>188.42781500000001</v>
      </c>
      <c r="L135" s="161">
        <f t="shared" si="22"/>
        <v>208.61120199999999</v>
      </c>
      <c r="M135" s="161">
        <f t="shared" si="22"/>
        <v>166.21217300000001</v>
      </c>
      <c r="N135" s="161">
        <f t="shared" si="22"/>
        <v>119.248762</v>
      </c>
      <c r="O135" s="164">
        <f t="shared" si="22"/>
        <v>76.900411000000005</v>
      </c>
    </row>
    <row r="136" spans="1:15">
      <c r="A136" s="253"/>
      <c r="B136" s="112" t="s">
        <v>1</v>
      </c>
      <c r="C136" s="113">
        <f>HLOOKUP(C$119,$86:$104,18,FALSE)</f>
        <v>385.17429900000002</v>
      </c>
      <c r="D136" s="113">
        <f t="shared" ref="D136:O136" si="23">HLOOKUP(D$119,$86:$104,18,FALSE)</f>
        <v>452.59034200000002</v>
      </c>
      <c r="E136" s="113">
        <f t="shared" si="23"/>
        <v>458.813942</v>
      </c>
      <c r="F136" s="113">
        <f t="shared" si="23"/>
        <v>420.23212899999999</v>
      </c>
      <c r="G136" s="113">
        <f t="shared" si="23"/>
        <v>454.44153</v>
      </c>
      <c r="H136" s="113">
        <f t="shared" si="23"/>
        <v>428.30779799999999</v>
      </c>
      <c r="I136" s="113">
        <f t="shared" si="23"/>
        <v>475.51612299999999</v>
      </c>
      <c r="J136" s="113">
        <f t="shared" si="23"/>
        <v>623.45300399999996</v>
      </c>
      <c r="K136" s="113">
        <f t="shared" si="23"/>
        <v>722.692453</v>
      </c>
      <c r="L136" s="113">
        <f t="shared" si="23"/>
        <v>728.53901099999996</v>
      </c>
      <c r="M136" s="113">
        <f t="shared" si="23"/>
        <v>604.64191500000004</v>
      </c>
      <c r="N136" s="113">
        <f t="shared" si="23"/>
        <v>500.36624899999998</v>
      </c>
      <c r="O136" s="165">
        <f t="shared" si="23"/>
        <v>417.36933299999998</v>
      </c>
    </row>
    <row r="137" spans="1:15" ht="14.25">
      <c r="A137" s="254"/>
      <c r="B137" s="120" t="s">
        <v>66</v>
      </c>
      <c r="C137" s="121">
        <f>C122+C123+C125</f>
        <v>30.259830999999998</v>
      </c>
      <c r="D137" s="121">
        <f>D122+D123+D125</f>
        <v>33.727081999999996</v>
      </c>
      <c r="E137" s="121">
        <f t="shared" ref="E137:O137" si="24">E122+E123+E125</f>
        <v>32.413293000000003</v>
      </c>
      <c r="F137" s="121">
        <f t="shared" si="24"/>
        <v>28.802239</v>
      </c>
      <c r="G137" s="121">
        <f t="shared" si="24"/>
        <v>31.686363</v>
      </c>
      <c r="H137" s="121">
        <f t="shared" si="24"/>
        <v>38.904201999999998</v>
      </c>
      <c r="I137" s="121">
        <f t="shared" si="24"/>
        <v>43.085017000000001</v>
      </c>
      <c r="J137" s="121">
        <f t="shared" si="24"/>
        <v>82.837088999999992</v>
      </c>
      <c r="K137" s="121">
        <f t="shared" si="24"/>
        <v>120.582323</v>
      </c>
      <c r="L137" s="121">
        <f t="shared" si="24"/>
        <v>117.70911799999999</v>
      </c>
      <c r="M137" s="121">
        <f t="shared" si="24"/>
        <v>85.231729000000001</v>
      </c>
      <c r="N137" s="121">
        <f t="shared" si="24"/>
        <v>66.208546999999996</v>
      </c>
      <c r="O137" s="121">
        <f t="shared" si="24"/>
        <v>49.453113000000002</v>
      </c>
    </row>
    <row r="138" spans="1:15" ht="14.1" customHeight="1">
      <c r="A138" s="252" t="s">
        <v>68</v>
      </c>
      <c r="B138" s="122" t="s">
        <v>65</v>
      </c>
      <c r="C138" s="108" t="str">
        <f>TEXT(EDATE($A$2,-12),"mmm")&amp;".-"&amp;TEXT(EDATE($A$2,-12),"aa")</f>
        <v>nov.-24</v>
      </c>
      <c r="D138" s="108" t="str">
        <f>TEXT(EDATE($A$2,-11),"mmm")&amp;".-"&amp;TEXT(EDATE($A$2,-11),"aa")</f>
        <v>dic.-24</v>
      </c>
      <c r="E138" s="108" t="str">
        <f>TEXT(EDATE($A$2,-10),"mmm")&amp;".-"&amp;TEXT(EDATE($A$2,-10),"aa")</f>
        <v>ene.-25</v>
      </c>
      <c r="F138" s="108" t="str">
        <f>TEXT(EDATE($A$2,-9),"mmm")&amp;".-"&amp;TEXT(EDATE($A$2,-9),"aa")</f>
        <v>feb.-25</v>
      </c>
      <c r="G138" s="108" t="str">
        <f>TEXT(EDATE($A$2,-8),"mmm")&amp;".-"&amp;TEXT(EDATE($A$2,-8),"aa")</f>
        <v>mar.-25</v>
      </c>
      <c r="H138" s="108" t="str">
        <f>TEXT(EDATE($A$2,-7),"mmm")&amp;".-"&amp;TEXT(EDATE($A$2,-7),"aa")</f>
        <v>abr.-25</v>
      </c>
      <c r="I138" s="108" t="str">
        <f>TEXT(EDATE($A$2,-6),"mmm")&amp;".-"&amp;TEXT(EDATE($A$2,-6),"aa")</f>
        <v>may.-25</v>
      </c>
      <c r="J138" s="108" t="str">
        <f>TEXT(EDATE($A$2,-5),"mmm")&amp;".-"&amp;TEXT(EDATE($A$2,-5),"aa")</f>
        <v>jun.-25</v>
      </c>
      <c r="K138" s="108" t="str">
        <f>TEXT(EDATE($A$2,-4),"mmm")&amp;".-"&amp;TEXT(EDATE($A$2,-4),"aa")</f>
        <v>jul.-25</v>
      </c>
      <c r="L138" s="108" t="str">
        <f>TEXT(EDATE($A$2,-3),"mmm")&amp;".-"&amp;TEXT(EDATE($A$2,-3),"aa")</f>
        <v>ago.-25</v>
      </c>
      <c r="M138" s="108" t="str">
        <f>TEXT(EDATE($A$2,-2),"mmm")&amp;".-"&amp;TEXT(EDATE($A$2,-2),"aa")</f>
        <v>sep.-25</v>
      </c>
      <c r="N138" s="108" t="str">
        <f>TEXT(EDATE($A$2,-1),"mmm")&amp;".-"&amp;TEXT(EDATE($A$2,-1),"aa")</f>
        <v>oct.-25</v>
      </c>
      <c r="O138" s="109" t="str">
        <f>TEXT($A$2,"mmm")&amp;".-"&amp;TEXT($A$2,"aa")</f>
        <v>nov.-25</v>
      </c>
    </row>
    <row r="139" spans="1:15" ht="15" customHeight="1">
      <c r="A139" s="253"/>
      <c r="B139" s="102" t="s">
        <v>12</v>
      </c>
      <c r="C139" s="104">
        <f>HLOOKUP(C$119,$86:$117,19,FALSE)</f>
        <v>0.28431800000000002</v>
      </c>
      <c r="D139" s="104">
        <f t="shared" ref="D139:O139" si="25">HLOOKUP(D$119,$86:$117,19,FALSE)</f>
        <v>0.28783500000000001</v>
      </c>
      <c r="E139" s="104">
        <f t="shared" si="25"/>
        <v>0.285242</v>
      </c>
      <c r="F139" s="104">
        <f t="shared" si="25"/>
        <v>5.4619000000000001E-2</v>
      </c>
      <c r="G139" s="104">
        <f t="shared" si="25"/>
        <v>0</v>
      </c>
      <c r="H139" s="104">
        <f t="shared" si="25"/>
        <v>0</v>
      </c>
      <c r="I139" s="104">
        <f t="shared" si="25"/>
        <v>0</v>
      </c>
      <c r="J139" s="104">
        <f t="shared" si="25"/>
        <v>0</v>
      </c>
      <c r="K139" s="104">
        <f t="shared" si="25"/>
        <v>0</v>
      </c>
      <c r="L139" s="104">
        <f t="shared" si="25"/>
        <v>0</v>
      </c>
      <c r="M139" s="104">
        <f t="shared" si="25"/>
        <v>0</v>
      </c>
      <c r="N139" s="104">
        <f t="shared" si="25"/>
        <v>0</v>
      </c>
      <c r="O139" s="137">
        <f t="shared" si="25"/>
        <v>0</v>
      </c>
    </row>
    <row r="140" spans="1:15" ht="14.1" customHeight="1">
      <c r="A140" s="253"/>
      <c r="B140" s="102" t="s">
        <v>10</v>
      </c>
      <c r="C140" s="104">
        <f>HLOOKUP(C$119,$86:$117,20,FALSE)</f>
        <v>162.623898</v>
      </c>
      <c r="D140" s="104">
        <f t="shared" ref="D140:O140" si="26">HLOOKUP(D$119,$86:$117,20,FALSE)</f>
        <v>158.879446</v>
      </c>
      <c r="E140" s="104">
        <f t="shared" si="26"/>
        <v>164.446281</v>
      </c>
      <c r="F140" s="104">
        <f t="shared" si="26"/>
        <v>147.68749600000001</v>
      </c>
      <c r="G140" s="104">
        <f t="shared" si="26"/>
        <v>173.83343199999999</v>
      </c>
      <c r="H140" s="104">
        <f t="shared" si="26"/>
        <v>146.76996600000001</v>
      </c>
      <c r="I140" s="104">
        <f t="shared" si="26"/>
        <v>139.11880199999999</v>
      </c>
      <c r="J140" s="104">
        <f t="shared" si="26"/>
        <v>133.45317499999999</v>
      </c>
      <c r="K140" s="104">
        <f t="shared" si="26"/>
        <v>138.95270500000001</v>
      </c>
      <c r="L140" s="104">
        <f t="shared" si="26"/>
        <v>156.42968200000001</v>
      </c>
      <c r="M140" s="104">
        <f t="shared" si="26"/>
        <v>146.533942</v>
      </c>
      <c r="N140" s="104">
        <f t="shared" si="26"/>
        <v>159.05462600000001</v>
      </c>
      <c r="O140" s="119">
        <f t="shared" si="26"/>
        <v>144.58958999999999</v>
      </c>
    </row>
    <row r="141" spans="1:15" ht="14.1" customHeight="1">
      <c r="A141" s="253"/>
      <c r="B141" s="102" t="s">
        <v>9</v>
      </c>
      <c r="C141" s="104">
        <f>HLOOKUP(C$119,$86:$117,21,FALSE)</f>
        <v>29.713279</v>
      </c>
      <c r="D141" s="104">
        <f t="shared" ref="D141:O141" si="27">HLOOKUP(D$119,$86:$117,21,FALSE)</f>
        <v>20.429556000000002</v>
      </c>
      <c r="E141" s="104">
        <f t="shared" si="27"/>
        <v>37.045735999999998</v>
      </c>
      <c r="F141" s="104">
        <f t="shared" si="27"/>
        <v>22.268398999999999</v>
      </c>
      <c r="G141" s="104">
        <f t="shared" si="27"/>
        <v>28.510366000000001</v>
      </c>
      <c r="H141" s="104">
        <f t="shared" si="27"/>
        <v>15.002691</v>
      </c>
      <c r="I141" s="104">
        <f t="shared" si="27"/>
        <v>15.518791</v>
      </c>
      <c r="J141" s="104">
        <f t="shared" si="27"/>
        <v>14.439681999999999</v>
      </c>
      <c r="K141" s="104">
        <f t="shared" si="27"/>
        <v>17.277450000000002</v>
      </c>
      <c r="L141" s="104">
        <f t="shared" si="27"/>
        <v>21.905667999999999</v>
      </c>
      <c r="M141" s="104">
        <f t="shared" si="27"/>
        <v>21.204673</v>
      </c>
      <c r="N141" s="104">
        <f t="shared" si="27"/>
        <v>28.960232999999999</v>
      </c>
      <c r="O141" s="119">
        <f t="shared" si="27"/>
        <v>21.440702000000002</v>
      </c>
    </row>
    <row r="142" spans="1:15" ht="14.1" customHeight="1">
      <c r="A142" s="253"/>
      <c r="B142" s="102" t="s">
        <v>8</v>
      </c>
      <c r="C142" s="104">
        <f>HLOOKUP(C$119,$86:$117,22,FALSE)</f>
        <v>91.813715999999999</v>
      </c>
      <c r="D142" s="104">
        <f t="shared" ref="D142:O142" si="28">HLOOKUP(D$119,$86:$117,22,FALSE)</f>
        <v>71.233320000000006</v>
      </c>
      <c r="E142" s="104">
        <f t="shared" si="28"/>
        <v>82.867552000000003</v>
      </c>
      <c r="F142" s="104">
        <f t="shared" si="28"/>
        <v>111.33349800000001</v>
      </c>
      <c r="G142" s="104">
        <f t="shared" si="28"/>
        <v>126.580506</v>
      </c>
      <c r="H142" s="104">
        <f t="shared" si="28"/>
        <v>98.063034000000002</v>
      </c>
      <c r="I142" s="104">
        <f t="shared" si="28"/>
        <v>81.823025999999999</v>
      </c>
      <c r="J142" s="104">
        <f t="shared" si="28"/>
        <v>84.304407999999995</v>
      </c>
      <c r="K142" s="104">
        <f t="shared" si="28"/>
        <v>97.386711000000005</v>
      </c>
      <c r="L142" s="104">
        <f t="shared" si="28"/>
        <v>100.206506</v>
      </c>
      <c r="M142" s="104">
        <f t="shared" si="28"/>
        <v>99.346721000000002</v>
      </c>
      <c r="N142" s="104">
        <f t="shared" si="28"/>
        <v>125.044641</v>
      </c>
      <c r="O142" s="119">
        <f t="shared" si="28"/>
        <v>112.281066</v>
      </c>
    </row>
    <row r="143" spans="1:15" ht="14.45" customHeight="1">
      <c r="A143" s="253"/>
      <c r="B143" s="102" t="s">
        <v>128</v>
      </c>
      <c r="C143" s="104">
        <f>HLOOKUP(C$119,$86:$117,23,FALSE)</f>
        <v>391.60655400000002</v>
      </c>
      <c r="D143" s="104">
        <f t="shared" ref="D143:O143" si="29">HLOOKUP(D$119,$86:$117,23,FALSE)</f>
        <v>377.87321400000002</v>
      </c>
      <c r="E143" s="104">
        <f t="shared" si="29"/>
        <v>342.56568199999998</v>
      </c>
      <c r="F143" s="104">
        <f t="shared" si="29"/>
        <v>249.83534599999999</v>
      </c>
      <c r="G143" s="104">
        <f t="shared" si="29"/>
        <v>290.37200899999999</v>
      </c>
      <c r="H143" s="104">
        <f t="shared" si="29"/>
        <v>290.70250900000002</v>
      </c>
      <c r="I143" s="104">
        <f t="shared" si="29"/>
        <v>328.785506</v>
      </c>
      <c r="J143" s="104">
        <f t="shared" si="29"/>
        <v>284.15903500000002</v>
      </c>
      <c r="K143" s="104">
        <f t="shared" si="29"/>
        <v>316.61882300000002</v>
      </c>
      <c r="L143" s="104">
        <f t="shared" si="29"/>
        <v>340.02993600000002</v>
      </c>
      <c r="M143" s="104">
        <f t="shared" si="29"/>
        <v>307.60187999999999</v>
      </c>
      <c r="N143" s="104">
        <f t="shared" si="29"/>
        <v>357.47449</v>
      </c>
      <c r="O143" s="119">
        <f t="shared" si="29"/>
        <v>343.63677799999999</v>
      </c>
    </row>
    <row r="144" spans="1:15" ht="14.1" customHeight="1">
      <c r="A144" s="253"/>
      <c r="B144" s="102" t="s">
        <v>6</v>
      </c>
      <c r="C144" s="104">
        <f>HLOOKUP(C$119,$86:$117,24,FALSE)</f>
        <v>0.32408100000000001</v>
      </c>
      <c r="D144" s="104">
        <f t="shared" ref="D144:O144" si="30">HLOOKUP(D$119,$86:$117,24,FALSE)</f>
        <v>1.363745</v>
      </c>
      <c r="E144" s="104">
        <f t="shared" si="30"/>
        <v>1.249555</v>
      </c>
      <c r="F144" s="104">
        <f t="shared" si="30"/>
        <v>1.142978</v>
      </c>
      <c r="G144" s="104">
        <f t="shared" si="30"/>
        <v>1.2419039999999999</v>
      </c>
      <c r="H144" s="104">
        <f t="shared" si="30"/>
        <v>1.7632380000000001</v>
      </c>
      <c r="I144" s="104">
        <f t="shared" si="30"/>
        <v>1.701465</v>
      </c>
      <c r="J144" s="104">
        <f t="shared" si="30"/>
        <v>2.9528669999999999</v>
      </c>
      <c r="K144" s="104">
        <f t="shared" si="30"/>
        <v>3.1269979999999999</v>
      </c>
      <c r="L144" s="104">
        <f t="shared" si="30"/>
        <v>2.6583589999999999</v>
      </c>
      <c r="M144" s="104">
        <f t="shared" si="30"/>
        <v>2.5908169999999999</v>
      </c>
      <c r="N144" s="104">
        <f t="shared" si="30"/>
        <v>1.167157</v>
      </c>
      <c r="O144" s="119">
        <f t="shared" si="30"/>
        <v>0.94978899999999999</v>
      </c>
    </row>
    <row r="145" spans="1:26" ht="14.1" customHeight="1">
      <c r="A145" s="253"/>
      <c r="B145" s="102" t="s">
        <v>5</v>
      </c>
      <c r="C145" s="104">
        <f>HLOOKUP(C$119,$86:$117,25,FALSE)</f>
        <v>42.203436000000004</v>
      </c>
      <c r="D145" s="104">
        <f t="shared" ref="D145:O145" si="31">HLOOKUP(D$119,$86:$117,25,FALSE)</f>
        <v>98.604742999999999</v>
      </c>
      <c r="E145" s="104">
        <f t="shared" si="31"/>
        <v>94.891767999999999</v>
      </c>
      <c r="F145" s="104">
        <f t="shared" si="31"/>
        <v>107.781023</v>
      </c>
      <c r="G145" s="104">
        <f t="shared" si="31"/>
        <v>77.912910999999994</v>
      </c>
      <c r="H145" s="104">
        <f t="shared" si="31"/>
        <v>105.255258</v>
      </c>
      <c r="I145" s="104">
        <f t="shared" si="31"/>
        <v>99.380206999999999</v>
      </c>
      <c r="J145" s="104">
        <f t="shared" si="31"/>
        <v>143.378455</v>
      </c>
      <c r="K145" s="104">
        <f t="shared" si="31"/>
        <v>163.042329</v>
      </c>
      <c r="L145" s="104">
        <f t="shared" si="31"/>
        <v>149.38965200000001</v>
      </c>
      <c r="M145" s="104">
        <f t="shared" si="31"/>
        <v>165.43566200000001</v>
      </c>
      <c r="N145" s="104">
        <f t="shared" si="31"/>
        <v>84.269589999999994</v>
      </c>
      <c r="O145" s="119">
        <f t="shared" si="31"/>
        <v>110.859167</v>
      </c>
    </row>
    <row r="146" spans="1:26" ht="14.1" customHeight="1">
      <c r="A146" s="253"/>
      <c r="B146" s="102" t="s">
        <v>4</v>
      </c>
      <c r="C146" s="104">
        <f>HLOOKUP(C$119,$86:$117,26,FALSE)</f>
        <v>28.568382</v>
      </c>
      <c r="D146" s="104">
        <f t="shared" ref="D146:O146" si="32">HLOOKUP(D$119,$86:$117,26,FALSE)</f>
        <v>27.419523999999999</v>
      </c>
      <c r="E146" s="104">
        <f t="shared" si="32"/>
        <v>32.201141</v>
      </c>
      <c r="F146" s="104">
        <f t="shared" si="32"/>
        <v>36.099778000000001</v>
      </c>
      <c r="G146" s="104">
        <f t="shared" si="32"/>
        <v>37.572127000000002</v>
      </c>
      <c r="H146" s="104">
        <f t="shared" si="32"/>
        <v>38.334235999999997</v>
      </c>
      <c r="I146" s="104">
        <f t="shared" si="32"/>
        <v>44.380906000000003</v>
      </c>
      <c r="J146" s="104">
        <f t="shared" si="32"/>
        <v>42.392861000000003</v>
      </c>
      <c r="K146" s="104">
        <f t="shared" si="32"/>
        <v>44.388679000000003</v>
      </c>
      <c r="L146" s="104">
        <f t="shared" si="32"/>
        <v>45.802045</v>
      </c>
      <c r="M146" s="104">
        <f t="shared" si="32"/>
        <v>39.475147</v>
      </c>
      <c r="N146" s="104">
        <f t="shared" si="32"/>
        <v>35.817155999999997</v>
      </c>
      <c r="O146" s="119">
        <f t="shared" si="32"/>
        <v>32.339796999999997</v>
      </c>
    </row>
    <row r="147" spans="1:26" ht="14.1" customHeight="1">
      <c r="A147" s="253"/>
      <c r="B147" s="102" t="s">
        <v>22</v>
      </c>
      <c r="C147" s="104">
        <f>HLOOKUP(C$119,$86:$117,27,FALSE)</f>
        <v>1.1775519999999999</v>
      </c>
      <c r="D147" s="104">
        <f t="shared" ref="D147:O147" si="33">HLOOKUP(D$119,$86:$117,27,FALSE)</f>
        <v>1.130485</v>
      </c>
      <c r="E147" s="104">
        <f t="shared" si="33"/>
        <v>1.1695549999999999</v>
      </c>
      <c r="F147" s="104">
        <f t="shared" si="33"/>
        <v>1.2032910000000001</v>
      </c>
      <c r="G147" s="104">
        <f t="shared" si="33"/>
        <v>1.447702</v>
      </c>
      <c r="H147" s="104">
        <f t="shared" si="33"/>
        <v>1.4667380000000001</v>
      </c>
      <c r="I147" s="104">
        <f t="shared" si="33"/>
        <v>1.444064</v>
      </c>
      <c r="J147" s="104">
        <f t="shared" si="33"/>
        <v>1.2805299999999999</v>
      </c>
      <c r="K147" s="104">
        <f t="shared" si="33"/>
        <v>1.163958</v>
      </c>
      <c r="L147" s="104">
        <f t="shared" si="33"/>
        <v>0.98014500000000004</v>
      </c>
      <c r="M147" s="104">
        <f t="shared" si="33"/>
        <v>0.36074600000000001</v>
      </c>
      <c r="N147" s="104">
        <f t="shared" si="33"/>
        <v>0.77339199999999997</v>
      </c>
      <c r="O147" s="119">
        <f t="shared" si="33"/>
        <v>0.74605500000000002</v>
      </c>
    </row>
    <row r="148" spans="1:26" ht="14.1" customHeight="1">
      <c r="A148" s="253"/>
      <c r="B148" s="112" t="s">
        <v>1</v>
      </c>
      <c r="C148" s="113">
        <f>HLOOKUP(C$119,$86:$117,29,FALSE)</f>
        <v>748.31521599999996</v>
      </c>
      <c r="D148" s="113">
        <f t="shared" ref="D148:O148" si="34">HLOOKUP(D$119,$86:$117,29,FALSE)</f>
        <v>757.22186799999997</v>
      </c>
      <c r="E148" s="113">
        <f t="shared" si="34"/>
        <v>756.72251200000005</v>
      </c>
      <c r="F148" s="113">
        <f t="shared" si="34"/>
        <v>677.40642800000001</v>
      </c>
      <c r="G148" s="113">
        <f t="shared" si="34"/>
        <v>737.470957</v>
      </c>
      <c r="H148" s="113">
        <f t="shared" si="34"/>
        <v>697.35766999999998</v>
      </c>
      <c r="I148" s="113">
        <f t="shared" si="34"/>
        <v>712.15276700000004</v>
      </c>
      <c r="J148" s="113">
        <f t="shared" si="34"/>
        <v>706.36101299999996</v>
      </c>
      <c r="K148" s="113">
        <f t="shared" si="34"/>
        <v>781.95765300000005</v>
      </c>
      <c r="L148" s="113">
        <f t="shared" si="34"/>
        <v>817.40199299999995</v>
      </c>
      <c r="M148" s="113">
        <f t="shared" si="34"/>
        <v>782.54958799999997</v>
      </c>
      <c r="N148" s="113">
        <f t="shared" si="34"/>
        <v>792.561285</v>
      </c>
      <c r="O148" s="166">
        <f t="shared" si="34"/>
        <v>766.84294399999999</v>
      </c>
    </row>
    <row r="149" spans="1:26" ht="14.1" customHeight="1">
      <c r="A149" s="253"/>
      <c r="B149" s="114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23"/>
    </row>
    <row r="150" spans="1:26" ht="14.1" customHeight="1">
      <c r="A150" s="254"/>
      <c r="B150" s="120" t="s">
        <v>66</v>
      </c>
      <c r="C150" s="124">
        <f t="shared" ref="C150:O150" si="35">SUM(C140:C142)</f>
        <v>284.150893</v>
      </c>
      <c r="D150" s="124">
        <f t="shared" si="35"/>
        <v>250.54232200000001</v>
      </c>
      <c r="E150" s="124">
        <f t="shared" si="35"/>
        <v>284.35956900000002</v>
      </c>
      <c r="F150" s="124">
        <f t="shared" si="35"/>
        <v>281.28939300000002</v>
      </c>
      <c r="G150" s="124">
        <f t="shared" si="35"/>
        <v>328.92430400000001</v>
      </c>
      <c r="H150" s="124">
        <f t="shared" si="35"/>
        <v>259.835691</v>
      </c>
      <c r="I150" s="124">
        <f t="shared" si="35"/>
        <v>236.46061899999998</v>
      </c>
      <c r="J150" s="124">
        <f t="shared" si="35"/>
        <v>232.19726499999999</v>
      </c>
      <c r="K150" s="124">
        <f t="shared" si="35"/>
        <v>253.61686600000002</v>
      </c>
      <c r="L150" s="124">
        <f t="shared" si="35"/>
        <v>278.541856</v>
      </c>
      <c r="M150" s="124">
        <f t="shared" si="35"/>
        <v>267.08533599999998</v>
      </c>
      <c r="N150" s="124">
        <f t="shared" si="35"/>
        <v>313.05950000000001</v>
      </c>
      <c r="O150" s="125">
        <f t="shared" si="35"/>
        <v>278.31135799999998</v>
      </c>
    </row>
    <row r="151" spans="1:26" ht="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</row>
    <row r="152" spans="1:26" ht="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</row>
    <row r="153" spans="1:26" ht="15">
      <c r="A153" s="149"/>
      <c r="B153" s="149" t="s">
        <v>60</v>
      </c>
      <c r="C153" s="268" t="s">
        <v>49</v>
      </c>
      <c r="D153" s="264"/>
      <c r="E153" s="264"/>
      <c r="F153" s="264"/>
      <c r="G153" s="264"/>
      <c r="H153" s="264"/>
      <c r="I153" s="264"/>
      <c r="J153" s="264"/>
      <c r="K153" s="264"/>
      <c r="L153" s="264"/>
      <c r="M153" s="264"/>
      <c r="N153" s="264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>
      <c r="A154" s="149"/>
      <c r="B154" s="149" t="s">
        <v>61</v>
      </c>
      <c r="C154" s="182" t="s">
        <v>80</v>
      </c>
      <c r="D154" s="182" t="s">
        <v>81</v>
      </c>
      <c r="E154" s="182" t="s">
        <v>82</v>
      </c>
      <c r="F154" s="182" t="s">
        <v>83</v>
      </c>
      <c r="G154" s="182" t="s">
        <v>84</v>
      </c>
      <c r="H154" s="182" t="s">
        <v>85</v>
      </c>
      <c r="I154" s="182" t="s">
        <v>86</v>
      </c>
      <c r="J154" s="182" t="s">
        <v>87</v>
      </c>
      <c r="K154" s="182" t="s">
        <v>88</v>
      </c>
      <c r="L154" s="182" t="s">
        <v>89</v>
      </c>
      <c r="M154" s="182" t="s">
        <v>90</v>
      </c>
      <c r="N154" s="182" t="s">
        <v>91</v>
      </c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>
      <c r="A155" s="149" t="s">
        <v>59</v>
      </c>
      <c r="B155" s="149" t="s">
        <v>92</v>
      </c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>
      <c r="A156" s="151" t="s">
        <v>150</v>
      </c>
      <c r="B156" s="151" t="s">
        <v>151</v>
      </c>
      <c r="C156" s="234">
        <v>8.3589999999999998E-2</v>
      </c>
      <c r="D156" s="234">
        <v>3.5200000000000001E-3</v>
      </c>
      <c r="E156" s="234">
        <v>3.372E-2</v>
      </c>
      <c r="F156" s="234">
        <v>4.6350000000000002E-2</v>
      </c>
      <c r="G156" s="234">
        <v>3.9750000000000001E-2</v>
      </c>
      <c r="H156" s="234">
        <v>7.3999999999999999E-4</v>
      </c>
      <c r="I156" s="234">
        <v>1.8929999999999999E-2</v>
      </c>
      <c r="J156" s="234">
        <v>2.0080000000000001E-2</v>
      </c>
      <c r="K156" s="234">
        <v>4.197E-2</v>
      </c>
      <c r="L156" s="234">
        <v>5.6999999999999998E-4</v>
      </c>
      <c r="M156" s="234">
        <v>1.9789999999999999E-2</v>
      </c>
      <c r="N156" s="234">
        <v>2.1610000000000001E-2</v>
      </c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</row>
    <row r="159" spans="1:26" ht="15">
      <c r="A159" s="149"/>
      <c r="B159" s="149" t="s">
        <v>60</v>
      </c>
      <c r="C159" s="268" t="s">
        <v>50</v>
      </c>
      <c r="D159" s="264"/>
      <c r="E159" s="264"/>
      <c r="F159" s="264"/>
      <c r="G159" s="264"/>
      <c r="H159" s="264"/>
      <c r="I159" s="264"/>
      <c r="J159" s="264"/>
      <c r="K159" s="264"/>
      <c r="L159" s="264"/>
      <c r="M159" s="264"/>
      <c r="N159" s="264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/>
      <c r="B160" s="149" t="s">
        <v>61</v>
      </c>
      <c r="C160" s="182" t="s">
        <v>80</v>
      </c>
      <c r="D160" s="182" t="s">
        <v>81</v>
      </c>
      <c r="E160" s="182" t="s">
        <v>82</v>
      </c>
      <c r="F160" s="182" t="s">
        <v>83</v>
      </c>
      <c r="G160" s="182" t="s">
        <v>84</v>
      </c>
      <c r="H160" s="182" t="s">
        <v>85</v>
      </c>
      <c r="I160" s="182" t="s">
        <v>86</v>
      </c>
      <c r="J160" s="182" t="s">
        <v>87</v>
      </c>
      <c r="K160" s="182" t="s">
        <v>88</v>
      </c>
      <c r="L160" s="182" t="s">
        <v>89</v>
      </c>
      <c r="M160" s="182" t="s">
        <v>90</v>
      </c>
      <c r="N160" s="182" t="s">
        <v>91</v>
      </c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49" t="s">
        <v>59</v>
      </c>
      <c r="B161" s="149" t="s">
        <v>92</v>
      </c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 s="151" t="s">
        <v>150</v>
      </c>
      <c r="B162" s="151" t="s">
        <v>151</v>
      </c>
      <c r="C162" s="234">
        <v>2.4760000000000001E-2</v>
      </c>
      <c r="D162" s="234">
        <v>-2.3E-3</v>
      </c>
      <c r="E162" s="234">
        <v>-2.47E-3</v>
      </c>
      <c r="F162" s="234">
        <v>2.9530000000000001E-2</v>
      </c>
      <c r="G162" s="234">
        <v>1.0999999999999999E-2</v>
      </c>
      <c r="H162" s="234">
        <v>-5.8E-4</v>
      </c>
      <c r="I162" s="234">
        <v>1.32E-3</v>
      </c>
      <c r="J162" s="234">
        <v>1.026E-2</v>
      </c>
      <c r="K162" s="234">
        <v>1.18E-2</v>
      </c>
      <c r="L162" s="234">
        <v>-1E-4</v>
      </c>
      <c r="M162" s="234">
        <v>1.2099999999999999E-3</v>
      </c>
      <c r="N162" s="234">
        <v>1.069E-2</v>
      </c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B164" s="222" t="s">
        <v>142</v>
      </c>
      <c r="C164"/>
      <c r="D164"/>
      <c r="E164"/>
      <c r="F164"/>
      <c r="G164"/>
      <c r="H164"/>
      <c r="I164"/>
      <c r="J164"/>
      <c r="K164"/>
      <c r="L164"/>
      <c r="M164"/>
      <c r="N164"/>
    </row>
    <row r="165" spans="1:26">
      <c r="B165" s="255" t="s">
        <v>65</v>
      </c>
      <c r="C165" s="108" t="str">
        <f>TEXT(EDATE(D119,-1),"mmmm aaaa")</f>
        <v>noviembre 2024</v>
      </c>
      <c r="D165" s="108" t="str">
        <f t="shared" ref="D165:N165" si="36">TEXT(EDATE(E119,-1),"mmmm aaaa")</f>
        <v>diciembre 2024</v>
      </c>
      <c r="E165" s="108" t="str">
        <f t="shared" si="36"/>
        <v>enero 2025</v>
      </c>
      <c r="F165" s="108" t="str">
        <f t="shared" si="36"/>
        <v>febrero 2025</v>
      </c>
      <c r="G165" s="108" t="str">
        <f t="shared" si="36"/>
        <v>marzo 2025</v>
      </c>
      <c r="H165" s="108" t="str">
        <f t="shared" si="36"/>
        <v>abril 2025</v>
      </c>
      <c r="I165" s="108" t="str">
        <f t="shared" si="36"/>
        <v>mayo 2025</v>
      </c>
      <c r="J165" s="108" t="str">
        <f t="shared" si="36"/>
        <v>junio 2025</v>
      </c>
      <c r="K165" s="108" t="str">
        <f t="shared" si="36"/>
        <v>julio 2025</v>
      </c>
      <c r="L165" s="108" t="str">
        <f t="shared" si="36"/>
        <v>agosto 2025</v>
      </c>
      <c r="M165" s="108" t="str">
        <f t="shared" si="36"/>
        <v>septiembre 2025</v>
      </c>
      <c r="N165" s="108" t="str">
        <f t="shared" si="36"/>
        <v>octubre 2025</v>
      </c>
      <c r="O165" s="108" t="str">
        <f>A2</f>
        <v>Noviembre 2025</v>
      </c>
    </row>
    <row r="166" spans="1:26">
      <c r="B166" s="256"/>
      <c r="C166" s="116" t="str">
        <f>MID(UPPER(TEXT(C119,"mmm")),1,1)</f>
        <v>N</v>
      </c>
      <c r="D166" s="116" t="str">
        <f t="shared" ref="D166:N166" si="37">MID(UPPER(TEXT(D119,"mmm")),1,1)</f>
        <v>D</v>
      </c>
      <c r="E166" s="116" t="str">
        <f t="shared" si="37"/>
        <v>E</v>
      </c>
      <c r="F166" s="116" t="str">
        <f t="shared" si="37"/>
        <v>F</v>
      </c>
      <c r="G166" s="116" t="str">
        <f t="shared" si="37"/>
        <v>M</v>
      </c>
      <c r="H166" s="116" t="str">
        <f t="shared" si="37"/>
        <v>A</v>
      </c>
      <c r="I166" s="116" t="str">
        <f t="shared" si="37"/>
        <v>M</v>
      </c>
      <c r="J166" s="116" t="str">
        <f t="shared" si="37"/>
        <v>J</v>
      </c>
      <c r="K166" s="116" t="str">
        <f t="shared" si="37"/>
        <v>J</v>
      </c>
      <c r="L166" s="116" t="str">
        <f t="shared" si="37"/>
        <v>A</v>
      </c>
      <c r="M166" s="116" t="str">
        <f t="shared" si="37"/>
        <v>S</v>
      </c>
      <c r="N166" s="116" t="str">
        <f t="shared" si="37"/>
        <v>O</v>
      </c>
      <c r="O166" s="116" t="str">
        <f t="shared" ref="O166" si="38">MID(UPPER(TEXT(O119,"mmm")),1,1)</f>
        <v>N</v>
      </c>
    </row>
    <row r="167" spans="1:26" ht="15">
      <c r="A167"/>
      <c r="B167" s="102" t="s">
        <v>107</v>
      </c>
      <c r="C167" s="220">
        <f>HLOOKUP(C$165,$86:$104,15,FALSE)*1000</f>
        <v>43.603000000000002</v>
      </c>
      <c r="D167" s="220">
        <f t="shared" ref="D167:O167" si="39">HLOOKUP(D$165,$86:$104,15,FALSE)*1000</f>
        <v>10.196999999999999</v>
      </c>
      <c r="E167" s="220">
        <f t="shared" si="39"/>
        <v>5.3210000000000006</v>
      </c>
      <c r="F167" s="220">
        <f t="shared" si="39"/>
        <v>9.2089999999999996</v>
      </c>
      <c r="G167" s="220">
        <f t="shared" si="39"/>
        <v>1.5620000000000001</v>
      </c>
      <c r="H167" s="220">
        <f t="shared" si="39"/>
        <v>0.98100000000000009</v>
      </c>
      <c r="I167" s="220">
        <f t="shared" si="39"/>
        <v>8.0190000000000001</v>
      </c>
      <c r="J167" s="220">
        <f t="shared" si="39"/>
        <v>33.307000000000002</v>
      </c>
      <c r="K167" s="220">
        <f t="shared" si="39"/>
        <v>25.804000000000002</v>
      </c>
      <c r="L167" s="220">
        <f t="shared" si="39"/>
        <v>0</v>
      </c>
      <c r="M167" s="220">
        <f t="shared" si="39"/>
        <v>2.65</v>
      </c>
      <c r="N167" s="220">
        <f t="shared" si="39"/>
        <v>1.1019999999999999</v>
      </c>
      <c r="O167" s="217">
        <f t="shared" si="39"/>
        <v>1.536</v>
      </c>
    </row>
    <row r="168" spans="1:26" ht="15">
      <c r="A168"/>
      <c r="B168" s="102" t="s">
        <v>108</v>
      </c>
      <c r="C168" s="220">
        <f>HLOOKUP(C$119,$86:$104,16,FALSE)*1000</f>
        <v>-87.81</v>
      </c>
      <c r="D168" s="220">
        <f t="shared" ref="D168:O168" si="40">HLOOKUP(D$119,$86:$104,16,FALSE)*1000</f>
        <v>-24.122</v>
      </c>
      <c r="E168" s="220">
        <f t="shared" si="40"/>
        <v>-20.024000000000001</v>
      </c>
      <c r="F168" s="220">
        <f t="shared" si="40"/>
        <v>-19.650000000000002</v>
      </c>
      <c r="G168" s="220">
        <f t="shared" si="40"/>
        <v>-6.5549999999999997</v>
      </c>
      <c r="H168" s="220">
        <f t="shared" si="40"/>
        <v>-6.423</v>
      </c>
      <c r="I168" s="220">
        <f t="shared" si="40"/>
        <v>-27.414000000000001</v>
      </c>
      <c r="J168" s="220">
        <f t="shared" si="40"/>
        <v>-66.456000000000003</v>
      </c>
      <c r="K168" s="220">
        <f t="shared" si="40"/>
        <v>-84.402000000000001</v>
      </c>
      <c r="L168" s="220">
        <f t="shared" si="40"/>
        <v>-3.7090000000000001</v>
      </c>
      <c r="M168" s="220">
        <f t="shared" si="40"/>
        <v>-8.4089999999999989</v>
      </c>
      <c r="N168" s="220">
        <f t="shared" si="40"/>
        <v>-6.4119999999999999</v>
      </c>
      <c r="O168" s="217">
        <f t="shared" si="40"/>
        <v>-5.601</v>
      </c>
    </row>
    <row r="169" spans="1:26" ht="15">
      <c r="A169"/>
      <c r="B169" s="111" t="s">
        <v>134</v>
      </c>
      <c r="C169" s="221">
        <f>SUM(C167:C168)</f>
        <v>-44.207000000000001</v>
      </c>
      <c r="D169" s="221">
        <f t="shared" ref="D169:O169" si="41">SUM(D167:D168)</f>
        <v>-13.925000000000001</v>
      </c>
      <c r="E169" s="221">
        <f t="shared" si="41"/>
        <v>-14.702999999999999</v>
      </c>
      <c r="F169" s="221">
        <f t="shared" si="41"/>
        <v>-10.441000000000003</v>
      </c>
      <c r="G169" s="221">
        <f t="shared" si="41"/>
        <v>-4.9929999999999994</v>
      </c>
      <c r="H169" s="221">
        <f t="shared" si="41"/>
        <v>-5.4420000000000002</v>
      </c>
      <c r="I169" s="221">
        <f t="shared" si="41"/>
        <v>-19.395000000000003</v>
      </c>
      <c r="J169" s="221">
        <f t="shared" si="41"/>
        <v>-33.149000000000001</v>
      </c>
      <c r="K169" s="221">
        <f t="shared" si="41"/>
        <v>-58.597999999999999</v>
      </c>
      <c r="L169" s="221">
        <f t="shared" si="41"/>
        <v>-3.7090000000000001</v>
      </c>
      <c r="M169" s="221">
        <f t="shared" si="41"/>
        <v>-5.7589999999999986</v>
      </c>
      <c r="N169" s="221">
        <f t="shared" si="41"/>
        <v>-5.3100000000000005</v>
      </c>
      <c r="O169" s="221">
        <f t="shared" si="41"/>
        <v>-4.0649999999999995</v>
      </c>
    </row>
    <row r="170" spans="1:26" ht="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26" ht="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26" ht="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26" ht="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26" ht="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26" ht="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26" ht="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ht="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</sheetData>
  <mergeCells count="16">
    <mergeCell ref="B165:B166"/>
    <mergeCell ref="B4:AG4"/>
    <mergeCell ref="B5:I5"/>
    <mergeCell ref="J5:Q5"/>
    <mergeCell ref="R5:Y5"/>
    <mergeCell ref="Z5:AG5"/>
    <mergeCell ref="B29:C29"/>
    <mergeCell ref="C153:N153"/>
    <mergeCell ref="C159:N159"/>
    <mergeCell ref="C85:Z85"/>
    <mergeCell ref="A138:A150"/>
    <mergeCell ref="A121:A137"/>
    <mergeCell ref="B119:B120"/>
    <mergeCell ref="A88:A103"/>
    <mergeCell ref="B30:C30"/>
    <mergeCell ref="A104:A11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6"/>
  <sheetViews>
    <sheetView workbookViewId="0"/>
  </sheetViews>
  <sheetFormatPr baseColWidth="10" defaultRowHeight="15"/>
  <sheetData>
    <row r="1" spans="1:2">
      <c r="A1">
        <v>5</v>
      </c>
      <c r="B1" s="96" t="s">
        <v>157</v>
      </c>
    </row>
    <row r="2" spans="1:2">
      <c r="A2" t="s">
        <v>154</v>
      </c>
    </row>
    <row r="3" spans="1:2">
      <c r="A3" t="s">
        <v>153</v>
      </c>
    </row>
    <row r="4" spans="1:2">
      <c r="A4" t="s">
        <v>155</v>
      </c>
    </row>
    <row r="5" spans="1:2">
      <c r="A5" t="s">
        <v>156</v>
      </c>
    </row>
    <row r="6" spans="1:2">
      <c r="A6" t="s">
        <v>158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Noviembre 2025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36" t="s">
        <v>40</v>
      </c>
      <c r="E7" s="66"/>
      <c r="F7" s="237" t="str">
        <f>K3</f>
        <v>Noviembre 2025</v>
      </c>
      <c r="G7" s="238"/>
      <c r="H7" s="238" t="s">
        <v>30</v>
      </c>
      <c r="I7" s="238"/>
      <c r="J7" s="238" t="s">
        <v>31</v>
      </c>
      <c r="K7" s="238"/>
    </row>
    <row r="8" spans="3:12">
      <c r="C8" s="236"/>
      <c r="E8" s="67"/>
      <c r="F8" s="68" t="s">
        <v>13</v>
      </c>
      <c r="G8" s="94" t="str">
        <f>CONCATENATE("% ",RIGHT(F7,2),"/",RIGHT(F7,2)-1)</f>
        <v>% 25/24</v>
      </c>
      <c r="H8" s="68" t="s">
        <v>13</v>
      </c>
      <c r="I8" s="69" t="str">
        <f>G8</f>
        <v>% 25/24</v>
      </c>
      <c r="J8" s="68" t="s">
        <v>13</v>
      </c>
      <c r="K8" s="69" t="str">
        <f>G8</f>
        <v>% 25/24</v>
      </c>
    </row>
    <row r="9" spans="3:12">
      <c r="C9" s="70"/>
      <c r="E9" s="71" t="s">
        <v>32</v>
      </c>
      <c r="F9" s="72">
        <f>Dat_01!R26/1000</f>
        <v>417.36933299999998</v>
      </c>
      <c r="G9" s="140">
        <f>Dat_01!T26*100</f>
        <v>8.3585623699999996</v>
      </c>
      <c r="H9" s="72">
        <f>Dat_01!U26/1000</f>
        <v>5834.3734869999998</v>
      </c>
      <c r="I9" s="140">
        <f>Dat_01!W26*100</f>
        <v>3.9746025900000004</v>
      </c>
      <c r="J9" s="72">
        <f>Dat_01!X26/1000</f>
        <v>6286.9638290000003</v>
      </c>
      <c r="K9" s="140">
        <f>Dat_01!Y26*100</f>
        <v>4.19693732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Dat_01!D156*100</f>
        <v>0.35200000000000004</v>
      </c>
      <c r="H12" s="91"/>
      <c r="I12" s="91">
        <f>Dat_01!H156*100</f>
        <v>7.3999999999999996E-2</v>
      </c>
      <c r="J12" s="91"/>
      <c r="K12" s="91">
        <f>Dat_01!L156*100</f>
        <v>5.6999999999999995E-2</v>
      </c>
    </row>
    <row r="13" spans="3:12">
      <c r="E13" s="74" t="s">
        <v>35</v>
      </c>
      <c r="F13" s="73"/>
      <c r="G13" s="91">
        <f>Dat_01!E156*100</f>
        <v>3.3719999999999999</v>
      </c>
      <c r="H13" s="91"/>
      <c r="I13" s="91">
        <f>Dat_01!I156*100</f>
        <v>1.8929999999999998</v>
      </c>
      <c r="J13" s="91"/>
      <c r="K13" s="91">
        <f>Dat_01!M156*100</f>
        <v>1.9789999999999999</v>
      </c>
    </row>
    <row r="14" spans="3:12">
      <c r="E14" s="75" t="s">
        <v>36</v>
      </c>
      <c r="F14" s="76"/>
      <c r="G14" s="92">
        <f>Dat_01!F156*100</f>
        <v>4.6349999999999998</v>
      </c>
      <c r="H14" s="92"/>
      <c r="I14" s="92">
        <f>Dat_01!J156*100</f>
        <v>2.008</v>
      </c>
      <c r="J14" s="92"/>
      <c r="K14" s="92">
        <f>Dat_01!N156*100</f>
        <v>2.161</v>
      </c>
    </row>
    <row r="15" spans="3:12">
      <c r="E15" s="239" t="s">
        <v>37</v>
      </c>
      <c r="F15" s="239"/>
      <c r="G15" s="239"/>
      <c r="H15" s="239"/>
      <c r="I15" s="239"/>
      <c r="J15" s="239"/>
      <c r="K15" s="239"/>
    </row>
    <row r="16" spans="3:12" ht="21.75" customHeight="1">
      <c r="E16" s="235" t="s">
        <v>38</v>
      </c>
      <c r="F16" s="235"/>
      <c r="G16" s="235"/>
      <c r="H16" s="235"/>
      <c r="I16" s="235"/>
      <c r="J16" s="235"/>
      <c r="K16" s="235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C2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Noviembre 2025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36" t="s">
        <v>41</v>
      </c>
      <c r="E7" s="66"/>
      <c r="F7" s="237" t="str">
        <f>K3</f>
        <v>Noviembre 2025</v>
      </c>
      <c r="G7" s="238"/>
      <c r="H7" s="238" t="s">
        <v>30</v>
      </c>
      <c r="I7" s="238"/>
      <c r="J7" s="238" t="s">
        <v>31</v>
      </c>
      <c r="K7" s="238"/>
    </row>
    <row r="8" spans="3:12">
      <c r="C8" s="236"/>
      <c r="E8" s="67"/>
      <c r="F8" s="68" t="s">
        <v>13</v>
      </c>
      <c r="G8" s="94" t="str">
        <f>CONCATENATE("% ",RIGHT(F7,2),"/",RIGHT(F7,2)-1)</f>
        <v>% 25/24</v>
      </c>
      <c r="H8" s="68" t="s">
        <v>13</v>
      </c>
      <c r="I8" s="95" t="str">
        <f>G8</f>
        <v>% 25/24</v>
      </c>
      <c r="J8" s="68" t="s">
        <v>13</v>
      </c>
      <c r="K8" s="95" t="str">
        <f>G8</f>
        <v>% 25/24</v>
      </c>
    </row>
    <row r="9" spans="3:12">
      <c r="C9" s="70"/>
      <c r="E9" s="71" t="s">
        <v>32</v>
      </c>
      <c r="F9" s="72">
        <f>Dat_01!Z26/1000</f>
        <v>766.84294399999999</v>
      </c>
      <c r="G9" s="140">
        <f>Dat_01!AB26*100</f>
        <v>2.4759256000000001</v>
      </c>
      <c r="H9" s="72">
        <f>Dat_01!AC26/1000</f>
        <v>8228.7848099999992</v>
      </c>
      <c r="I9" s="140">
        <f>Dat_01!AE26*100</f>
        <v>1.0998548800000001</v>
      </c>
      <c r="J9" s="72">
        <f>Dat_01!AF26/1000</f>
        <v>8986.0066779999997</v>
      </c>
      <c r="K9" s="140">
        <f>Dat_01!AG26*100</f>
        <v>1.1801570000000001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Dat_01!D162*100</f>
        <v>-0.22999999999999998</v>
      </c>
      <c r="H12" s="91"/>
      <c r="I12" s="91">
        <f>Dat_01!H162*100</f>
        <v>-5.8000000000000003E-2</v>
      </c>
      <c r="J12" s="91"/>
      <c r="K12" s="91">
        <f>Dat_01!L162*100</f>
        <v>-0.01</v>
      </c>
    </row>
    <row r="13" spans="3:12">
      <c r="E13" s="74" t="s">
        <v>35</v>
      </c>
      <c r="F13" s="73"/>
      <c r="G13" s="91">
        <f>Dat_01!E162*100</f>
        <v>-0.247</v>
      </c>
      <c r="H13" s="91"/>
      <c r="I13" s="91">
        <f>Dat_01!I162*100</f>
        <v>0.13200000000000001</v>
      </c>
      <c r="J13" s="91"/>
      <c r="K13" s="91">
        <f>Dat_01!M162*100</f>
        <v>0.121</v>
      </c>
    </row>
    <row r="14" spans="3:12">
      <c r="E14" s="75" t="s">
        <v>36</v>
      </c>
      <c r="F14" s="76"/>
      <c r="G14" s="92">
        <f>Dat_01!F162*100</f>
        <v>2.9530000000000003</v>
      </c>
      <c r="H14" s="92"/>
      <c r="I14" s="92">
        <f>Dat_01!J162*100</f>
        <v>1.026</v>
      </c>
      <c r="J14" s="92"/>
      <c r="K14" s="92">
        <f>Dat_01!N162*100</f>
        <v>1.069</v>
      </c>
    </row>
    <row r="15" spans="3:12">
      <c r="E15" s="239" t="s">
        <v>37</v>
      </c>
      <c r="F15" s="239"/>
      <c r="G15" s="239"/>
      <c r="H15" s="239"/>
      <c r="I15" s="239"/>
      <c r="J15" s="239"/>
      <c r="K15" s="239"/>
    </row>
    <row r="16" spans="3:12" ht="21.75" customHeight="1">
      <c r="E16" s="235" t="s">
        <v>38</v>
      </c>
      <c r="F16" s="235"/>
      <c r="G16" s="235"/>
      <c r="H16" s="235"/>
      <c r="I16" s="235"/>
      <c r="J16" s="235"/>
      <c r="K16" s="235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>
      <selection activeCell="M17" sqref="M17"/>
    </sheetView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Noviembre 2025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40" t="s">
        <v>18</v>
      </c>
      <c r="E7" s="24"/>
      <c r="F7" s="241" t="s">
        <v>17</v>
      </c>
      <c r="G7" s="242"/>
      <c r="H7" s="241" t="s">
        <v>16</v>
      </c>
      <c r="I7" s="242"/>
      <c r="J7" s="241" t="s">
        <v>15</v>
      </c>
      <c r="K7" s="242"/>
      <c r="L7" s="241" t="s">
        <v>14</v>
      </c>
      <c r="M7" s="242"/>
    </row>
    <row r="8" spans="3:23" s="21" customFormat="1" ht="12.75" customHeight="1">
      <c r="C8" s="240"/>
      <c r="E8" s="23"/>
      <c r="F8" s="22" t="s">
        <v>13</v>
      </c>
      <c r="G8" s="93" t="str">
        <f>CONCATENATE("% ",RIGHT(M3,2),"/",RIGHT(M3,2)-1)</f>
        <v>% 25/24</v>
      </c>
      <c r="H8" s="22" t="s">
        <v>13</v>
      </c>
      <c r="I8" s="93" t="str">
        <f>G8</f>
        <v>% 25/24</v>
      </c>
      <c r="J8" s="22" t="s">
        <v>13</v>
      </c>
      <c r="K8" s="93" t="str">
        <f>I8</f>
        <v>% 25/24</v>
      </c>
      <c r="L8" s="22" t="s">
        <v>13</v>
      </c>
      <c r="M8" s="93" t="str">
        <f>K8</f>
        <v>% 25/24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 t="str">
        <f>IF(Dat_01!AB8*100=-100,"-",Dat_01!AB8*100)</f>
        <v>-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0.94978899999999999</v>
      </c>
      <c r="I10" s="12">
        <f>Dat_01!AB15*100</f>
        <v>193.07148522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110.859167</v>
      </c>
      <c r="I11" s="12">
        <f>Dat_01!AB16*100</f>
        <v>162.67806014999999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28.186232</v>
      </c>
      <c r="G12" s="12">
        <f>Dat_01!T17*100</f>
        <v>3.4968015599999998</v>
      </c>
      <c r="H12" s="132">
        <f>Dat_01!Z17/1000</f>
        <v>32.339796999999997</v>
      </c>
      <c r="I12" s="12">
        <f>Dat_01!AB17*100</f>
        <v>13.20136016</v>
      </c>
      <c r="J12" s="132">
        <f>Dat_01!B17</f>
        <v>0</v>
      </c>
      <c r="K12" s="12">
        <f>IF(Dat_01!D17=-100%,"-",Dat_01!D17*100)</f>
        <v>0</v>
      </c>
      <c r="L12" s="132">
        <f>Dat_01!J17/1000</f>
        <v>3.5950000000000001E-3</v>
      </c>
      <c r="M12" s="12">
        <f>IF(Dat_01!L17*100=-100,"-",Dat_01!L17*100)</f>
        <v>19.158104079999998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1.328557</v>
      </c>
      <c r="G13" s="12">
        <f>IF(Dat_01!T18=-100%,"-",Dat_01!T18*100)</f>
        <v>391.33388561000004</v>
      </c>
      <c r="H13" s="132">
        <f>Dat_01!Z18/1000</f>
        <v>0.74605499999999991</v>
      </c>
      <c r="I13" s="12">
        <f>IF(Dat_01!AB18*100=-100,"-",Dat_01!AB18*100)</f>
        <v>-36.643562240000001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12.386824500000001</v>
      </c>
      <c r="G14" s="12">
        <f>Dat_01!T21*100</f>
        <v>30.21990993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0.4520055</v>
      </c>
      <c r="M14" s="12">
        <f>Dat_01!L21*100</f>
        <v>93.267158670000001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41.901613500000003</v>
      </c>
      <c r="G15" s="148">
        <f>((SUM(Dat_01!R8,Dat_01!R15:R18,Dat_01!R20)/SUM(Dat_01!S8,Dat_01!S15:S18,Dat_01!S20))-1)*100</f>
        <v>13.196972883709757</v>
      </c>
      <c r="H15" s="147">
        <f>SUM(H9:H14)</f>
        <v>144.89480800000001</v>
      </c>
      <c r="I15" s="148">
        <f>((SUM(Dat_01!Z8,Dat_01!Z15:Z18,Dat_01!Z20)/SUM(Dat_01!AA8,Dat_01!AA15:AA18,Dat_01!AA20))-1)*100</f>
        <v>99.695787228518554</v>
      </c>
      <c r="J15" s="147">
        <f>SUM(J9:J14)</f>
        <v>0</v>
      </c>
      <c r="K15" s="148">
        <f>IF(Dat_01!D17=-100%,"-",Dat_01!D17*100)</f>
        <v>0</v>
      </c>
      <c r="L15" s="147">
        <f>SUM(L9:L14)</f>
        <v>0.45560050000000002</v>
      </c>
      <c r="M15" s="148">
        <f>((SUM(Dat_01!J8,Dat_01!J15:J18,Dat_01!J20)/SUM(Dat_01!K8,Dat_01!K15:K18,Dat_01!K20))-1)*100</f>
        <v>92.323327409421125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17.069234000000002</v>
      </c>
      <c r="G17" s="18">
        <f>((SUM(Dat_01!R10,Dat_01!R14)/SUM(Dat_01!S10,Dat_01!S14))-1)*100</f>
        <v>112.2499718044283</v>
      </c>
      <c r="H17" s="133">
        <f>SUM(Dat_01!Z10,Dat_01!Z14)/1000</f>
        <v>144.58958999999999</v>
      </c>
      <c r="I17" s="18">
        <f>((SUM(Dat_01!Z10,Dat_01!Z14)/SUM(Dat_01!AA10,Dat_01!AA14))-1)*100</f>
        <v>-11.089580450223856</v>
      </c>
      <c r="J17" s="133">
        <f>Dat_01!B10/1000</f>
        <v>16.652836999999998</v>
      </c>
      <c r="K17" s="18">
        <f>Dat_01!D10*100</f>
        <v>13.231979529999998</v>
      </c>
      <c r="L17" s="133">
        <f>Dat_01!J10/1000</f>
        <v>16.330551</v>
      </c>
      <c r="M17" s="18">
        <f>Dat_01!L10*100</f>
        <v>9.6365974899999998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32.383879</v>
      </c>
      <c r="G18" s="18">
        <f>Dat_01!T11*100</f>
        <v>45.756539759999995</v>
      </c>
      <c r="H18" s="133">
        <f>Dat_01!Z11/1000</f>
        <v>21.440702000000002</v>
      </c>
      <c r="I18" s="18">
        <f>Dat_01!AB11*100</f>
        <v>-27.841346620000003</v>
      </c>
      <c r="J18" s="133">
        <f>Dat_01!B11/1000</f>
        <v>1.6105000000000001E-2</v>
      </c>
      <c r="K18" s="18">
        <f>IF(Dat_01!D11=-100%,"-",Dat_01!D11*100)</f>
        <v>0</v>
      </c>
      <c r="L18" s="133">
        <f>Dat_01!J11/1000</f>
        <v>0</v>
      </c>
      <c r="M18" s="18">
        <f>IF(Dat_01!L11*100=-100,"-",Dat_01!L11*100)</f>
        <v>0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112.28106600000001</v>
      </c>
      <c r="I19" s="18">
        <f>Dat_01!AB12*100</f>
        <v>22.292257509999999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49.453113000000002</v>
      </c>
      <c r="G20" s="12">
        <f>((SUM(Dat_01!R10:R12,Dat_01!R14)/SUM(Dat_01!S10:S12,Dat_01!S14))-1)*100</f>
        <v>63.428252457854107</v>
      </c>
      <c r="H20" s="132">
        <f>SUM(H17:H19)</f>
        <v>278.31135799999998</v>
      </c>
      <c r="I20" s="12">
        <f>(H20/(H17/(I17/100+1)+H18/(I18/100+1)+H19/(I19/100+1))-1)*100</f>
        <v>-2.055082402245334</v>
      </c>
      <c r="J20" s="132">
        <f>SUM(J17:J19)</f>
        <v>16.668941999999998</v>
      </c>
      <c r="K20" s="12">
        <f>((SUM(Dat_01!B10:B12)/SUM(Dat_01!C10:C12))-1)*100</f>
        <v>13.341486460170348</v>
      </c>
      <c r="L20" s="132">
        <f>SUM(L17:L19)</f>
        <v>16.330551</v>
      </c>
      <c r="M20" s="12">
        <f>((SUM(Dat_01!J10:J12)/SUM(Dat_01!K10:K12))-1)*100</f>
        <v>9.6365974889567987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234.20941099999999</v>
      </c>
      <c r="G21" s="12">
        <f>Dat_01!T13*100</f>
        <v>2.5636721599999999</v>
      </c>
      <c r="H21" s="132">
        <f>Dat_01!Z13/1000</f>
        <v>343.63677799999999</v>
      </c>
      <c r="I21" s="12">
        <f>Dat_01!AB13*100</f>
        <v>-12.24948242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2.5220250000000002</v>
      </c>
      <c r="G22" s="12">
        <f>Dat_01!T19*100</f>
        <v>34.216303230000001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12.386824500000001</v>
      </c>
      <c r="G23" s="12">
        <f>Dat_01!T20*100</f>
        <v>30.21990993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0.4520055</v>
      </c>
      <c r="M23" s="12">
        <f>Dat_01!L20*100</f>
        <v>93.267158670000001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298.57137349999994</v>
      </c>
      <c r="G24" s="148">
        <f>((SUM(Dat_01!R9:R14,Dat_01!R19,Dat_01!R21)/SUM(Dat_01!S9:S14,Dat_01!S19,Dat_01!S21))-1)*100</f>
        <v>10.579420032776232</v>
      </c>
      <c r="H24" s="134">
        <f>SUM(H16,H20:H23)</f>
        <v>621.94813599999998</v>
      </c>
      <c r="I24" s="148">
        <f>((SUM(Dat_01!Z9:Z14,Dat_01!Z19,Dat_01!Z21)/SUM(Dat_01!AA9:AA14,Dat_01!AA19,Dat_01!AA21))-1)*100</f>
        <v>-7.9628143557846753</v>
      </c>
      <c r="J24" s="134">
        <f>SUM(J16,J20:J23)</f>
        <v>16.668941999999998</v>
      </c>
      <c r="K24" s="148">
        <f>((SUM(Dat_01!B9:B14,Dat_01!B19,Dat_01!B21)/SUM(Dat_01!C9:C14,Dat_01!C19,Dat_01!C21))-1)*100</f>
        <v>13.341486460170348</v>
      </c>
      <c r="L24" s="134">
        <f>SUM(L16,L20:L23)</f>
        <v>16.782556499999998</v>
      </c>
      <c r="M24" s="148">
        <f>((SUM(Dat_01!J9:J14,Dat_01!J19,Dat_01!J21)/SUM(Dat_01!K9:K14,Dat_01!K19,Dat_01!K21))-1)*100</f>
        <v>10.929421166181053</v>
      </c>
      <c r="N24" s="7"/>
      <c r="O24" s="7"/>
    </row>
    <row r="25" spans="3:23" ht="12.75" customHeight="1">
      <c r="C25" s="10"/>
      <c r="E25" s="170" t="s">
        <v>107</v>
      </c>
      <c r="F25" s="132">
        <f>Dat_01!R23/1000</f>
        <v>1.536E-3</v>
      </c>
      <c r="G25" s="12" cm="1">
        <f t="array" ref="G25">_xlfn.IFS(Dat_01!T23=0%,"-",Dat_01!T23=-100%,"-",TRUE,Dat_01!T23*100)</f>
        <v>-96.477306609999999</v>
      </c>
      <c r="H25" s="171" t="s">
        <v>3</v>
      </c>
      <c r="I25" s="171" t="s">
        <v>3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108</v>
      </c>
      <c r="F26" s="132">
        <f>Dat_01!R24/1000</f>
        <v>-5.6010000000000001E-3</v>
      </c>
      <c r="G26" s="12">
        <f>IF(Dat_01!T24=-100%,"-",Dat_01!T24*100)</f>
        <v>-93.621455420000004</v>
      </c>
      <c r="H26" s="132" t="s">
        <v>3</v>
      </c>
      <c r="I26" s="132" t="s">
        <v>3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110</v>
      </c>
      <c r="F27" s="134">
        <f>SUM(F25:F26)</f>
        <v>-4.065E-3</v>
      </c>
      <c r="G27" s="148">
        <f>IF(SUM(Dat_01!R23:R24)=0,"-",((SUM(Dat_01!R23:R24)/SUM(Dat_01!S23:S24))-1)*100)</f>
        <v>-90.804623702128623</v>
      </c>
      <c r="H27" s="134" t="s">
        <v>3</v>
      </c>
      <c r="I27" s="134" t="s">
        <v>3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76.900410999999991</v>
      </c>
      <c r="G28" s="169">
        <f>Dat_01!T25*100</f>
        <v>-1.6564469799999999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417.36933299999998</v>
      </c>
      <c r="G29" s="8">
        <f>Dat_01!T26*100</f>
        <v>8.3585623699999996</v>
      </c>
      <c r="H29" s="135">
        <f>Dat_01!Z26/1000</f>
        <v>766.84294399999999</v>
      </c>
      <c r="I29" s="8">
        <f>Dat_01!AB26*100</f>
        <v>2.4759256000000001</v>
      </c>
      <c r="J29" s="135">
        <f>Dat_01!B26/1000</f>
        <v>16.668941999999998</v>
      </c>
      <c r="K29" s="8">
        <f>Dat_01!D26*100</f>
        <v>13.341486459999999</v>
      </c>
      <c r="L29" s="135">
        <f>Dat_01!J26/1000</f>
        <v>17.238156999999998</v>
      </c>
      <c r="M29" s="8">
        <f>Dat_01!L26*100</f>
        <v>12.18425201</v>
      </c>
      <c r="N29" s="7"/>
      <c r="O29" s="7"/>
    </row>
    <row r="30" spans="3:23" ht="16.350000000000001" customHeight="1">
      <c r="C30" s="10"/>
      <c r="E30" s="245" t="s">
        <v>48</v>
      </c>
      <c r="F30" s="245"/>
      <c r="G30" s="245"/>
      <c r="H30" s="245"/>
      <c r="I30" s="245"/>
      <c r="J30" s="245"/>
      <c r="K30" s="245"/>
      <c r="L30" s="145"/>
      <c r="M30" s="146"/>
      <c r="N30" s="7"/>
      <c r="O30" s="7"/>
    </row>
    <row r="31" spans="3:23" ht="12.75" customHeight="1">
      <c r="C31" s="3"/>
      <c r="D31" s="3"/>
      <c r="E31" s="244" t="s">
        <v>0</v>
      </c>
      <c r="F31" s="244"/>
      <c r="G31" s="244"/>
      <c r="H31" s="244"/>
      <c r="I31" s="244"/>
      <c r="J31" s="244"/>
      <c r="K31" s="244"/>
      <c r="L31" s="244"/>
      <c r="M31" s="244"/>
      <c r="O31" s="6"/>
    </row>
    <row r="32" spans="3:23" ht="12.75" customHeight="1">
      <c r="E32" s="243" t="s">
        <v>121</v>
      </c>
      <c r="F32" s="243"/>
      <c r="G32" s="243"/>
      <c r="H32" s="243"/>
      <c r="I32" s="243"/>
      <c r="J32" s="243"/>
      <c r="K32" s="243"/>
      <c r="L32" s="243"/>
      <c r="M32" s="243"/>
    </row>
    <row r="33" spans="3:13" ht="12.75" customHeight="1">
      <c r="C33" s="3"/>
      <c r="D33" s="3"/>
      <c r="E33" s="243" t="s">
        <v>75</v>
      </c>
      <c r="F33" s="243"/>
      <c r="G33" s="243"/>
      <c r="H33" s="243"/>
      <c r="I33" s="243"/>
      <c r="J33" s="243"/>
      <c r="K33" s="243"/>
      <c r="L33" s="243"/>
      <c r="M33" s="243"/>
    </row>
    <row r="34" spans="3:13" ht="12.75" customHeight="1">
      <c r="E34" s="243" t="s">
        <v>76</v>
      </c>
      <c r="F34" s="243"/>
      <c r="G34" s="243"/>
      <c r="H34" s="243"/>
      <c r="I34" s="243"/>
      <c r="J34" s="243"/>
      <c r="K34" s="243"/>
      <c r="L34" s="243"/>
      <c r="M34" s="243"/>
    </row>
    <row r="35" spans="3:13" ht="12.75" customHeight="1">
      <c r="E35" s="243"/>
      <c r="F35" s="243"/>
      <c r="G35" s="243"/>
      <c r="H35" s="243"/>
      <c r="I35" s="243"/>
      <c r="J35" s="243"/>
      <c r="K35" s="243"/>
      <c r="L35" s="243"/>
      <c r="M35" s="243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" formula="1"/>
    <ignoredError sqref="M20" formulaRange="1"/>
    <ignoredError sqref="K20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Noviembre 2025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46" t="s">
        <v>111</v>
      </c>
      <c r="D7" s="37"/>
      <c r="E7" s="41"/>
    </row>
    <row r="8" spans="2:12" s="31" customFormat="1" ht="12.75" customHeight="1">
      <c r="B8" s="39"/>
      <c r="C8" s="246"/>
      <c r="D8" s="37"/>
      <c r="E8" s="41"/>
      <c r="J8" s="30"/>
      <c r="K8" s="30"/>
      <c r="L8" s="30"/>
    </row>
    <row r="9" spans="2:12" s="31" customFormat="1" ht="12.75" customHeight="1">
      <c r="B9" s="39"/>
      <c r="C9" s="246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2.278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46" t="s">
        <v>119</v>
      </c>
      <c r="E24" s="35"/>
      <c r="J24" s="31"/>
      <c r="K24" s="31"/>
    </row>
    <row r="25" spans="2:12">
      <c r="C25" s="246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Noviembre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7" t="s">
        <v>113</v>
      </c>
      <c r="D7" s="55"/>
      <c r="E7" s="59"/>
    </row>
    <row r="8" spans="1:20" ht="12.75" customHeight="1">
      <c r="A8" s="58"/>
      <c r="B8" s="57"/>
      <c r="C8" s="247"/>
      <c r="D8" s="55"/>
      <c r="E8" s="59"/>
      <c r="F8" s="54"/>
    </row>
    <row r="9" spans="1:20" ht="12.75" customHeight="1">
      <c r="A9" s="58"/>
      <c r="B9" s="57"/>
      <c r="C9" s="247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127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Noviembre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7" t="s">
        <v>113</v>
      </c>
      <c r="D7" s="55"/>
      <c r="E7" s="59"/>
    </row>
    <row r="8" spans="1:20" ht="12.75" customHeight="1">
      <c r="A8" s="58"/>
      <c r="B8" s="57"/>
      <c r="C8" s="247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Noviembre 2025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46" t="s">
        <v>112</v>
      </c>
      <c r="D7" s="37"/>
      <c r="E7" s="41"/>
    </row>
    <row r="8" spans="2:12" s="31" customFormat="1" ht="12.75" customHeight="1">
      <c r="B8" s="39"/>
      <c r="C8" s="246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46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3.392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46" t="s">
        <v>120</v>
      </c>
      <c r="E24" s="35"/>
      <c r="J24" s="31"/>
      <c r="K24" s="31"/>
    </row>
    <row r="25" spans="2:12">
      <c r="C25" s="246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Noviembre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47" t="s">
        <v>114</v>
      </c>
      <c r="D7" s="55"/>
      <c r="E7" s="59"/>
    </row>
    <row r="8" spans="1:20" ht="12.75" customHeight="1">
      <c r="A8" s="58"/>
      <c r="B8" s="57"/>
      <c r="C8" s="247"/>
      <c r="D8" s="55"/>
      <c r="E8" s="59"/>
      <c r="F8" s="54"/>
    </row>
    <row r="9" spans="1:20" ht="12.75" customHeight="1">
      <c r="A9" s="58"/>
      <c r="B9" s="57"/>
      <c r="C9" s="247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127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Dat_01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2025-12-12T12:12:06Z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