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ml.chartshapes+xml"/>
  <Override PartName="/xl/charts/chart20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4.xml" ContentType="application/vnd.openxmlformats-officedocument.drawing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MAY\INF_ELABORADA\"/>
    </mc:Choice>
  </mc:AlternateContent>
  <xr:revisionPtr revIDLastSave="0" documentId="13_ncr:1_{51F89868-E9B0-4417-B339-345A50711F1B}" xr6:coauthVersionLast="47" xr6:coauthVersionMax="47" xr10:uidLastSave="{00000000-0000-0000-0000-000000000000}"/>
  <bookViews>
    <workbookView xWindow="-120" yWindow="-120" windowWidth="29040" windowHeight="15720" tabRatio="719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0" r:id="rId14"/>
    <sheet name="SN12" sheetId="32" r:id="rId15"/>
    <sheet name="SN13" sheetId="31" r:id="rId16"/>
    <sheet name="SN14" sheetId="33" r:id="rId17"/>
    <sheet name="SN15" sheetId="34" r:id="rId18"/>
    <sheet name="SN16" sheetId="35" r:id="rId19"/>
    <sheet name="SN17" sheetId="36" r:id="rId20"/>
    <sheet name="Dat_01" sheetId="18" r:id="rId21"/>
    <sheet name="Dat_02" sheetId="37" r:id="rId22"/>
    <sheet name="Mozart Reports" sheetId="19" state="veryHidden" r:id="rId23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3">#REF!</definedName>
    <definedName name="ccc" localSheetId="14">#N/A</definedName>
    <definedName name="ccc" localSheetId="15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3">#REF!</definedName>
    <definedName name="CUADRO_ANTERIOR" localSheetId="14">#N/A</definedName>
    <definedName name="CUADRO_ANTERIOR" localSheetId="15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3">#REF!</definedName>
    <definedName name="CUADRO_PROXIMO" localSheetId="14">#N/A</definedName>
    <definedName name="CUADRO_PROXIMO" localSheetId="15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21">#REF!</definedName>
    <definedName name="Demanda" localSheetId="14">#REF!</definedName>
    <definedName name="Demanda" localSheetId="11">#REF!</definedName>
    <definedName name="Demanda">#REF!</definedName>
    <definedName name="Eol_Dia" localSheetId="21">OFFSET(#REF!,0,0,COUNT(#REF!),1)</definedName>
    <definedName name="Eol_Dia" localSheetId="16">OFFSET(#REF!,0,0,COUNT(#REF!),1)</definedName>
    <definedName name="Eol_Dia" localSheetId="17">OFFSET(#REF!,0,0,COUNT(#REF!),1)</definedName>
    <definedName name="Eol_Dia" localSheetId="18">OFFSET(#REF!,0,0,COUNT(#REF!),1)</definedName>
    <definedName name="Eol_Dia" localSheetId="19">OFFSET(#REF!,0,0,COUNT(#REF!),1)</definedName>
    <definedName name="Eol_Dia">OFFSET(#REF!,0,0,COUNT(#REF!),1)</definedName>
    <definedName name="Eol_Fechas" localSheetId="21">OFFSET(#REF!,0,0,COUNT(#REF!),1)</definedName>
    <definedName name="Eol_Fechas" localSheetId="16">OFFSET(#REF!,0,0,COUNT(#REF!),1)</definedName>
    <definedName name="Eol_Fechas" localSheetId="17">OFFSET(#REF!,0,0,COUNT(#REF!),1)</definedName>
    <definedName name="Eol_Fechas" localSheetId="18">OFFSET(#REF!,0,0,COUNT(#REF!),1)</definedName>
    <definedName name="Eol_Fechas" localSheetId="19">OFFSET(#REF!,0,0,COUNT(#REF!),1)</definedName>
    <definedName name="Eol_Fechas">OFFSET(#REF!,0,0,COUNT(#REF!),1)</definedName>
    <definedName name="Eol_Porcentaje" localSheetId="21">OFFSET(#REF!,0,0,COUNT(#REF!),1)</definedName>
    <definedName name="Eol_Porcentaje" localSheetId="16">OFFSET(#REF!,0,0,COUNT(#REF!),1)</definedName>
    <definedName name="Eol_Porcentaje" localSheetId="17">OFFSET(#REF!,0,0,COUNT(#REF!),1)</definedName>
    <definedName name="Eol_Porcentaje" localSheetId="18">OFFSET(#REF!,0,0,COUNT(#REF!),1)</definedName>
    <definedName name="Eol_Porcentaje" localSheetId="19">OFFSET(#REF!,0,0,COUNT(#REF!),1)</definedName>
    <definedName name="Eol_Porcentaje">OFFSET(#REF!,0,0,COUNT(#REF!),1)</definedName>
    <definedName name="Fecha" localSheetId="21">#REF!</definedName>
    <definedName name="Fecha" localSheetId="14">#REF!</definedName>
    <definedName name="Fecha" localSheetId="11">#REF!</definedName>
    <definedName name="Fecha">#REF!</definedName>
    <definedName name="FINALIZAR" localSheetId="12">#REF!</definedName>
    <definedName name="FINALIZAR" localSheetId="13">#REF!</definedName>
    <definedName name="FINALIZAR" localSheetId="14">#N/A</definedName>
    <definedName name="FINALIZAR" localSheetId="15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21">OFFSET(#REF!,0,0,COUNT(#REF!),1)</definedName>
    <definedName name="H_Eol" localSheetId="16">OFFSET(#REF!,0,0,COUNT(#REF!),1)</definedName>
    <definedName name="H_Eol" localSheetId="17">OFFSET(#REF!,0,0,COUNT(#REF!),1)</definedName>
    <definedName name="H_Eol" localSheetId="18">OFFSET(#REF!,0,0,COUNT(#REF!),1)</definedName>
    <definedName name="H_Eol" localSheetId="19">OFFSET(#REF!,0,0,COUNT(#REF!),1)</definedName>
    <definedName name="H_Eol">OFFSET(#REF!,0,0,COUNT(#REF!),1)</definedName>
    <definedName name="H_Gen" localSheetId="21">OFFSET(#REF!,0,0,COUNT(#REF!),1)</definedName>
    <definedName name="H_Gen" localSheetId="16">OFFSET(#REF!,0,0,COUNT(#REF!),1)</definedName>
    <definedName name="H_Gen" localSheetId="17">OFFSET(#REF!,0,0,COUNT(#REF!),1)</definedName>
    <definedName name="H_Gen" localSheetId="18">OFFSET(#REF!,0,0,COUNT(#REF!),1)</definedName>
    <definedName name="H_Gen" localSheetId="19">OFFSET(#REF!,0,0,COUNT(#REF!),1)</definedName>
    <definedName name="H_Gen">OFFSET(#REF!,0,0,COUNT(#REF!),1)</definedName>
    <definedName name="H_Porcentaje" localSheetId="21">OFFSET(#REF!,0,0,COUNT(#REF!),1)</definedName>
    <definedName name="H_Porcentaje" localSheetId="16">OFFSET(#REF!,0,0,COUNT(#REF!),1)</definedName>
    <definedName name="H_Porcentaje" localSheetId="17">OFFSET(#REF!,0,0,COUNT(#REF!),1)</definedName>
    <definedName name="H_Porcentaje" localSheetId="18">OFFSET(#REF!,0,0,COUNT(#REF!),1)</definedName>
    <definedName name="H_Porcentaje" localSheetId="19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3">#REF!</definedName>
    <definedName name="IMPRESION" localSheetId="14">#N/A</definedName>
    <definedName name="IMPRESION" localSheetId="15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21">[0]!INDICE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7">[0]!INDICE</definedName>
    <definedName name="Índice" localSheetId="18">[0]!INDICE</definedName>
    <definedName name="Índice" localSheetId="19">[0]!INDICE</definedName>
    <definedName name="Índice" localSheetId="11">[0]!INDICE</definedName>
    <definedName name="Índice">[0]!INDICE</definedName>
    <definedName name="indice_jcol" localSheetId="21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7">[0]!INDICE</definedName>
    <definedName name="indice_jcol" localSheetId="18">[0]!INDICE</definedName>
    <definedName name="indice_jcol" localSheetId="19">[0]!INDICE</definedName>
    <definedName name="indice_jcol" localSheetId="11">[0]!INDICE</definedName>
    <definedName name="indice_jcol">[0]!INDICE</definedName>
    <definedName name="Int_CFraExp" localSheetId="21">OFFSET(#REF!,0,0,COUNT(#REF!),1)</definedName>
    <definedName name="Int_CFraExp">OFFSET(#REF!,0,0,COUNT(#REF!),1)</definedName>
    <definedName name="Int_CFraImp" localSheetId="21">OFFSET(#REF!,0,0,COUNT(#REF!),1)</definedName>
    <definedName name="Int_CFraImp">OFFSET(#REF!,0,0,COUNT(#REF!),1)</definedName>
    <definedName name="Int_CPorExp" localSheetId="21">OFFSET(#REF!,0,0,COUNT(#REF!),1)</definedName>
    <definedName name="Int_CPorExp">OFFSET(#REF!,0,0,COUNT(#REF!),1)</definedName>
    <definedName name="Int_CPorImp" localSheetId="21">OFFSET(#REF!,0,0,COUNT(#REF!),1)</definedName>
    <definedName name="Int_CPorImp">OFFSET(#REF!,0,0,COUNT(#REF!),1)</definedName>
    <definedName name="Int_Meses" localSheetId="21">OFFSET(#REF!,0,0,COUNT(#REF!),1)</definedName>
    <definedName name="Int_Meses">OFFSET(#REF!,0,0,COUNT(#REF!),1)</definedName>
    <definedName name="Int_SFra" localSheetId="21">OFFSET(#REF!,0,0,COUNT(#REF!),1)</definedName>
    <definedName name="Int_SFra">OFFSET(#REF!,0,0,COUNT(#REF!),1)</definedName>
    <definedName name="Int_SPor" localSheetId="21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21">#REF!</definedName>
    <definedName name="MSTR.Balance._Día_máx_generación_renovable._Histórico" localSheetId="16">#REF!</definedName>
    <definedName name="MSTR.Balance._Día_máx_generación_renovable._Histórico" localSheetId="17">#REF!</definedName>
    <definedName name="MSTR.Balance._Día_máx_generación_renovable._Histórico" localSheetId="18">#REF!</definedName>
    <definedName name="MSTR.Balance._Día_máx_generación_renovable._Histórico" localSheetId="19">#REF!</definedName>
    <definedName name="MSTR.Balance._Día_máx_generación_renovable._Histórico">#REF!</definedName>
    <definedName name="MSTR.Balance._Día_máx_generación_renovable._Mes" localSheetId="21">#REF!</definedName>
    <definedName name="MSTR.Balance._Día_máx_generación_renovable._Mes" localSheetId="16">#REF!</definedName>
    <definedName name="MSTR.Balance._Día_máx_generación_renovable._Mes" localSheetId="17">#REF!</definedName>
    <definedName name="MSTR.Balance._Día_máx_generación_renovable._Mes" localSheetId="18">#REF!</definedName>
    <definedName name="MSTR.Balance._Día_máx_generación_renovable._Mes" localSheetId="19">#REF!</definedName>
    <definedName name="MSTR.Balance._Día_máx_generación_renovable._Mes">#REF!</definedName>
    <definedName name="MSTR.Balance_B.C._Diario_Peninsular" localSheetId="21">#REF!</definedName>
    <definedName name="MSTR.Balance_B.C._Diario_Peninsular">#REF!</definedName>
    <definedName name="MSTR.Balance_B.C._Horario_Eólico" localSheetId="21">#REF!</definedName>
    <definedName name="MSTR.Balance_B.C._Horario_Eólico">#REF!</definedName>
    <definedName name="MSTR.Balance_B.C._Mensual_Nacional" localSheetId="16">#REF!</definedName>
    <definedName name="MSTR.Balance_B.C._Mensual_Nacional" localSheetId="17">#REF!</definedName>
    <definedName name="MSTR.Balance_B.C._Mensual_Nacional" localSheetId="18">#REF!</definedName>
    <definedName name="MSTR.Balance_B.C._Mensual_Nacional" localSheetId="19">#REF!</definedName>
    <definedName name="MSTR.Balance_B.C._Mensual_Nacional">#REF!</definedName>
    <definedName name="MSTR.Balance_B.C._Mensual_Sistema_eléctrico" localSheetId="21">#REF!</definedName>
    <definedName name="MSTR.Balance_B.C._Mensual_Sistema_eléctrico" localSheetId="16">#REF!</definedName>
    <definedName name="MSTR.Balance_B.C._Mensual_Sistema_eléctrico" localSheetId="17">#REF!</definedName>
    <definedName name="MSTR.Balance_B.C._Mensual_Sistema_eléctrico" localSheetId="18">#REF!</definedName>
    <definedName name="MSTR.Balance_B.C._Mensual_Sistema_eléctrico" localSheetId="19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21">#REF!</definedName>
    <definedName name="MSTR.Emisiones_CO2" localSheetId="16">#REF!</definedName>
    <definedName name="MSTR.Emisiones_CO2" localSheetId="17">#REF!</definedName>
    <definedName name="MSTR.Emisiones_CO2" localSheetId="18">#REF!</definedName>
    <definedName name="MSTR.Emisiones_CO2" localSheetId="19">#REF!</definedName>
    <definedName name="MSTR.Emisiones_CO2">#REF!</definedName>
    <definedName name="MSTR.Emisiones_CO2.1" localSheetId="21">#REF!</definedName>
    <definedName name="MSTR.Emisiones_CO2.1" localSheetId="16">#REF!</definedName>
    <definedName name="MSTR.Emisiones_CO2.1" localSheetId="17">#REF!</definedName>
    <definedName name="MSTR.Emisiones_CO2.1" localSheetId="18">#REF!</definedName>
    <definedName name="MSTR.Emisiones_CO2.1" localSheetId="19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1" xml:space="preserve">                     Dat_02!$A$71:$C$80</definedName>
    <definedName name="MSTR.Energía_generada_y_autoconsumida.2" xml:space="preserve">                     Dat_02!$A$117:$C$125</definedName>
    <definedName name="MSTR.Energía_generada_y_autoconsumida.3" xml:space="preserve">                     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Mes_del_informe.1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Autoconsumo.2" xml:space="preserve">                                 Dat_02!$A$4:$N$13</definedName>
    <definedName name="MSTR.Potencia_instalada_Autoconsumo.3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Potencia_instalada_Total.2" xml:space="preserve">                                 Dat_02!$A$15:$N$31</definedName>
    <definedName name="MSTR.Potencia_instalada_Total.3" xml:space="preserve">                                 Dat_02!$A$48:$N$64</definedName>
    <definedName name="MSTR.Serie_Balance_B.C._Mensual_Peninsular" localSheetId="21">#REF!</definedName>
    <definedName name="MSTR.Serie_Balance_B.C._Mensual_Peninsular" localSheetId="16">#REF!</definedName>
    <definedName name="MSTR.Serie_Balance_B.C._Mensual_Peninsular" localSheetId="17">#REF!</definedName>
    <definedName name="MSTR.Serie_Balance_B.C._Mensual_Peninsular" localSheetId="18">#REF!</definedName>
    <definedName name="MSTR.Serie_Balance_B.C._Mensual_Peninsular" localSheetId="19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localSheetId="21">#REF!</definedName>
    <definedName name="MSTR.Variación_y_componentes_mensual_de_la_demanda" xml:space="preserve">                                   Dat_01!$A$158:$N$161</definedName>
    <definedName name="MSTR.Variación_y_componentes_mensual_de_la_demanda.1" localSheetId="21">#REF!</definedName>
    <definedName name="MSTR.Variación_y_componentes_mensual_de_la_demanda.1" xml:space="preserve">                                   Dat_01!$A$164:$N$167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3">#REF!</definedName>
    <definedName name="nnn" localSheetId="14">#N/A</definedName>
    <definedName name="nnn" localSheetId="15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3">#REF!</definedName>
    <definedName name="nnnn" localSheetId="14">#N/A</definedName>
    <definedName name="nnnn" localSheetId="15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3">#REF!</definedName>
    <definedName name="nu" localSheetId="14">#N/A</definedName>
    <definedName name="nu" localSheetId="15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3">#REF!</definedName>
    <definedName name="PRINCIPAL" localSheetId="14">#N/A</definedName>
    <definedName name="PRINCIPAL" localSheetId="15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21">OFFSET(#REF!,0,0,COUNT(#REF!),1)</definedName>
    <definedName name="Prod" localSheetId="16">OFFSET(#REF!,0,0,COUNT(#REF!),1)</definedName>
    <definedName name="Prod" localSheetId="17">OFFSET(#REF!,0,0,COUNT(#REF!),1)</definedName>
    <definedName name="Prod" localSheetId="18">OFFSET(#REF!,0,0,COUNT(#REF!),1)</definedName>
    <definedName name="Prod" localSheetId="19">OFFSET(#REF!,0,0,COUNT(#REF!),1)</definedName>
    <definedName name="Prod">OFFSET(#REF!,0,0,COUNT(#REF!),1)</definedName>
    <definedName name="Prod_Dia" localSheetId="21">OFFSET(#REF!,0,0,COUNT(#REF!),1)</definedName>
    <definedName name="Prod_Dia" localSheetId="16">OFFSET(#REF!,0,0,COUNT(#REF!),1)</definedName>
    <definedName name="Prod_Dia" localSheetId="17">OFFSET(#REF!,0,0,COUNT(#REF!),1)</definedName>
    <definedName name="Prod_Dia" localSheetId="18">OFFSET(#REF!,0,0,COUNT(#REF!),1)</definedName>
    <definedName name="Prod_Dia" localSheetId="19">OFFSET(#REF!,0,0,COUNT(#REF!),1)</definedName>
    <definedName name="Prod_Dia">OFFSET(#REF!,0,0,COUNT(#REF!),1)</definedName>
    <definedName name="Prod_Inter" localSheetId="21">OFFSET(#REF!,0,0,COUNT(#REF!),1)</definedName>
    <definedName name="Prod_Inter">OFFSET(#REF!,0,0,COUNT(#REF!),1)</definedName>
    <definedName name="Prod_Med" localSheetId="21">OFFSET(#REF!,0,0,COUNT(#REF!),1)</definedName>
    <definedName name="Prod_Med" localSheetId="16">OFFSET(#REF!,0,0,COUNT(#REF!),1)</definedName>
    <definedName name="Prod_Med" localSheetId="17">OFFSET(#REF!,0,0,COUNT(#REF!),1)</definedName>
    <definedName name="Prod_Med" localSheetId="18">OFFSET(#REF!,0,0,COUNT(#REF!),1)</definedName>
    <definedName name="Prod_Med" localSheetId="19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3">#REF!</definedName>
    <definedName name="rosa" localSheetId="14">#N/A</definedName>
    <definedName name="rosa" localSheetId="15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3">#REF!</definedName>
    <definedName name="rosa2" localSheetId="14">#N/A</definedName>
    <definedName name="rosa2" localSheetId="15">#REF!</definedName>
    <definedName name="rosa2" localSheetId="10">#REF!</definedName>
    <definedName name="rosa2" localSheetId="11">#N/A</definedName>
    <definedName name="rosa2">#N/A</definedName>
    <definedName name="sfasfasf" localSheetId="21">[0]!INDICE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7">[0]!INDICE</definedName>
    <definedName name="sfasfasf" localSheetId="18">[0]!INDICE</definedName>
    <definedName name="sfasfasf" localSheetId="19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3">#REF!</definedName>
    <definedName name="VV" localSheetId="14">#N/A</definedName>
    <definedName name="VV" localSheetId="15">#REF!</definedName>
    <definedName name="VV" localSheetId="10">#REF!</definedName>
    <definedName name="VV" localSheetId="11">#N/A</definedName>
    <definedName name="VV">#N/A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6" hidden="1">#REF!</definedName>
    <definedName name="WW" localSheetId="17" hidden="1">#REF!</definedName>
    <definedName name="WW" localSheetId="18" hidden="1">#REF!</definedName>
    <definedName name="WW" localSheetId="19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21">#REF!</definedName>
    <definedName name="xxxxx" localSheetId="12">#N/A</definedName>
    <definedName name="xxxxx" localSheetId="13">#N/A</definedName>
    <definedName name="xxxxx" localSheetId="14">#N/A</definedName>
    <definedName name="xxxxx" localSheetId="15">#N/A</definedName>
    <definedName name="xxxxx" localSheetId="10">#N/A</definedName>
    <definedName name="xxxxx" localSheetId="11">#N/A</definedName>
    <definedName name="xxxxx" xml:space="preserve">                                               Dat_01!$A$85:$T$117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9" i="37" l="1"/>
  <c r="B159" i="37"/>
  <c r="C114" i="37"/>
  <c r="B114" i="37"/>
  <c r="O120" i="18" l="1"/>
  <c r="H78" i="18"/>
  <c r="H77" i="18"/>
  <c r="H76" i="18"/>
  <c r="H75" i="18"/>
  <c r="H74" i="18"/>
  <c r="H73" i="18"/>
  <c r="H72" i="18"/>
  <c r="H71" i="18"/>
  <c r="H70" i="18"/>
  <c r="H69" i="18"/>
  <c r="H68" i="18"/>
  <c r="C68" i="18"/>
  <c r="G68" i="18"/>
  <c r="D68" i="18"/>
  <c r="I27" i="22" l="1"/>
  <c r="N35" i="37"/>
  <c r="G142" i="37" l="1"/>
  <c r="G139" i="37"/>
  <c r="F139" i="37"/>
  <c r="G138" i="37"/>
  <c r="F138" i="37"/>
  <c r="G137" i="37"/>
  <c r="F137" i="37"/>
  <c r="D130" i="37"/>
  <c r="B130" i="37"/>
  <c r="D129" i="37"/>
  <c r="B129" i="37"/>
  <c r="D128" i="37"/>
  <c r="B128" i="37"/>
  <c r="G97" i="37"/>
  <c r="G93" i="37"/>
  <c r="F93" i="37"/>
  <c r="G92" i="37"/>
  <c r="F92" i="37"/>
  <c r="D85" i="37"/>
  <c r="B85" i="37"/>
  <c r="D84" i="37"/>
  <c r="B84" i="37"/>
  <c r="D83" i="37"/>
  <c r="B83" i="37"/>
  <c r="N68" i="37"/>
  <c r="M68" i="37"/>
  <c r="L68" i="37"/>
  <c r="K68" i="37"/>
  <c r="J68" i="37"/>
  <c r="I68" i="37"/>
  <c r="H68" i="37"/>
  <c r="G68" i="37"/>
  <c r="F68" i="37"/>
  <c r="E68" i="37"/>
  <c r="D68" i="37"/>
  <c r="C68" i="37"/>
  <c r="B68" i="37"/>
  <c r="N67" i="37"/>
  <c r="M67" i="37"/>
  <c r="L67" i="37"/>
  <c r="K67" i="37"/>
  <c r="J67" i="37"/>
  <c r="I67" i="37"/>
  <c r="H67" i="37"/>
  <c r="G67" i="37"/>
  <c r="F67" i="37"/>
  <c r="E67" i="37"/>
  <c r="D67" i="37"/>
  <c r="C67" i="37"/>
  <c r="B67" i="37"/>
  <c r="O46" i="37"/>
  <c r="M35" i="37"/>
  <c r="L35" i="37"/>
  <c r="K35" i="37"/>
  <c r="J35" i="37"/>
  <c r="I35" i="37"/>
  <c r="H35" i="37"/>
  <c r="G35" i="37"/>
  <c r="F35" i="37"/>
  <c r="E35" i="37"/>
  <c r="D35" i="37"/>
  <c r="C35" i="37"/>
  <c r="B35" i="37"/>
  <c r="N34" i="37"/>
  <c r="M34" i="37"/>
  <c r="L34" i="37"/>
  <c r="K34" i="37"/>
  <c r="J34" i="37"/>
  <c r="I34" i="37"/>
  <c r="H34" i="37"/>
  <c r="G34" i="37"/>
  <c r="F34" i="37"/>
  <c r="E34" i="37"/>
  <c r="D34" i="37"/>
  <c r="C34" i="37"/>
  <c r="B34" i="37"/>
  <c r="O13" i="37"/>
  <c r="C128" i="37" l="1"/>
  <c r="C130" i="37"/>
  <c r="C83" i="37"/>
  <c r="D133" i="37"/>
  <c r="C85" i="37"/>
  <c r="B88" i="37"/>
  <c r="C84" i="37"/>
  <c r="C88" i="37" s="1"/>
  <c r="B133" i="37"/>
  <c r="E129" i="37" s="1"/>
  <c r="D88" i="37"/>
  <c r="C129" i="37"/>
  <c r="C133" i="37" l="1"/>
  <c r="E130" i="37"/>
  <c r="E128" i="37"/>
  <c r="E133" i="37" s="1"/>
  <c r="E83" i="37"/>
  <c r="E85" i="37"/>
  <c r="E84" i="37"/>
  <c r="E88" i="37" l="1"/>
  <c r="L73" i="18"/>
  <c r="F23" i="31" l="1"/>
  <c r="F23" i="29"/>
  <c r="F10" i="31"/>
  <c r="E8" i="31"/>
  <c r="C10" i="30"/>
  <c r="I26" i="22" a="1"/>
  <c r="I26" i="22" s="1"/>
  <c r="I25" i="22" a="1"/>
  <c r="I25" i="22" s="1"/>
  <c r="H26" i="22"/>
  <c r="H25" i="22"/>
  <c r="F29" i="22"/>
  <c r="G26" i="22"/>
  <c r="H27" i="22" l="1"/>
  <c r="L80" i="18"/>
  <c r="L79" i="18"/>
  <c r="K79" i="18" s="1"/>
  <c r="N79" i="18" s="1"/>
  <c r="O79" i="18" s="1"/>
  <c r="K73" i="18"/>
  <c r="E47" i="18"/>
  <c r="D47" i="18"/>
  <c r="F47" i="18" s="1"/>
  <c r="D48" i="18"/>
  <c r="F48" i="18" s="1"/>
  <c r="C10" i="5"/>
  <c r="C10" i="2"/>
  <c r="M80" i="18" l="1"/>
  <c r="K80" i="18"/>
  <c r="N80" i="18" s="1"/>
  <c r="O80" i="18" s="1"/>
  <c r="M79" i="18"/>
  <c r="B48" i="18"/>
  <c r="C48" i="18" l="1"/>
  <c r="O170" i="18" l="1"/>
  <c r="F10" i="29"/>
  <c r="E8" i="29"/>
  <c r="M73" i="18"/>
  <c r="L74" i="18"/>
  <c r="M74" i="18" s="1"/>
  <c r="O172" i="18" l="1"/>
  <c r="O176" i="18"/>
  <c r="O175" i="18"/>
  <c r="K74" i="18"/>
  <c r="N74" i="18" s="1"/>
  <c r="O74" i="18" s="1"/>
  <c r="N73" i="18"/>
  <c r="O73" i="18" s="1"/>
  <c r="O177" i="18" l="1"/>
  <c r="O122" i="18"/>
  <c r="O121" i="18"/>
  <c r="O173" i="18" s="1"/>
  <c r="E48" i="18"/>
  <c r="O153" i="18" l="1"/>
  <c r="O150" i="18"/>
  <c r="O152" i="18"/>
  <c r="O151" i="18"/>
  <c r="O174" i="18"/>
  <c r="N170" i="18"/>
  <c r="O171" i="18"/>
  <c r="N172" i="18" l="1"/>
  <c r="N176" i="18"/>
  <c r="N175" i="18"/>
  <c r="C10" i="27"/>
  <c r="N177" i="18" l="1"/>
  <c r="K15" i="22"/>
  <c r="K12" i="22"/>
  <c r="G25" i="22" l="1" a="1"/>
  <c r="G25" i="22" s="1"/>
  <c r="G27" i="22" l="1"/>
  <c r="D79" i="18" l="1"/>
  <c r="D78" i="18"/>
  <c r="D69" i="18"/>
  <c r="G24" i="22" l="1"/>
  <c r="F26" i="22"/>
  <c r="F25" i="22"/>
  <c r="M29" i="22"/>
  <c r="L29" i="22"/>
  <c r="K29" i="22"/>
  <c r="J29" i="22"/>
  <c r="I29" i="22"/>
  <c r="H29" i="22"/>
  <c r="G29" i="22"/>
  <c r="G28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78" i="18" l="1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5" i="18" l="1"/>
  <c r="O137" i="18"/>
  <c r="O142" i="18"/>
  <c r="O144" i="18"/>
  <c r="O146" i="18"/>
  <c r="O148" i="18"/>
  <c r="O136" i="18"/>
  <c r="O138" i="18"/>
  <c r="O141" i="18"/>
  <c r="O143" i="18"/>
  <c r="O145" i="18"/>
  <c r="O147" i="18"/>
  <c r="O149" i="18"/>
  <c r="O123" i="18"/>
  <c r="O155" i="18" l="1"/>
  <c r="O119" i="18"/>
  <c r="M24" i="22" l="1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40" i="18" l="1"/>
  <c r="N140" i="18"/>
  <c r="M140" i="18"/>
  <c r="L140" i="18"/>
  <c r="K140" i="18"/>
  <c r="J140" i="18"/>
  <c r="I140" i="18"/>
  <c r="H140" i="18"/>
  <c r="G140" i="18"/>
  <c r="F140" i="18"/>
  <c r="E140" i="18"/>
  <c r="D140" i="18"/>
  <c r="C140" i="18"/>
  <c r="N122" i="18"/>
  <c r="M122" i="18"/>
  <c r="L122" i="18"/>
  <c r="K122" i="18"/>
  <c r="J122" i="18"/>
  <c r="I122" i="18"/>
  <c r="H122" i="18"/>
  <c r="G122" i="18"/>
  <c r="F122" i="18"/>
  <c r="E122" i="18"/>
  <c r="D122" i="18"/>
  <c r="C122" i="18"/>
  <c r="O127" i="18" l="1"/>
  <c r="O124" i="18"/>
  <c r="N121" i="18"/>
  <c r="N173" i="18" s="1"/>
  <c r="O125" i="18"/>
  <c r="O126" i="18"/>
  <c r="O128" i="18"/>
  <c r="O129" i="18"/>
  <c r="O130" i="18"/>
  <c r="O131" i="18"/>
  <c r="O132" i="18"/>
  <c r="O133" i="18"/>
  <c r="O134" i="18"/>
  <c r="N153" i="18" l="1"/>
  <c r="N150" i="18"/>
  <c r="N152" i="18"/>
  <c r="N151" i="18"/>
  <c r="N174" i="18"/>
  <c r="M170" i="18"/>
  <c r="N171" i="18"/>
  <c r="N135" i="18"/>
  <c r="N137" i="18"/>
  <c r="N142" i="18"/>
  <c r="N144" i="18"/>
  <c r="N146" i="18"/>
  <c r="N148" i="18"/>
  <c r="N136" i="18"/>
  <c r="N141" i="18"/>
  <c r="N143" i="18"/>
  <c r="N145" i="18"/>
  <c r="N147" i="18"/>
  <c r="N149" i="18"/>
  <c r="N138" i="18"/>
  <c r="O139" i="18"/>
  <c r="N124" i="18"/>
  <c r="N127" i="18"/>
  <c r="M121" i="18"/>
  <c r="M173" i="18" s="1"/>
  <c r="N123" i="18"/>
  <c r="N125" i="18"/>
  <c r="N126" i="18"/>
  <c r="N128" i="18"/>
  <c r="N129" i="18"/>
  <c r="N130" i="18"/>
  <c r="N131" i="18"/>
  <c r="N132" i="18"/>
  <c r="N134" i="18"/>
  <c r="N133" i="18"/>
  <c r="M176" i="18" l="1"/>
  <c r="M175" i="18"/>
  <c r="M172" i="18"/>
  <c r="N155" i="18"/>
  <c r="N120" i="18"/>
  <c r="M153" i="18"/>
  <c r="M151" i="18"/>
  <c r="M150" i="18"/>
  <c r="M152" i="18"/>
  <c r="N119" i="18"/>
  <c r="L170" i="18"/>
  <c r="M171" i="18"/>
  <c r="M135" i="18"/>
  <c r="M137" i="18"/>
  <c r="M142" i="18"/>
  <c r="M144" i="18"/>
  <c r="M146" i="18"/>
  <c r="M148" i="18"/>
  <c r="M136" i="18"/>
  <c r="M138" i="18"/>
  <c r="M141" i="18"/>
  <c r="M143" i="18"/>
  <c r="M145" i="18"/>
  <c r="M147" i="18"/>
  <c r="M149" i="18"/>
  <c r="M124" i="18"/>
  <c r="M127" i="18"/>
  <c r="N139" i="18"/>
  <c r="L121" i="18"/>
  <c r="L173" i="18" s="1"/>
  <c r="M123" i="18"/>
  <c r="M125" i="18"/>
  <c r="M126" i="18"/>
  <c r="M128" i="18"/>
  <c r="M129" i="18"/>
  <c r="M130" i="18"/>
  <c r="M131" i="18"/>
  <c r="M132" i="18"/>
  <c r="M133" i="18"/>
  <c r="M134" i="18"/>
  <c r="L176" i="18" l="1"/>
  <c r="L175" i="18"/>
  <c r="L172" i="18"/>
  <c r="M155" i="18"/>
  <c r="M177" i="18"/>
  <c r="L153" i="18"/>
  <c r="L151" i="18"/>
  <c r="L150" i="18"/>
  <c r="L152" i="18"/>
  <c r="M174" i="18"/>
  <c r="M120" i="18"/>
  <c r="K170" i="18"/>
  <c r="L171" i="18"/>
  <c r="M119" i="18"/>
  <c r="L142" i="18"/>
  <c r="L149" i="18"/>
  <c r="L143" i="18"/>
  <c r="L144" i="18"/>
  <c r="L146" i="18"/>
  <c r="L148" i="18"/>
  <c r="L136" i="18"/>
  <c r="L138" i="18"/>
  <c r="L145" i="18"/>
  <c r="L141" i="18"/>
  <c r="L135" i="18"/>
  <c r="L137" i="18"/>
  <c r="L147" i="18"/>
  <c r="L127" i="18"/>
  <c r="L124" i="18"/>
  <c r="M139" i="18"/>
  <c r="K121" i="18"/>
  <c r="K173" i="18" s="1"/>
  <c r="L123" i="18"/>
  <c r="L126" i="18"/>
  <c r="L130" i="18"/>
  <c r="L125" i="18"/>
  <c r="L129" i="18"/>
  <c r="L133" i="18"/>
  <c r="L128" i="18"/>
  <c r="L132" i="18"/>
  <c r="L131" i="18"/>
  <c r="L134" i="18"/>
  <c r="E3" i="16"/>
  <c r="K172" i="18" l="1"/>
  <c r="K176" i="18"/>
  <c r="K175" i="18"/>
  <c r="L177" i="18"/>
  <c r="L155" i="18"/>
  <c r="L174" i="18"/>
  <c r="K153" i="18"/>
  <c r="K151" i="18"/>
  <c r="K150" i="18"/>
  <c r="K152" i="18"/>
  <c r="L120" i="18"/>
  <c r="E3" i="30"/>
  <c r="D2" i="28"/>
  <c r="G3" i="29"/>
  <c r="E3" i="27"/>
  <c r="G3" i="31"/>
  <c r="D2" i="32"/>
  <c r="J170" i="18"/>
  <c r="K171" i="18"/>
  <c r="L119" i="18"/>
  <c r="M3" i="22"/>
  <c r="G8" i="22" s="1"/>
  <c r="I8" i="22" s="1"/>
  <c r="K8" i="22" s="1"/>
  <c r="M8" i="22" s="1"/>
  <c r="E3" i="25"/>
  <c r="E3" i="26"/>
  <c r="K136" i="18"/>
  <c r="K138" i="18"/>
  <c r="K141" i="18"/>
  <c r="K143" i="18"/>
  <c r="K145" i="18"/>
  <c r="K147" i="18"/>
  <c r="K149" i="18"/>
  <c r="K135" i="18"/>
  <c r="K137" i="18"/>
  <c r="K142" i="18"/>
  <c r="K144" i="18"/>
  <c r="K146" i="18"/>
  <c r="K148" i="18"/>
  <c r="K124" i="18"/>
  <c r="K127" i="18"/>
  <c r="L139" i="18"/>
  <c r="E3" i="13"/>
  <c r="J121" i="18"/>
  <c r="J173" i="18" s="1"/>
  <c r="K123" i="18"/>
  <c r="K125" i="18"/>
  <c r="K126" i="18"/>
  <c r="K128" i="18"/>
  <c r="K129" i="18"/>
  <c r="K130" i="18"/>
  <c r="K131" i="18"/>
  <c r="K132" i="18"/>
  <c r="K133" i="18"/>
  <c r="K134" i="18"/>
  <c r="K3" i="10"/>
  <c r="F7" i="10" s="1"/>
  <c r="G8" i="10" s="1"/>
  <c r="E3" i="5"/>
  <c r="E3" i="7"/>
  <c r="E3" i="2"/>
  <c r="K3" i="8"/>
  <c r="F7" i="8" s="1"/>
  <c r="G8" i="8" s="1"/>
  <c r="G62" i="18"/>
  <c r="G78" i="18"/>
  <c r="J172" i="18" l="1"/>
  <c r="J176" i="18"/>
  <c r="J175" i="18"/>
  <c r="K155" i="18"/>
  <c r="K177" i="18"/>
  <c r="K120" i="18"/>
  <c r="K174" i="18"/>
  <c r="J153" i="18"/>
  <c r="J151" i="18"/>
  <c r="J150" i="18"/>
  <c r="J152" i="18"/>
  <c r="K119" i="18"/>
  <c r="I170" i="18"/>
  <c r="J171" i="18"/>
  <c r="C56" i="18"/>
  <c r="C62" i="18"/>
  <c r="C60" i="18"/>
  <c r="J138" i="18"/>
  <c r="J137" i="18"/>
  <c r="J143" i="18"/>
  <c r="J149" i="18"/>
  <c r="J141" i="18"/>
  <c r="J145" i="18"/>
  <c r="J147" i="18"/>
  <c r="J135" i="18"/>
  <c r="J142" i="18"/>
  <c r="J144" i="18"/>
  <c r="J146" i="18"/>
  <c r="J148" i="18"/>
  <c r="J136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4" i="18"/>
  <c r="J127" i="18"/>
  <c r="K139" i="18"/>
  <c r="I121" i="18"/>
  <c r="I173" i="18" s="1"/>
  <c r="J123" i="18"/>
  <c r="J125" i="18"/>
  <c r="J126" i="18"/>
  <c r="J128" i="18"/>
  <c r="J129" i="18"/>
  <c r="J130" i="18"/>
  <c r="J131" i="18"/>
  <c r="J132" i="18"/>
  <c r="J133" i="18"/>
  <c r="J134" i="18"/>
  <c r="I176" i="18" l="1"/>
  <c r="I175" i="18"/>
  <c r="I172" i="18"/>
  <c r="J177" i="18"/>
  <c r="J155" i="18"/>
  <c r="J174" i="18"/>
  <c r="J120" i="18"/>
  <c r="I153" i="18"/>
  <c r="I150" i="18"/>
  <c r="I152" i="18"/>
  <c r="I151" i="18"/>
  <c r="H170" i="18"/>
  <c r="I171" i="18"/>
  <c r="J119" i="18"/>
  <c r="K52" i="18"/>
  <c r="K53" i="18"/>
  <c r="L53" i="18"/>
  <c r="L52" i="18"/>
  <c r="I141" i="18"/>
  <c r="I143" i="18"/>
  <c r="I145" i="18"/>
  <c r="I147" i="18"/>
  <c r="I149" i="18"/>
  <c r="I135" i="18"/>
  <c r="I137" i="18"/>
  <c r="I142" i="18"/>
  <c r="I144" i="18"/>
  <c r="I146" i="18"/>
  <c r="I148" i="18"/>
  <c r="I136" i="18"/>
  <c r="I138" i="18"/>
  <c r="I124" i="18"/>
  <c r="I127" i="18"/>
  <c r="J139" i="18"/>
  <c r="H121" i="18"/>
  <c r="H173" i="18" s="1"/>
  <c r="I123" i="18"/>
  <c r="I125" i="18"/>
  <c r="I126" i="18"/>
  <c r="I128" i="18"/>
  <c r="I129" i="18"/>
  <c r="I130" i="18"/>
  <c r="I131" i="18"/>
  <c r="I132" i="18"/>
  <c r="I133" i="18"/>
  <c r="I134" i="18"/>
  <c r="H62" i="18"/>
  <c r="C63" i="18"/>
  <c r="H175" i="18" l="1"/>
  <c r="H172" i="18"/>
  <c r="H176" i="18"/>
  <c r="H177" i="18" s="1"/>
  <c r="I177" i="18"/>
  <c r="I155" i="18"/>
  <c r="I120" i="18"/>
  <c r="H153" i="18"/>
  <c r="H150" i="18"/>
  <c r="H152" i="18"/>
  <c r="H151" i="18"/>
  <c r="I174" i="18"/>
  <c r="I119" i="18"/>
  <c r="H171" i="18"/>
  <c r="G170" i="18"/>
  <c r="H174" i="18"/>
  <c r="H147" i="18"/>
  <c r="H149" i="18"/>
  <c r="H141" i="18"/>
  <c r="H143" i="18"/>
  <c r="H145" i="18"/>
  <c r="H144" i="18"/>
  <c r="H135" i="18"/>
  <c r="H137" i="18"/>
  <c r="H148" i="18"/>
  <c r="H136" i="18"/>
  <c r="H138" i="18"/>
  <c r="H142" i="18"/>
  <c r="H146" i="18"/>
  <c r="H127" i="18"/>
  <c r="H124" i="18"/>
  <c r="I139" i="18"/>
  <c r="G121" i="18"/>
  <c r="G173" i="18" s="1"/>
  <c r="H123" i="18"/>
  <c r="H125" i="18"/>
  <c r="H129" i="18"/>
  <c r="H133" i="18"/>
  <c r="H130" i="18"/>
  <c r="H128" i="18"/>
  <c r="H132" i="18"/>
  <c r="H134" i="18"/>
  <c r="H131" i="18"/>
  <c r="H126" i="18"/>
  <c r="K8" i="10"/>
  <c r="I8" i="10"/>
  <c r="G175" i="18" l="1"/>
  <c r="G172" i="18"/>
  <c r="G176" i="18"/>
  <c r="H155" i="18"/>
  <c r="H120" i="18"/>
  <c r="G153" i="18"/>
  <c r="G150" i="18"/>
  <c r="G152" i="18"/>
  <c r="G151" i="18"/>
  <c r="H119" i="18"/>
  <c r="G171" i="18"/>
  <c r="F170" i="18"/>
  <c r="G141" i="18"/>
  <c r="G135" i="18"/>
  <c r="G137" i="18"/>
  <c r="G142" i="18"/>
  <c r="G144" i="18"/>
  <c r="G146" i="18"/>
  <c r="G148" i="18"/>
  <c r="G136" i="18"/>
  <c r="G138" i="18"/>
  <c r="G143" i="18"/>
  <c r="G145" i="18"/>
  <c r="G147" i="18"/>
  <c r="G149" i="18"/>
  <c r="G127" i="18"/>
  <c r="G124" i="18"/>
  <c r="H139" i="18"/>
  <c r="F121" i="18"/>
  <c r="F173" i="18" s="1"/>
  <c r="G123" i="18"/>
  <c r="G125" i="18"/>
  <c r="G126" i="18"/>
  <c r="G128" i="18"/>
  <c r="G129" i="18"/>
  <c r="G130" i="18"/>
  <c r="G131" i="18"/>
  <c r="G132" i="18"/>
  <c r="G133" i="18"/>
  <c r="G134" i="18"/>
  <c r="K8" i="8"/>
  <c r="I8" i="8"/>
  <c r="F175" i="18" l="1"/>
  <c r="F172" i="18"/>
  <c r="F176" i="18"/>
  <c r="G155" i="18"/>
  <c r="G177" i="18"/>
  <c r="G120" i="18"/>
  <c r="F153" i="18"/>
  <c r="F150" i="18"/>
  <c r="F152" i="18"/>
  <c r="F151" i="18"/>
  <c r="G174" i="18"/>
  <c r="G119" i="18"/>
  <c r="F171" i="18"/>
  <c r="E170" i="18"/>
  <c r="F141" i="18"/>
  <c r="F137" i="18"/>
  <c r="F138" i="18"/>
  <c r="F135" i="18"/>
  <c r="F142" i="18"/>
  <c r="F144" i="18"/>
  <c r="F146" i="18"/>
  <c r="F148" i="18"/>
  <c r="F143" i="18"/>
  <c r="F145" i="18"/>
  <c r="F147" i="18"/>
  <c r="F149" i="18"/>
  <c r="F136" i="18"/>
  <c r="F124" i="18"/>
  <c r="F127" i="18"/>
  <c r="G139" i="18"/>
  <c r="E121" i="18"/>
  <c r="E173" i="18" s="1"/>
  <c r="F123" i="18"/>
  <c r="F125" i="18"/>
  <c r="F126" i="18"/>
  <c r="F128" i="18"/>
  <c r="F129" i="18"/>
  <c r="F130" i="18"/>
  <c r="F131" i="18"/>
  <c r="F132" i="18"/>
  <c r="F133" i="18"/>
  <c r="F134" i="18"/>
  <c r="E12" i="16"/>
  <c r="E16" i="16"/>
  <c r="E15" i="16"/>
  <c r="E14" i="16"/>
  <c r="E13" i="16"/>
  <c r="E11" i="16"/>
  <c r="E9" i="16"/>
  <c r="E8" i="16"/>
  <c r="E175" i="18" l="1"/>
  <c r="E176" i="18"/>
  <c r="E177" i="18" s="1"/>
  <c r="E172" i="18"/>
  <c r="F177" i="18"/>
  <c r="F120" i="18"/>
  <c r="F155" i="18"/>
  <c r="E153" i="18"/>
  <c r="E151" i="18"/>
  <c r="E152" i="18"/>
  <c r="E150" i="18"/>
  <c r="F174" i="18"/>
  <c r="F119" i="18"/>
  <c r="D170" i="18"/>
  <c r="E171" i="18"/>
  <c r="E142" i="18"/>
  <c r="E144" i="18"/>
  <c r="E146" i="18"/>
  <c r="E148" i="18"/>
  <c r="E136" i="18"/>
  <c r="E138" i="18"/>
  <c r="E141" i="18"/>
  <c r="E143" i="18"/>
  <c r="E145" i="18"/>
  <c r="E147" i="18"/>
  <c r="E149" i="18"/>
  <c r="E135" i="18"/>
  <c r="E137" i="18"/>
  <c r="E124" i="18"/>
  <c r="E127" i="18"/>
  <c r="F139" i="18"/>
  <c r="D121" i="18"/>
  <c r="D173" i="18" s="1"/>
  <c r="E123" i="18"/>
  <c r="E125" i="18"/>
  <c r="E126" i="18"/>
  <c r="E128" i="18"/>
  <c r="E129" i="18"/>
  <c r="E130" i="18"/>
  <c r="E131" i="18"/>
  <c r="E132" i="18"/>
  <c r="E133" i="18"/>
  <c r="E134" i="18"/>
  <c r="D175" i="18" l="1"/>
  <c r="D176" i="18"/>
  <c r="D172" i="18"/>
  <c r="E155" i="18"/>
  <c r="D153" i="18"/>
  <c r="D151" i="18"/>
  <c r="D152" i="18"/>
  <c r="D150" i="18"/>
  <c r="E174" i="18"/>
  <c r="E120" i="18"/>
  <c r="D171" i="18"/>
  <c r="C170" i="18"/>
  <c r="C121" i="18"/>
  <c r="C173" i="18" s="1"/>
  <c r="E119" i="18"/>
  <c r="D146" i="18"/>
  <c r="D143" i="18"/>
  <c r="D142" i="18"/>
  <c r="D136" i="18"/>
  <c r="D138" i="18"/>
  <c r="D141" i="18"/>
  <c r="D147" i="18"/>
  <c r="D135" i="18"/>
  <c r="D137" i="18"/>
  <c r="D144" i="18"/>
  <c r="D148" i="18"/>
  <c r="D145" i="18"/>
  <c r="D149" i="18"/>
  <c r="D127" i="18"/>
  <c r="D124" i="18"/>
  <c r="E139" i="18"/>
  <c r="D123" i="18"/>
  <c r="D125" i="18"/>
  <c r="D128" i="18"/>
  <c r="D132" i="18"/>
  <c r="D133" i="18"/>
  <c r="D131" i="18"/>
  <c r="D126" i="18"/>
  <c r="D130" i="18"/>
  <c r="D129" i="18"/>
  <c r="D134" i="18"/>
  <c r="C172" i="18" l="1"/>
  <c r="C176" i="18"/>
  <c r="C175" i="18"/>
  <c r="D155" i="18"/>
  <c r="D177" i="18"/>
  <c r="C135" i="18"/>
  <c r="C153" i="18"/>
  <c r="C152" i="18"/>
  <c r="C151" i="18"/>
  <c r="C150" i="18"/>
  <c r="C149" i="18"/>
  <c r="C134" i="18"/>
  <c r="D174" i="18"/>
  <c r="D120" i="18"/>
  <c r="C136" i="18"/>
  <c r="C171" i="18"/>
  <c r="D119" i="18"/>
  <c r="C146" i="18"/>
  <c r="C123" i="18"/>
  <c r="C145" i="18"/>
  <c r="C133" i="18"/>
  <c r="C144" i="18"/>
  <c r="C142" i="18"/>
  <c r="C143" i="18"/>
  <c r="C141" i="18"/>
  <c r="C148" i="18"/>
  <c r="C138" i="18"/>
  <c r="C147" i="18"/>
  <c r="C137" i="18"/>
  <c r="C124" i="18"/>
  <c r="C126" i="18"/>
  <c r="D139" i="18"/>
  <c r="C127" i="18"/>
  <c r="C129" i="18"/>
  <c r="C125" i="18"/>
  <c r="C131" i="18"/>
  <c r="C130" i="18"/>
  <c r="C128" i="18"/>
  <c r="C132" i="18"/>
  <c r="C177" i="18" l="1"/>
  <c r="C174" i="18"/>
  <c r="C120" i="18"/>
  <c r="C155" i="18"/>
  <c r="C119" i="18"/>
  <c r="C139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<sst xmlns="http://schemas.openxmlformats.org/spreadsheetml/2006/main" count="775" uniqueCount="223">
  <si>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</si>
  <si>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</si>
  <si>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</si>
  <si>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</si>
  <si>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</si>
  <si>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</si>
  <si>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</si>
  <si>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</si>
  <si>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</si>
  <si>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</si>
  <si>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</si>
  <si>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</si>
  <si>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</si>
  <si>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</si>
  <si>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</si>
  <si>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</si>
  <si>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</si>
  <si>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</si>
  <si>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</si>
  <si>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</si>
  <si>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</si>
  <si>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</si>
  <si>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</si>
  <si>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</si>
  <si>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</si>
  <si>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</si>
  <si>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</si>
  <si>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</si>
  <si>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</si>
  <si>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</si>
  <si>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</si>
  <si>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</si>
  <si>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</si>
  <si>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</si>
  <si>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</si>
  <si>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</si>
  <si>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</si>
  <si>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</si>
  <si>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</si>
  <si>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</si>
  <si>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</si>
  <si>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</si>
  <si>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</si>
  <si>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</si>
  <si>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</si>
  <si>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</si>
  <si>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</si>
  <si>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</si>
  <si>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</si>
  <si>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</si>
  <si>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</si>
  <si>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</si>
  <si>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</si>
  <si>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</si>
  <si>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</si>
  <si>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</si>
  <si>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</si>
  <si>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</si>
  <si>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</si>
  <si>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</si>
  <si>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</si>
  <si>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</si>
  <si>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</si>
  <si>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</si>
  <si>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</si>
  <si>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</si>
  <si>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</si>
  <si>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</si>
  <si>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</si>
  <si>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</si>
  <si>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</si>
  <si>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</si>
  <si>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</si>
  <si>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</si>
  <si>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</si>
  <si>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</si>
  <si>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</si>
  <si>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</si>
  <si>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</si>
  <si>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</si>
  <si>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</si>
  <si>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</si>
  <si>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</si>
  <si>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</si>
  <si>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</si>
  <si>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</si>
  <si>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</si>
  <si>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</si>
  <si>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</si>
  <si>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</si>
  <si>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</si>
  <si>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</si>
  <si>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</si>
  <si>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</si>
  <si>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</si>
  <si>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</si>
  <si>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</si>
  <si>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</si>
  <si>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</si>
  <si>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</si>
  <si>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</si>
  <si>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</si>
  <si>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</si>
  <si>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</si>
  <si>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</si>
  <si>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</si>
  <si>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</si>
  <si>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</si>
  <si>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</si>
  <si>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</si>
  <si>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</si>
  <si>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</si>
  <si>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</si>
  <si>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</si>
  <si>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</si>
  <si>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</si>
  <si>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</si>
  <si>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</si>
  <si>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</si>
  <si>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</si>
  <si>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</si>
  <si>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</si>
  <si>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</si>
  <si>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</si>
  <si>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</si>
  <si>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</si>
  <si>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</si>
  <si>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</si>
  <si>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</si>
  <si>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</si>
  <si>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Junio 2025</t>
  </si>
  <si>
    <t>Julio 2025</t>
  </si>
  <si>
    <t>Carga baterías</t>
  </si>
  <si>
    <t>Agosto 2025</t>
  </si>
  <si>
    <t>Septiembre 2025</t>
  </si>
  <si>
    <t>Octubre 2025</t>
  </si>
  <si>
    <t>Estructura de energía de almacenamiento Islas Canarias</t>
  </si>
  <si>
    <t>Saldo almacenamiento Baleares</t>
  </si>
  <si>
    <t>Saldo almacenamiento Canarias</t>
  </si>
  <si>
    <t>Evolución de la energía de almacenamiento (MWh)</t>
  </si>
  <si>
    <t>Estructura de potencia instalada de almacenamiento 
Islas Canarias</t>
  </si>
  <si>
    <t>Evolución de la energía de almacenamiento 
Islas Canarias</t>
  </si>
  <si>
    <t>Balance de energía de almacenamiento 
Islas Canarias</t>
  </si>
  <si>
    <t>Saldo total Islas Canarias</t>
  </si>
  <si>
    <t>Abril 2026</t>
  </si>
  <si>
    <t>Noviembre 2025</t>
  </si>
  <si>
    <t>Diciembre 2025</t>
  </si>
  <si>
    <t>Enero 2026</t>
  </si>
  <si>
    <t>Febrero 2026</t>
  </si>
  <si>
    <t>Marzo 2026</t>
  </si>
  <si>
    <t>Mayo 2026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</si>
  <si>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</si>
  <si>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</si>
  <si>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</si>
  <si>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</si>
  <si>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</si>
  <si>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Sistema Extrapeninsular</t>
  </si>
  <si>
    <t>Potencia instalada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</si>
  <si>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</si>
  <si>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</si>
  <si>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</si>
  <si>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</si>
  <si>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</si>
  <si>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</si>
  <si>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</si>
  <si>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2025 Diciembre</t>
  </si>
  <si>
    <t>2026 Enero</t>
  </si>
  <si>
    <t>2026 Febrero</t>
  </si>
  <si>
    <t>2026 Marzo</t>
  </si>
  <si>
    <t>Combustible</t>
  </si>
  <si>
    <t>Otras Renovables</t>
  </si>
  <si>
    <t>Solar Fotovoltaica</t>
  </si>
  <si>
    <t>Solar Térmica</t>
  </si>
  <si>
    <t>Ciclo Combinado</t>
  </si>
  <si>
    <t>Motor diésel</t>
  </si>
  <si>
    <t>Residuos no Renovables</t>
  </si>
  <si>
    <t>Residuos Renovables</t>
  </si>
  <si>
    <t>Turbina de Gas</t>
  </si>
  <si>
    <t>Potencia instalada autoconsumo Islas Baleares porcentaje sobre total</t>
  </si>
  <si>
    <t>Potencia autoconsumo/Potencia total</t>
  </si>
  <si>
    <t>Turbina de Vapor</t>
  </si>
  <si>
    <t>Potencia instalada autoconsumo Islas Canarias porcentaje sobre total</t>
  </si>
  <si>
    <t>Generación autoconsumo Islas Baleares (MWh)</t>
  </si>
  <si>
    <t>Energia Generada MWh</t>
  </si>
  <si>
    <t>Energía autoconsumida</t>
  </si>
  <si>
    <t>Combustible Desglose Autoconsumo</t>
  </si>
  <si>
    <t>BIG</t>
  </si>
  <si>
    <t>EOT</t>
  </si>
  <si>
    <t>GFP</t>
  </si>
  <si>
    <t>GSN</t>
  </si>
  <si>
    <t>SOF</t>
  </si>
  <si>
    <t>SOT</t>
  </si>
  <si>
    <t>Total MWh</t>
  </si>
  <si>
    <t>Vertida MWh</t>
  </si>
  <si>
    <t>Autoconsumida MWh</t>
  </si>
  <si>
    <t>Total %</t>
  </si>
  <si>
    <t>Generación total autoconsumo</t>
  </si>
  <si>
    <t>Solar térmica</t>
  </si>
  <si>
    <t>Generación total Islas Baleares (MWh)</t>
  </si>
  <si>
    <t>Generación total</t>
  </si>
  <si>
    <t>Renovables con autoconsumo</t>
  </si>
  <si>
    <t>Generación autoconsumo Islas Canarias (GWh)</t>
  </si>
  <si>
    <t>HID</t>
  </si>
  <si>
    <t>Generación total Islas Canarias (MWh)</t>
  </si>
  <si>
    <t>2026 Abril</t>
  </si>
  <si>
    <t>31/05/2026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</si>
  <si>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ut="06/09/2026 10:26:38" si="2.00000001152e26f25fe5567e76ead069ddd03b0cd1e1f5356cbc3cab77bc944bb54d2c44762bd07a4283c3b972a4fdf3d6f5eeda377c3bd57407b623644c2b59e5c9ad59f250a63f26502ca27bd690b27db9c6517ebab230be7cac4d4e40a1daa5a2c70285f533afe3770355674842b577423a50e18fb2c6562ceb2c4c2081aa59f2b00e439ee9ca7bb1cebb9ab6741fe4a306c7c92dad0c91bcb63ee42cc224e49b29a8c1f5d69b0c582852a7419317ce2e6590c71c675cfdbf14699c71d23f5d0c0891ca72dcd4994359f3e2f5a1c88ba799973825b8f6ae109f5859bcd14fa2af63d5d48ac5b9f2be639bb2aa5b594c0a103f5d696d5fdece5729f2e009ce52c4898d081f44611a98b96919bc3f85a23558b6e9b91c4c13f5c1dc2b9ec19832e7.p-3082.0.1_-3082.0.1_0.1.Europe/Madrid.upriv*_1*_pidn2*_12*_session*-lat*_1.00000001f29cae9430bee8db8a18ce8895eee59ebc6025e038107467f27af4e535f92e3740750b18cf491929b52d28dc25f4433fe03392fe.00000001d8e24bd8388ee9a847038627a6638f38bc6025e066d94e1513f570275cc9b76a26c144074464e396e50d6244b1637bbacc5e978d.0.1.1.BDEbi.A2E2948BC74B9CF051A963A6CEDDABFA.0-3082.1.1_-0.1.0_-3082.1.1_5.5.0.*0.000000015527ad15a71079fc02603ffa44a2eea9c911585a303108f31e5ea62d376ffcddbb292394.0.23.11*.4*.1200*.00787J.e.0000000150aee2bcb11bb5af0f3cb2ef4d212e5bc911585ac79fff39cd2581191d89d4a391fbd33a.0.10*.131*.138*.19.*0.0.0.0" msgID="6BA1FBE4854FC86595B4DD82FBEE555D"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nrr="114"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</si>
  <si>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ut="06/09/2026 10:29:37" si="2.00000001152e26f25fe5567e76ead069ddd03b0cd1e1f5356cbc3cab77bc944bb54d2c44762bd07a4283c3b972a4fdf3d6f5eeda377c3bd57407b623644c2b59e5c9ad59f250a63f26502ca27bd690b27db9c6517ebab230be7cac4d4e40a1daa5a2c70285f533afe3770355674842b577423a50e18fb2c6562ceb2c4c2081aa59f2b00e439ee9ca7bb1cebb9ab6741fe4a306c7c92dad0c91bcb63ee42cc224e49b29a8c1f5d69b0c582852a7419317ce2e6590c71c675cfdbf14699c71d23f5d0c0891ca72dcd4994359f3e2f5a1c88ba799973825b8f6ae109f5859bcd14fa2af63d5d48ac5b9f2be639bb2aa5b594c0a103f5d696d5fdece5729f2e009ce52c4898d081f44611a98b96919bc3f85a23558b6e9b91c4c13f5c1dc2b9ec19832e7.p-3082.0.1_-3082.0.1_0.1.Europe/Madrid.upriv*_1*_pidn2*_12*_session*-lat*_1.00000001f29cae9430bee8db8a18ce8895eee59ebc6025e038107467f27af4e535f92e3740750b18cf491929b52d28dc25f4433fe03392fe.00000001d8e24bd8388ee9a847038627a6638f38bc6025e066d94e1513f570275cc9b76a26c144074464e396e50d6244b1637bbacc5e978d.0.1.1.BDEbi.A2E2948BC74B9CF051A963A6CEDDABFA.0-3082.1.1_-0.1.0_-3082.1.1_5.5.0.*0.000000015527ad15a71079fc02603ffa44a2eea9c911585a303108f31e5ea62d376ffcddbb292394.0.23.11*.4*.1200*.00787J.e.0000000150aee2bcb11bb5af0f3cb2ef4d212e5bc911585ac79fff39cd2581191d89d4a391fbd33a.0.10*.131*.138*.19.*0.0.0.0" msgID="39AE582CA54B99B1669AD5946FB64D86"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nrr="2062" nrc="3808"&gt;&lt;pg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</si>
  <si>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Desconocido</t>
  </si>
  <si>
    <t>Junio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</si>
  <si>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ut="06/09/2026 11:09:55" si="2.00000001152e26f25fe5567e76ead069ddd03b0cd1e1f5356cbc3cab77bc944bb54d2c44762bd07a4283c3b972a4fdf3d6f5eeda377c3bd57407b623644c2b59e5c9ad59f250a63f26502ca27bd690b27db9c6517ebab230be7cac4d4e40a1daa5a2c70285f533afe3770355674842b577423a50e18fb2c6562ceb2c4c2081aa59f2b00e439ee9ca7bb1cebb9ab6741fe4a306c7c92dad0c91bcb63ee42cc224e49b29a8c1f5d69b0c582852a7419317ce2e6590c71c675cfdbf14699c71d23f5d0c0891ca72dcd4994359f3e2f5a1c88ba799973825b8f6ae109f5859bcd14fa2af63d5d48ac5b9f2be639bb2aa5b594c0a103f5d696d5fdece5729f2e009ce52c4898d081f44611a98b96919bc3f85a23558b6e9b91c4c13f5c1dc2b9ec19832e7.p-3082.0.1_-3082.0.1_0.1.Europe/Madrid.upriv*_1*_pidn2*_12*_session*-lat*_1.00000001f29cae9430bee8db8a18ce8895eee59ebc6025e038107467f27af4e535f92e3740750b18cf491929b52d28dc25f4433fe03392fe.00000001d8e24bd8388ee9a847038627a6638f38bc6025e066d94e1513f570275cc9b76a26c144074464e396e50d6244b1637bbacc5e978d.0.1.1.BDEbi.A2E2948BC74B9CF051A963A6CEDDABFA.0-3082.1.1_-0.1.0_-3082.1.1_5.5.0.*0.000000015527ad15a71079fc02603ffa44a2eea9c911585a303108f31e5ea62d376ffcddbb292394.0.23.11*.4*.1200*.00787J.e.0000000150aee2bcb11bb5af0f3cb2ef4d212e5bc911585ac79fff39cd2581191d89d4a391fbd33a.0.10*.131*.138*.19.*0.0.0.0" msgID="3A28FEBDBF40F82295453EB9461B6324"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rows="33" cols="20" /&gt;&lt;esdo ews="" ece="" ptn="" /&gt;&lt;/excel&gt;&lt;pgs&gt;&lt;pg rows="30" cols="18" nrr="2925" nrc="2202"&gt;&lt;pg /&gt;&lt;bls&gt;&lt;bl sr="1" sc="1" rfetch="30" cfetch="18" posid="1" darows="0" dacols="1"&gt;&lt;excel&gt;&lt;epo ews="Dat_01" ece="A85" enr="MSTR.Serie_Balance_B.C._Mensual_Baleares_y_Canarias" ptn="" qtn="" rows="33" cols="20" /&gt;&lt;esdo ews="" ece="" ptn="" /&gt;&lt;/excel&gt;&lt;gridRng&gt;&lt;sect id="TITLE_AREA" rngprop="1:1:3:2" /&gt;&lt;sect id="ROWHEADERS_AREA" rngprop="4:1:30:2" /&gt;&lt;sect id="COLUMNHEADERS_AREA" rngprop="1:3:3:18" /&gt;&lt;sect id="DATA_AREA" rngprop="4:3:30:18" /&gt;&lt;/gridRng&gt;&lt;shapes /&gt;&lt;/bl&gt;&lt;/bls&gt;&lt;/pg&gt;&lt;/pgs&gt;&lt;/rptloc&gt;&lt;/mi&gt;</t>
  </si>
  <si>
    <t>&lt;mi app="e" ver="22"&gt;&lt;rptloc guid="2eac5bc28b7e4820873260efe39a6a01"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ut="06/09/2026 12:43:52" si="2.00000001bb69ff96fd53ce74af884b13d9148acc80fb20622fa10a7811166fae4de9be04a8bbc41c6e1ceb90a8177313393f199d8f2231a41ab68a7bb46b59552748966efe015b093975f2183bbd44a3a447098c58d5c13119ff1418f6a0718bc99b2cdbcbb3335e209c084fa6db04043b3b2640a82da64674425384da190f2df3e30d8ac35777ffb15970aa444a9324d838d805a9fbbd9fc0886e4eabb162c479a00453d29e85898302087ff0847e526ee217f2b14addfd6ceb0cde3f32445fc9c6e55de42a8062767d25bafa5cacd0da740a37fbc8a5c0e9bd8d7eb5d9ec44b415cf15a4c49ce747138fe919c17b066cde62a05260945358bdc2742ba1d30052c54250706e247a7ea43e04184ac03a63e02879ca42f00a73f5516d79b38db4e947.p-3082.0.1_-3082.0.1_0.1.Europe/Madrid.upriv*_1*_pidn2*_12*_session*-lat*_1.0000000180254abe3d1493dd9c8f1c1606a2bab8bc6025e0d6f950e0ca8f04f1a1aa62e07b899926684d9f50180c4142575811467b707c69.00000001e6b5db7012d45f2ff87b46d6d330358fbc6025e08e802a944bb6da99b966169c99c8144349c137ab5d4ffa01597b809cab0c59ba.0.1.1.BDEbi.A2E2948BC74B9CF051A963A6CEDDABFA.0-3082.1.1_-0.1.0_-3082.1.1_5.5.0.*0.00000001d737ce86f5d47391d3f75abc584a7cc3c911585a826c671d059cc62609633d60e6a6ef97.0.23.11*.4*.1200*.00787J.e.00000001332e92b3a08d55b44662a1d6f32237b8c911585ab3d1a2fadd020ac826d0288bd50b212b.0.10*.131*.138*.19.*0.0.0.0" msgID="5B37DD4AB744E423FE7571995088E64B"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ece="A158" enr="MSTR.Variación_y_componentes_mensual_de_la_demanda" ptn="" qtn="" rows="4" cols="14" /&gt;&lt;esdo ews="" ece="" ptn="" /&gt;&lt;/excel&gt;&lt;pgs&gt;&lt;pg rows="1" cols="12" nrr="3" nrc="36"&gt;&lt;pg /&gt;&lt;bls&gt;&lt;bl sr="1" sc="1" rfetch="1" cfetch="12" posid="1" darows="0" dacols="1"&gt;&lt;excel&gt;&lt;epo ews="Dat_01" ece="A158"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</si>
  <si>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guid="0eff69de833b422c8e8b7dee026eaa25"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srv="APBI6A" prj="BDEbi" prjid="A2E2948BC74B9CF051A963A6CEDDABFA" li="SEVPENMA" am="s" /&gt;&lt;lu ut="06/09/2026 12:45:52" si="2.00000001bb69ff96fd53ce74af884b13d9148acc80fb20622fa10a7811166fae4de9be04a8bbc41c6e1ceb90a8177313393f199d8f2231a41ab68a7bb46b59552748966efe015b093975f2183bbd44a3a447098c58d5c13119ff1418f6a0718bc99b2cdbcbb3335e209c084fa6db04043b3b2640a82da64674425384da190f2df3e30d8ac35777ffb15970aa444a9324d838d805a9fbbd9fc0886e4eabb162c479a00453d29e85898302087ff0847e526ee217f2b14addfd6ceb0cde3f32445fc9c6e55de42a8062767d25bafa5cacd0da740a37fbc8a5c0e9bd8d7eb5d9ec44b415cf15a4c49ce747138fe919c17b066cde62a05260945358bdc2742ba1d30052c54250706e247a7ea43e04184ac03a63e02879ca42f00a73f5516d79b38db4e947.p-3082.0.1_-3082.0.1_0.1.Europe/Madrid.upriv*_1*_pidn2*_12*_session*-lat*_1.0000000180254abe3d1493dd9c8f1c1606a2bab8bc6025e0d6f950e0ca8f04f1a1aa62e07b899926684d9f50180c4142575811467b707c69.00000001e6b5db7012d45f2ff87b46d6d330358fbc6025e08e802a944bb6da99b966169c99c8144349c137ab5d4ffa01597b809cab0c59ba.0.1.1.BDEbi.A2E2948BC74B9CF051A963A6CEDDABFA.0-3082.1.1_-0.1.0_-3082.1.1_5.5.0.*0.00000001d737ce86f5d47391d3f75abc584a7cc3c911585a826c671d059cc62609633d60e6a6ef97.0.23.11*.4*.1200*.00787J.e.00000001332e92b3a08d55b44662a1d6f32237b8c911585ab3d1a2fadd020ac826d0288bd50b212b.0.10*.131*.138*.19.*0.0.0.0" msgID="AB0B5857AE4FC28A02A7A3A647ACCAF8"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ece="A164" enr="MSTR.Variación_y_componentes_mensual_de_la_demanda.1" ptn="" qtn="" rows="4" cols="14" /&gt;&lt;esdo ews="" ece="" ptn="" /&gt;&lt;/excel&gt;&lt;pgs&gt;&lt;pg rows="1" cols="12" nrr="4" nrc="48"&gt;&lt;pg /&gt;&lt;bls&gt;&lt;bl sr="1" sc="1" rfetch="1" cfetch="12" posid="1" darows="0" dacols="1"&gt;&lt;excel&gt;&lt;epo ews="Dat_01" ece="A164"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</si>
  <si>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guid="1efe8bfb7d4b46efaffdf77bc069c8db"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ut="06/12/2026 10:06:26" si="2.000000011e29e3ea3783573be2dae7454f4ccc99c6fe2367d870c3587fccea3ed77f0b5836d752a5c48888085c58067ed353128b14111805590d3367a26bd2d5621a835915a8f84d64e1250dc2b3e44348df8f60e6d71a346265bbf1334c81da96a0adc9c3fa5ecff67b70e320462e73881fc4f828a3a6ab8bfaeec8b22dd241c292901bd75a45c4e6e75a76c8a896dc99d4411ee2a991c8056f7e4cce3736ac24d5f6bb0514f53a691289949a38584be084cb83175942e174db67beef291b5330e202092dc50195eb37038c044ed4a3fb70d1b9cb24722a0c1a8833d5076041ea05438c3d45fec0a5b7780fb94844a191eec2173fdf33a8a0b64507b3a5a2186a869d9ac2ae7d31d8e74622528d5d37eacea6b850b0803f9cce5897c5d7ffae0cc1.p-3082.0.1_-3082.0.1_0.1.Europe/Madrid.upriv*_1*_pidn2*_15*_session*-lat*_1.00000001b9381c3e059b373c96a502e6e7f070b6bc6025e09f210995ecd2d2a612255e769175828593217ef16cfc1e76542aef8bc8d0beb4.0000000132710dba87b3a58e9a5cc1092271d47bbc6025e09fc22d499e57c120dc398d8d2f8f7dd1832157220eff010c3f413b5447faae5d.0.1.1.BDEbi.A2E2948BC74B9CF051A963A6CEDDABFA.0-3082.1.1_-0.1.0_-3082.1.1_5.5.0.*0.0000000125f6f07f906535cba33467bce5fb8c6ec911585a18f019f4bcfd150a507c9a829388c0e2.0.23.11*.4*.1200*.00787J.e.000000018b438b2448445728ddfea8a283a196fbc911585a14395d30e3dd24561c0ecf7ca17b2500.0.10*.131*.138*.19.*0.0.0.0" msgID="AD21490B32415BE923B5239D38B976CD"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enr="MSTR.Mes_del_informe.1" ptn="" qtn="" rows="2" cols="2" /&gt;&lt;esdo ews="" ece="" ptn="" /&gt;&lt;/excel&gt;&lt;pgs&gt;&lt;pg rows="1" cols="0" nrr="2" nrc="0"&gt;&lt;pg /&gt;&lt;bls&gt;&lt;bl sr="1" sc="1" rfetch="1" cfetch="0" posid="1" darows="0" dacols="1"&gt;&lt;excel&gt;&lt;epo ews="Dat_02" ece="A1" enr="MSTR.Mes_del_informe.1"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</si>
  <si>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Mayo</t>
  </si>
  <si>
    <t>&lt;mi app="e" ver="22"&gt;&lt;rptloc guid="aeb5069ee23142108d1fb9df0c221df6"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ut="06/12/2026 10:07:11" si="2.00000001310364937e834bcad67b1416e0c9131f873d59a30d8c31f85ce1dda6321cd29a74027a5509ec237df4a1490019c0756e368acbe476a720a6fc458570c1b01f771b2c628ddc9a91b392b5095df4df7ae576af150120d6076f92c0f839bfd3359403de0c18f082badef93c5c2dcf8954efb5f0d4ef79dd5b8d422c0fbfa389b2a7177e3e5d0e9a3781973cb90876986ddd21dda2bad7846b86bc8c6ec92e035a3108d15eb741c444e9d03a18ab69c866118b4e8c9f22eafbfbe1d7feaf8689d33065207a4d1ff38e3eb8d076a2584f4ebb689906be1501112b69297a083b6d8b21182b861db781041718a76ec9aa86499a03d7c6ce8527377680f465df61ef4fe171b0ea8d25efbeed21a53a7f004cf4811bffa3396bf02608c8d7c7bee3c6.p-3082.0.1_-3082.0.1_0.1.Europe/Madrid.upriv*_1*_pidn2*_15*_session*-lat*_1.00000001b682578c7eb689e08e55ccfc45e42b35bc6025e0c3984f6138ae0e94da87f314e320065e3c0413d60652bf3204878861a9ba2b8b.00000001683227b21cd98b14e4d392e2d30f1592bc6025e00edaf73eb4748252a123404639f56c269c9a2897e22c6a800a1d84326e425a7c.0.1.1.SIOSbi.80652F57504C7F8E3D7CF2B0B09EA47F.0-3082.1.1_-0.1.0_-3082.1.1_5.5.0.*0.000000016422239624e26b21c788258569db1e8ac911585a904aacecea138dc45a398387787e2cd9.0.23.11*.4*.1200*.00787J.e.00000001c1ccdd2e26c499026e70145454b935d6c911585aee0bf80e6f75e9401efee3f199f7f781.0.10*.131*.138*.19.*0.0.0.0" msgID="2339B24CAB405BF4C790AC906235DC09"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enr="MSTR.Potencia_instalada_Autoconsumo.2" ptn="" qtn="" rows="10" cols="14" /&gt;&lt;esdo ews="" ece="" ptn="" /&gt;&lt;/excel&gt;&lt;pgs&gt;&lt;pg rows="6" cols="13" nrr="12" nrc="26"&gt;&lt;pg&gt;&lt;attEl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enr="MSTR.Potencia_instalada_Autoconsumo.2"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</si>
  <si>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guid="c240c808041e4cafa350b0d6b505cbfd"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ut="06/12/2026 10:07:56" si="2.00000001310364937e834bcad67b1416e0c9131f873d59a30d8c31f85ce1dda6321cd29a74027a5509ec237df4a1490019c0756e368acbe476a720a6fc458570c1b01f771b2c628ddc9a91b392b5095df4df7ae576af150120d6076f92c0f839bfd3359403de0c18f082badef93c5c2dcf8954efb5f0d4ef79dd5b8d422c0fbfa389b2a7177e3e5d0e9a3781973cb90876986ddd21dda2bad7846b86bc8c6ec92e035a3108d15eb741c444e9d03a18ab69c866118b4e8c9f22eafbfbe1d7feaf8689d33065207a4d1ff38e3eb8d076a2584f4ebb689906be1501112b69297a083b6d8b21182b861db781041718a76ec9aa86499a03d7c6ce8527377680f465df61ef4fe171b0ea8d25efbeed21a53a7f004cf4811bffa3396bf02608c8d7c7bee3c6.p-3082.0.1_-3082.0.1_0.1.Europe/Madrid.upriv*_1*_pidn2*_15*_session*-lat*_1.00000001b682578c7eb689e08e55ccfc45e42b35bc6025e0c3984f6138ae0e94da87f314e320065e3c0413d60652bf3204878861a9ba2b8b.00000001683227b21cd98b14e4d392e2d30f1592bc6025e00edaf73eb4748252a123404639f56c269c9a2897e22c6a800a1d84326e425a7c.0.1.1.SIOSbi.80652F57504C7F8E3D7CF2B0B09EA47F.0-3082.1.1_-0.1.0_-3082.1.1_5.5.0.*0.000000016422239624e26b21c788258569db1e8ac911585a904aacecea138dc45a398387787e2cd9.0.23.11*.4*.1200*.00787J.e.00000001c1ccdd2e26c499026e70145454b935d6c911585aee0bf80e6f75e9401efee3f199f7f781.0.10*.131*.138*.19.*0.0.0.0" msgID="3F93FACA084047E1C9F9B792A1D65B51"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enr="MSTR.Potencia_instalada_Total.2" ptn="" qtn="" rows="17" cols="14" /&gt;&lt;esdo ews="" ece="" ptn="" /&gt;&lt;/excel&gt;&lt;pgs&gt;&lt;pg rows="13" cols="13" nrr="26" nrc="26"&gt;&lt;pg&gt;&lt;attEl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enr="MSTR.Potencia_instalada_Total.2"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</si>
  <si>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guid="e3c46d034ece4d3aa6b38f514f07435d"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ut="06/12/2026 10:08:58" si="2.00000001310364937e834bcad67b1416e0c9131f873d59a30d8c31f85ce1dda6321cd29a74027a5509ec237df4a1490019c0756e368acbe476a720a6fc458570c1b01f771b2c628ddc9a91b392b5095df4df7ae576af150120d6076f92c0f839bfd3359403de0c18f082badef93c5c2dcf8954efb5f0d4ef79dd5b8d422c0fbfa389b2a7177e3e5d0e9a3781973cb90876986ddd21dda2bad7846b86bc8c6ec92e035a3108d15eb741c444e9d03a18ab69c866118b4e8c9f22eafbfbe1d7feaf8689d33065207a4d1ff38e3eb8d076a2584f4ebb689906be1501112b69297a083b6d8b21182b861db781041718a76ec9aa86499a03d7c6ce8527377680f465df61ef4fe171b0ea8d25efbeed21a53a7f004cf4811bffa3396bf02608c8d7c7bee3c6.p-3082.0.1_-3082.0.1_0.1.Europe/Madrid.upriv*_1*_pidn2*_15*_session*-lat*_1.00000001b682578c7eb689e08e55ccfc45e42b35bc6025e0c3984f6138ae0e94da87f314e320065e3c0413d60652bf3204878861a9ba2b8b.00000001683227b21cd98b14e4d392e2d30f1592bc6025e00edaf73eb4748252a123404639f56c269c9a2897e22c6a800a1d84326e425a7c.0.1.1.SIOSbi.80652F57504C7F8E3D7CF2B0B09EA47F.0-3082.1.1_-0.1.0_-3082.1.1_5.5.0.*0.000000016422239624e26b21c788258569db1e8ac911585a904aacecea138dc45a398387787e2cd9.0.23.11*.4*.1200*.00787J.e.00000001c1ccdd2e26c499026e70145454b935d6c911585aee0bf80e6f75e9401efee3f199f7f781.0.10*.131*.138*.19.*0.0.0.0" msgID="971D039A5F4BD567298483B4716407F1"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enr="MSTR.Potencia_instalada_Autoconsumo.3" ptn="" qtn="" rows="10" cols="14" /&gt;&lt;esdo ews="" ece="" ptn="" /&gt;&lt;/excel&gt;&lt;pgs&gt;&lt;pg rows="6" cols="13" nrr="12" nrc="26"&gt;&lt;pg&gt;&lt;attEl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enr="MSTR.Potencia_instalada_Autoconsumo.3"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</si>
  <si>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guid="d8f78188505f45348b473716edc2d322"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ut="06/12/2026 10:09:51" si="2.00000001310364937e834bcad67b1416e0c9131f873d59a30d8c31f85ce1dda6321cd29a74027a5509ec237df4a1490019c0756e368acbe476a720a6fc458570c1b01f771b2c628ddc9a91b392b5095df4df7ae576af150120d6076f92c0f839bfd3359403de0c18f082badef93c5c2dcf8954efb5f0d4ef79dd5b8d422c0fbfa389b2a7177e3e5d0e9a3781973cb90876986ddd21dda2bad7846b86bc8c6ec92e035a3108d15eb741c444e9d03a18ab69c866118b4e8c9f22eafbfbe1d7feaf8689d33065207a4d1ff38e3eb8d076a2584f4ebb689906be1501112b69297a083b6d8b21182b861db781041718a76ec9aa86499a03d7c6ce8527377680f465df61ef4fe171b0ea8d25efbeed21a53a7f004cf4811bffa3396bf02608c8d7c7bee3c6.p-3082.0.1_-3082.0.1_0.1.Europe/Madrid.upriv*_1*_pidn2*_15*_session*-lat*_1.00000001b682578c7eb689e08e55ccfc45e42b35bc6025e0c3984f6138ae0e94da87f314e320065e3c0413d60652bf3204878861a9ba2b8b.00000001683227b21cd98b14e4d392e2d30f1592bc6025e00edaf73eb4748252a123404639f56c269c9a2897e22c6a800a1d84326e425a7c.0.1.1.SIOSbi.80652F57504C7F8E3D7CF2B0B09EA47F.0-3082.1.1_-0.1.0_-3082.1.1_5.5.0.*0.000000016422239624e26b21c788258569db1e8ac911585a904aacecea138dc45a398387787e2cd9.0.23.11*.4*.1200*.00787J.e.00000001c1ccdd2e26c499026e70145454b935d6c911585aee0bf80e6f75e9401efee3f199f7f781.0.10*.131*.138*.19.*0.0.0.0" msgID="F79A9390744278BD26DF678021B66883"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enr="MSTR.Potencia_instalada_Total.3" ptn="" qtn="" rows="17" cols="14" /&gt;&lt;esdo ews="" ece="" ptn="" /&gt;&lt;/excel&gt;&lt;pgs&gt;&lt;pg rows="13" cols="13" nrr="26" nrc="26"&gt;&lt;pg&gt;&lt;attEl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enr="MSTR.Potencia_instalada_Total.3"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</si>
  <si>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guid="912ea243f1cf47de9bccf59cc7491ac3"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ut="06/12/2026 10:11:50" si="2.000000011e29e3ea3783573be2dae7454f4ccc99c6fe2367d870c3587fccea3ed77f0b5836d752a5c48888085c58067ed353128b14111805590d3367a26bd2d5621a835915a8f84d64e1250dc2b3e44348df8f60e6d71a346265bbf1334c81da96a0adc9c3fa5ecff67b70e320462e73881fc4f828a3a6ab8bfaeec8b22dd241c292901bd75a45c4e6e75a76c8a896dc99d4411ee2a991c8056f7e4cce3736ac24d5f6bb0514f53a691289949a38584be084cb83175942e174db67beef291b5330e202092dc50195eb37038c044ed4a3fb70d1b9cb24722a0c1a8833d5076041ea05438c3d45fec0a5b7780fb94844a191eec2173fdf33a8a0b64507b3a5a2186a869d9ac2ae7d31d8e74622528d5d37eacea6b850b0803f9cce5897c5d7ffae0cc1.p-3082.0.1_-3082.0.1_0.1.Europe/Madrid.upriv*_1*_pidn2*_15*_session*-lat*_1.00000001b9381c3e059b373c96a502e6e7f070b6bc6025e09f210995ecd2d2a612255e769175828593217ef16cfc1e76542aef8bc8d0beb4.0000000132710dba87b3a58e9a5cc1092271d47bbc6025e09fc22d499e57c120dc398d8d2f8f7dd1832157220eff010c3f413b5447faae5d.0.1.1.BDEbi.A2E2948BC74B9CF051A963A6CEDDABFA.0-3082.1.1_-0.1.0_-3082.1.1_5.5.0.*0.0000000125f6f07f906535cba33467bce5fb8c6ec911585a18f019f4bcfd150a507c9a829388c0e2.0.23.11*.4*.1200*.00787J.e.000000018b438b2448445728ddfea8a283a196fbc911585a14395d30e3dd24561c0ecf7ca17b2500.0.10*.131*.138*.19.*0.0.0.0" msgID="7511620B104F277D4026BBAAF6127B7A"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enr="MSTR.Energía_generada_y_autoconsumida.1" ptn="" qtn="" rows="10" cols="3" /&gt;&lt;esdo ews="" ece="" ptn="" /&gt;&lt;/excel&gt;&lt;pgs&gt;&lt;pg rows="6" cols="2" nrr="12" nrc="4"&gt;&lt;pg&gt;&lt;attEl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enr="MSTR.Energía_generada_y_autoconsumida.1"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</si>
  <si>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05/2026</t>
  </si>
  <si>
    <t>e9465c4720af4f5981362f8dde2513a0</t>
  </si>
  <si>
    <t>&lt;mi app="e" ver="22"&gt;&lt;rptloc guid="4c4d5fce268044f6afd9f01443a2574b"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ut="06/12/2026 10:15:30" si="2.000000011e29e3ea3783573be2dae7454f4ccc99c6fe2367d870c3587fccea3ed77f0b5836d752a5c48888085c58067ed353128b14111805590d3367a26bd2d5621a835915a8f84d64e1250dc2b3e44348df8f60e6d71a346265bbf1334c81da96a0adc9c3fa5ecff67b70e320462e73881fc4f828a3a6ab8bfaeec8b22dd241c292901bd75a45c4e6e75a76c8a896dc99d4411ee2a991c8056f7e4cce3736ac24d5f6bb0514f53a691289949a38584be084cb83175942e174db67beef291b5330e202092dc50195eb37038c044ed4a3fb70d1b9cb24722a0c1a8833d5076041ea05438c3d45fec0a5b7780fb94844a191eec2173fdf33a8a0b64507b3a5a2186a869d9ac2ae7d31d8e74622528d5d37eacea6b850b0803f9cce5897c5d7ffae0cc1.p-3082.0.1_-3082.0.1_0.1.Europe/Madrid.upriv*_1*_pidn2*_15*_session*-lat*_1.00000001b9381c3e059b373c96a502e6e7f070b6bc6025e09f210995ecd2d2a612255e769175828593217ef16cfc1e76542aef8bc8d0beb4.0000000132710dba87b3a58e9a5cc1092271d47bbc6025e09fc22d499e57c120dc398d8d2f8f7dd1832157220eff010c3f413b5447faae5d.0.1.1.BDEbi.A2E2948BC74B9CF051A963A6CEDDABFA.0-3082.1.1_-0.1.0_-3082.1.1_5.5.0.*0.0000000125f6f07f906535cba33467bce5fb8c6ec911585a18f019f4bcfd150a507c9a829388c0e2.0.23.11*.4*.1200*.00787J.e.000000018b438b2448445728ddfea8a283a196fbc911585a14395d30e3dd24561c0ecf7ca17b2500.0.10*.131*.138*.19.*0.0.0.0" msgID="8E57E57619489CBAF991339F7DE03B42"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ece="A117" enr="MSTR.Energía_generada_y_autoconsumida.3" ptn="" qtn="" rows="9" cols="3" /&gt;&lt;esdo ews="" ece="" ptn="" /&gt;&lt;/excel&gt;&lt;pgs&gt;&lt;pg rows="5" cols="2" nrr="10" nrc="4"&gt;&lt;pg&gt;&lt;attEl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enr="MSTR.Energía_generada_y_autoconsumida.3"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</si>
</sst>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164" fontId="19" fillId="5" borderId="10">
      <alignment horizontal="right" vertical="center"/>
    </xf>
    <xf numFmtId="0" fontId="47" fillId="12" borderId="10">
      <alignment horizontal="left" vertical="center"/>
    </xf>
    <xf numFmtId="164" fontId="47" fillId="12" borderId="10">
      <alignment horizontal="right" vertical="center"/>
    </xf>
    <xf numFmtId="166" fontId="35" fillId="5" borderId="10">
      <alignment horizontal="left" vertical="center" wrapText="1"/>
    </xf>
    <xf numFmtId="176" fontId="19" fillId="5" borderId="10">
      <alignment horizontal="right" vertical="center"/>
    </xf>
  </cellStyleXfs>
  <cellXfs count="291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0" fontId="7" fillId="0" borderId="0" xfId="0" applyFont="1"/>
    <xf numFmtId="0" fontId="57" fillId="0" borderId="0" xfId="0" applyFont="1"/>
    <xf numFmtId="10" fontId="57" fillId="0" borderId="0" xfId="35" applyNumberFormat="1" applyFont="1"/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175" fontId="3" fillId="0" borderId="0" xfId="4" applyNumberFormat="1"/>
    <xf numFmtId="0" fontId="8" fillId="0" borderId="0" xfId="36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40" quotePrefix="1" applyFont="1" applyBorder="1" applyAlignment="1">
      <alignment horizontal="left" vertical="center"/>
    </xf>
    <xf numFmtId="169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" fontId="7" fillId="2" borderId="3" xfId="4" applyNumberFormat="1" applyFont="1" applyFill="1" applyBorder="1" applyAlignment="1">
      <alignment horizontal="right" indent="1"/>
    </xf>
    <xf numFmtId="165" fontId="5" fillId="2" borderId="0" xfId="3" applyNumberFormat="1" applyFont="1" applyFill="1" applyAlignment="1">
      <alignment horizontal="left" indent="1"/>
    </xf>
    <xf numFmtId="10" fontId="5" fillId="2" borderId="0" xfId="34" applyNumberFormat="1" applyFont="1" applyFill="1" applyAlignment="1">
      <alignment horizontal="right" indent="1"/>
    </xf>
    <xf numFmtId="4" fontId="5" fillId="2" borderId="0" xfId="3" applyNumberFormat="1" applyFont="1" applyFill="1" applyAlignment="1">
      <alignment horizontal="right" indent="1"/>
    </xf>
    <xf numFmtId="0" fontId="5" fillId="2" borderId="3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left"/>
    </xf>
    <xf numFmtId="165" fontId="5" fillId="2" borderId="8" xfId="3" applyNumberFormat="1" applyFont="1" applyFill="1" applyBorder="1" applyAlignment="1">
      <alignment horizontal="right" indent="1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49" fontId="0" fillId="0" borderId="0" xfId="0" applyNumberFormat="1"/>
    <xf numFmtId="164" fontId="19" fillId="5" borderId="10" xfId="37">
      <alignment horizontal="right" vertical="center"/>
    </xf>
    <xf numFmtId="0" fontId="47" fillId="12" borderId="10" xfId="38" quotePrefix="1">
      <alignment horizontal="left" vertical="center"/>
    </xf>
    <xf numFmtId="164" fontId="47" fillId="12" borderId="10" xfId="39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58" fillId="0" borderId="40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5" fillId="5" borderId="16" xfId="18" quotePrefix="1" applyBorder="1" applyAlignment="1">
      <alignment horizontal="left" vertic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7" xr:uid="{D63827E5-9C98-4354-B41F-DAA4ACB780AE}"/>
    <cellStyle name="MSTRStyle.Todos.c13_ad47ecc7-7d15-4cb6-8d9a-93aa07ca2c9c" xfId="19" xr:uid="{00000000-0005-0000-0000-000004000000}"/>
    <cellStyle name="MSTRStyle.Todos.c14_66d95eaf-7407-49b4-bb04-27d55699e9b3" xfId="41" xr:uid="{C1A85C6A-0641-4FA1-ADC7-96E668F489AA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40" xr:uid="{27159FD7-8684-4964-AA14-36579A15D342}"/>
    <cellStyle name="MSTRStyle.Todos.c3_ee34052e-6a5a-4931-979c-9f16bd5045b9" xfId="18" xr:uid="{00000000-0005-0000-0000-000010000000}"/>
    <cellStyle name="MSTRStyle.Todos.c573E73830E4892A1D75FD189492F39EB_953e357e-0c16-4117-91b2-a8dade1161ed" xfId="38" xr:uid="{08191AD0-1A51-46D3-97DF-AB918377F83D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9" xr:uid="{49CEEFCE-07FB-4DB8-85C3-D6D8623F13B5}"/>
    <cellStyle name="Normal" xfId="0" builtinId="0"/>
    <cellStyle name="Normal 2" xfId="4" xr:uid="{00000000-0005-0000-0000-000014000000}"/>
    <cellStyle name="Normal 2 2" xfId="11" xr:uid="{00000000-0005-0000-0000-000015000000}"/>
    <cellStyle name="Normal 3" xfId="36" xr:uid="{6DD72B3C-4554-430B-A7E0-CD9EA750AA5E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03738B"/>
      <color rgb="FFF5F5F5"/>
      <color rgb="FFD9D9D9"/>
      <color rgb="FF004563"/>
      <color rgb="FF08B2AD"/>
      <color rgb="FF007CF9"/>
      <color rgb="FFAF8E00"/>
      <color rgb="FF00CCFF"/>
      <color rgb="FF8DA69F"/>
      <color rgb="FFCFA2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10.345406198616972</c:v>
                </c:pt>
                <c:pt idx="1">
                  <c:v>5.9790614597313674</c:v>
                </c:pt>
                <c:pt idx="2">
                  <c:v>25.374553512030683</c:v>
                </c:pt>
                <c:pt idx="3">
                  <c:v>35.295334829361138</c:v>
                </c:pt>
                <c:pt idx="4">
                  <c:v>0</c:v>
                </c:pt>
                <c:pt idx="5">
                  <c:v>0.4513462248260629</c:v>
                </c:pt>
                <c:pt idx="6">
                  <c:v>1.6041384404157328</c:v>
                </c:pt>
                <c:pt idx="7">
                  <c:v>1.6041384404157328</c:v>
                </c:pt>
                <c:pt idx="8">
                  <c:v>0.15258616314917031</c:v>
                </c:pt>
                <c:pt idx="9">
                  <c:v>18.853906392032531</c:v>
                </c:pt>
                <c:pt idx="10">
                  <c:v>0.33952833942061339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80.562797425582602</c:v>
                </c:pt>
                <c:pt idx="1">
                  <c:v>19.437202574417398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Dat_01!$C$142:$O$142</c:f>
              <c:numCache>
                <c:formatCode>#,##0.0</c:formatCode>
                <c:ptCount val="13"/>
                <c:pt idx="0">
                  <c:v>139.11880199999999</c:v>
                </c:pt>
                <c:pt idx="1">
                  <c:v>133.454463</c:v>
                </c:pt>
                <c:pt idx="2">
                  <c:v>138.95366799999999</c:v>
                </c:pt>
                <c:pt idx="3">
                  <c:v>156.429901</c:v>
                </c:pt>
                <c:pt idx="4">
                  <c:v>146.533942</c:v>
                </c:pt>
                <c:pt idx="5">
                  <c:v>159.05462600000001</c:v>
                </c:pt>
                <c:pt idx="6">
                  <c:v>144.58958999999999</c:v>
                </c:pt>
                <c:pt idx="7">
                  <c:v>158.02685199999999</c:v>
                </c:pt>
                <c:pt idx="8">
                  <c:v>158.381069</c:v>
                </c:pt>
                <c:pt idx="9">
                  <c:v>143.06514300000001</c:v>
                </c:pt>
                <c:pt idx="10">
                  <c:v>149.59031300000001</c:v>
                </c:pt>
                <c:pt idx="11">
                  <c:v>153.416853</c:v>
                </c:pt>
                <c:pt idx="12">
                  <c:v>140.31111100000001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Dat_01!$C$143:$O$143</c:f>
              <c:numCache>
                <c:formatCode>#,##0.0</c:formatCode>
                <c:ptCount val="13"/>
                <c:pt idx="0">
                  <c:v>15.518791</c:v>
                </c:pt>
                <c:pt idx="1">
                  <c:v>14.439681999999999</c:v>
                </c:pt>
                <c:pt idx="2">
                  <c:v>17.277450000000002</c:v>
                </c:pt>
                <c:pt idx="3">
                  <c:v>21.905804</c:v>
                </c:pt>
                <c:pt idx="4">
                  <c:v>21.204673</c:v>
                </c:pt>
                <c:pt idx="5">
                  <c:v>28.975633999999999</c:v>
                </c:pt>
                <c:pt idx="6">
                  <c:v>21.440819999999999</c:v>
                </c:pt>
                <c:pt idx="7">
                  <c:v>25.811325</c:v>
                </c:pt>
                <c:pt idx="8">
                  <c:v>28.873301000000001</c:v>
                </c:pt>
                <c:pt idx="9">
                  <c:v>25.555015999999998</c:v>
                </c:pt>
                <c:pt idx="10">
                  <c:v>29.612995000000002</c:v>
                </c:pt>
                <c:pt idx="11">
                  <c:v>34.690565999999997</c:v>
                </c:pt>
                <c:pt idx="12">
                  <c:v>21.324908000000001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Dat_01!$B$144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Dat_01!$C$144:$O$144</c:f>
              <c:numCache>
                <c:formatCode>#,##0.0</c:formatCode>
                <c:ptCount val="13"/>
                <c:pt idx="0">
                  <c:v>81.823025999999999</c:v>
                </c:pt>
                <c:pt idx="1">
                  <c:v>84.304407999999995</c:v>
                </c:pt>
                <c:pt idx="2">
                  <c:v>97.398498000000004</c:v>
                </c:pt>
                <c:pt idx="3">
                  <c:v>100.21077</c:v>
                </c:pt>
                <c:pt idx="4">
                  <c:v>99.346721000000002</c:v>
                </c:pt>
                <c:pt idx="5">
                  <c:v>125.06728200000001</c:v>
                </c:pt>
                <c:pt idx="6">
                  <c:v>112.30573</c:v>
                </c:pt>
                <c:pt idx="7">
                  <c:v>119.831412</c:v>
                </c:pt>
                <c:pt idx="8">
                  <c:v>117.60937199999999</c:v>
                </c:pt>
                <c:pt idx="9">
                  <c:v>92.890253999999999</c:v>
                </c:pt>
                <c:pt idx="10">
                  <c:v>82.571079999999995</c:v>
                </c:pt>
                <c:pt idx="11">
                  <c:v>106.513632</c:v>
                </c:pt>
                <c:pt idx="12">
                  <c:v>111.85987799999999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328.89233899999999</c:v>
                </c:pt>
                <c:pt idx="1">
                  <c:v>284.16690399999999</c:v>
                </c:pt>
                <c:pt idx="2">
                  <c:v>316.70403900000002</c:v>
                </c:pt>
                <c:pt idx="3">
                  <c:v>340.02993600000002</c:v>
                </c:pt>
                <c:pt idx="4">
                  <c:v>307.60187999999999</c:v>
                </c:pt>
                <c:pt idx="5">
                  <c:v>357.47449</c:v>
                </c:pt>
                <c:pt idx="6">
                  <c:v>343.63677799999999</c:v>
                </c:pt>
                <c:pt idx="7">
                  <c:v>344.06825099999998</c:v>
                </c:pt>
                <c:pt idx="8">
                  <c:v>331.93350299999997</c:v>
                </c:pt>
                <c:pt idx="9">
                  <c:v>287.05643500000002</c:v>
                </c:pt>
                <c:pt idx="10">
                  <c:v>282.06847599999998</c:v>
                </c:pt>
                <c:pt idx="11">
                  <c:v>284.69147199999998</c:v>
                </c:pt>
                <c:pt idx="12">
                  <c:v>302.07158099999998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1.701465</c:v>
                </c:pt>
                <c:pt idx="1">
                  <c:v>2.9528669999999999</c:v>
                </c:pt>
                <c:pt idx="2">
                  <c:v>3.2914970000000001</c:v>
                </c:pt>
                <c:pt idx="3">
                  <c:v>2.7481429999999998</c:v>
                </c:pt>
                <c:pt idx="4">
                  <c:v>2.5908169999999999</c:v>
                </c:pt>
                <c:pt idx="5">
                  <c:v>1.167157</c:v>
                </c:pt>
                <c:pt idx="6">
                  <c:v>0.94978899999999999</c:v>
                </c:pt>
                <c:pt idx="7">
                  <c:v>1.389267</c:v>
                </c:pt>
                <c:pt idx="8">
                  <c:v>1.2355400000000001</c:v>
                </c:pt>
                <c:pt idx="9">
                  <c:v>1.2530779999999999</c:v>
                </c:pt>
                <c:pt idx="10">
                  <c:v>2.036778</c:v>
                </c:pt>
                <c:pt idx="11">
                  <c:v>1.462315</c:v>
                </c:pt>
                <c:pt idx="12">
                  <c:v>1.65883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99.456442999999993</c:v>
                </c:pt>
                <c:pt idx="1">
                  <c:v>143.551423</c:v>
                </c:pt>
                <c:pt idx="2">
                  <c:v>166.964561</c:v>
                </c:pt>
                <c:pt idx="3">
                  <c:v>149.445853</c:v>
                </c:pt>
                <c:pt idx="4">
                  <c:v>165.43614400000001</c:v>
                </c:pt>
                <c:pt idx="5">
                  <c:v>84.341824000000003</c:v>
                </c:pt>
                <c:pt idx="6">
                  <c:v>95.968860000000006</c:v>
                </c:pt>
                <c:pt idx="7">
                  <c:v>82.177819999999997</c:v>
                </c:pt>
                <c:pt idx="8">
                  <c:v>97.153379000000001</c:v>
                </c:pt>
                <c:pt idx="9">
                  <c:v>91.083347000000003</c:v>
                </c:pt>
                <c:pt idx="10">
                  <c:v>165.14311699999999</c:v>
                </c:pt>
                <c:pt idx="11">
                  <c:v>81.914609999999996</c:v>
                </c:pt>
                <c:pt idx="12">
                  <c:v>90.098500999999999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44.747520000000002</c:v>
                </c:pt>
                <c:pt idx="1">
                  <c:v>42.657446</c:v>
                </c:pt>
                <c:pt idx="2">
                  <c:v>44.683625999999997</c:v>
                </c:pt>
                <c:pt idx="3">
                  <c:v>46.097631</c:v>
                </c:pt>
                <c:pt idx="4">
                  <c:v>39.592024000000002</c:v>
                </c:pt>
                <c:pt idx="5">
                  <c:v>35.989100999999998</c:v>
                </c:pt>
                <c:pt idx="6">
                  <c:v>32.078172000000002</c:v>
                </c:pt>
                <c:pt idx="7">
                  <c:v>31.976611999999999</c:v>
                </c:pt>
                <c:pt idx="8">
                  <c:v>33.762532</c:v>
                </c:pt>
                <c:pt idx="9">
                  <c:v>36.724344000000002</c:v>
                </c:pt>
                <c:pt idx="10">
                  <c:v>36.337868999999998</c:v>
                </c:pt>
                <c:pt idx="11">
                  <c:v>41.012202000000002</c:v>
                </c:pt>
                <c:pt idx="12">
                  <c:v>46.038113000000003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1.4553370000000001</c:v>
                </c:pt>
                <c:pt idx="1">
                  <c:v>1.2805299999999999</c:v>
                </c:pt>
                <c:pt idx="2">
                  <c:v>1.163958</c:v>
                </c:pt>
                <c:pt idx="3">
                  <c:v>0.98014500000000004</c:v>
                </c:pt>
                <c:pt idx="4">
                  <c:v>0.36074600000000001</c:v>
                </c:pt>
                <c:pt idx="5">
                  <c:v>0.77339199999999997</c:v>
                </c:pt>
                <c:pt idx="6">
                  <c:v>0.74605500000000002</c:v>
                </c:pt>
                <c:pt idx="7">
                  <c:v>0.798705</c:v>
                </c:pt>
                <c:pt idx="8">
                  <c:v>0.99824000000000002</c:v>
                </c:pt>
                <c:pt idx="9">
                  <c:v>0.82315300000000002</c:v>
                </c:pt>
                <c:pt idx="10">
                  <c:v>0.86323799999999995</c:v>
                </c:pt>
                <c:pt idx="11">
                  <c:v>0.83965599999999996</c:v>
                </c:pt>
                <c:pt idx="12">
                  <c:v>1.0704100000000001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Dat_01!$B$141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Dat_01!$C$141:$O$141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Dat_01!$B$155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Dat_01!$C$155:$O$155</c:f>
              <c:numCache>
                <c:formatCode>#,##0</c:formatCode>
                <c:ptCount val="13"/>
                <c:pt idx="0">
                  <c:v>236.46061899999998</c:v>
                </c:pt>
                <c:pt idx="1">
                  <c:v>232.198553</c:v>
                </c:pt>
                <c:pt idx="2">
                  <c:v>253.629616</c:v>
                </c:pt>
                <c:pt idx="3">
                  <c:v>278.54647499999999</c:v>
                </c:pt>
                <c:pt idx="4">
                  <c:v>267.08533599999998</c:v>
                </c:pt>
                <c:pt idx="5">
                  <c:v>313.09754199999998</c:v>
                </c:pt>
                <c:pt idx="6">
                  <c:v>278.33614</c:v>
                </c:pt>
                <c:pt idx="7">
                  <c:v>303.66958899999997</c:v>
                </c:pt>
                <c:pt idx="8">
                  <c:v>304.863742</c:v>
                </c:pt>
                <c:pt idx="9">
                  <c:v>261.51041299999997</c:v>
                </c:pt>
                <c:pt idx="10">
                  <c:v>261.77438800000004</c:v>
                </c:pt>
                <c:pt idx="11">
                  <c:v>294.62105099999997</c:v>
                </c:pt>
                <c:pt idx="12">
                  <c:v>273.49589700000001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Dat_01!$B$145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328.89233899999999</c:v>
                </c:pt>
                <c:pt idx="1">
                  <c:v>284.16690399999999</c:v>
                </c:pt>
                <c:pt idx="2">
                  <c:v>316.70403900000002</c:v>
                </c:pt>
                <c:pt idx="3">
                  <c:v>340.02993600000002</c:v>
                </c:pt>
                <c:pt idx="4">
                  <c:v>307.60187999999999</c:v>
                </c:pt>
                <c:pt idx="5">
                  <c:v>357.47449</c:v>
                </c:pt>
                <c:pt idx="6">
                  <c:v>343.63677799999999</c:v>
                </c:pt>
                <c:pt idx="7">
                  <c:v>344.06825099999998</c:v>
                </c:pt>
                <c:pt idx="8">
                  <c:v>331.93350299999997</c:v>
                </c:pt>
                <c:pt idx="9">
                  <c:v>287.05643500000002</c:v>
                </c:pt>
                <c:pt idx="10">
                  <c:v>282.06847599999998</c:v>
                </c:pt>
                <c:pt idx="11">
                  <c:v>284.69147199999998</c:v>
                </c:pt>
                <c:pt idx="12">
                  <c:v>302.07158099999998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Dat_01!$B$146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1.701465</c:v>
                </c:pt>
                <c:pt idx="1">
                  <c:v>2.9528669999999999</c:v>
                </c:pt>
                <c:pt idx="2">
                  <c:v>3.2914970000000001</c:v>
                </c:pt>
                <c:pt idx="3">
                  <c:v>2.7481429999999998</c:v>
                </c:pt>
                <c:pt idx="4">
                  <c:v>2.5908169999999999</c:v>
                </c:pt>
                <c:pt idx="5">
                  <c:v>1.167157</c:v>
                </c:pt>
                <c:pt idx="6">
                  <c:v>0.94978899999999999</c:v>
                </c:pt>
                <c:pt idx="7">
                  <c:v>1.389267</c:v>
                </c:pt>
                <c:pt idx="8">
                  <c:v>1.2355400000000001</c:v>
                </c:pt>
                <c:pt idx="9">
                  <c:v>1.2530779999999999</c:v>
                </c:pt>
                <c:pt idx="10">
                  <c:v>2.036778</c:v>
                </c:pt>
                <c:pt idx="11">
                  <c:v>1.462315</c:v>
                </c:pt>
                <c:pt idx="12">
                  <c:v>1.65883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Dat_01!$B$147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99.456442999999993</c:v>
                </c:pt>
                <c:pt idx="1">
                  <c:v>143.551423</c:v>
                </c:pt>
                <c:pt idx="2">
                  <c:v>166.964561</c:v>
                </c:pt>
                <c:pt idx="3">
                  <c:v>149.445853</c:v>
                </c:pt>
                <c:pt idx="4">
                  <c:v>165.43614400000001</c:v>
                </c:pt>
                <c:pt idx="5">
                  <c:v>84.341824000000003</c:v>
                </c:pt>
                <c:pt idx="6">
                  <c:v>95.968860000000006</c:v>
                </c:pt>
                <c:pt idx="7">
                  <c:v>82.177819999999997</c:v>
                </c:pt>
                <c:pt idx="8">
                  <c:v>97.153379000000001</c:v>
                </c:pt>
                <c:pt idx="9">
                  <c:v>91.083347000000003</c:v>
                </c:pt>
                <c:pt idx="10">
                  <c:v>165.14311699999999</c:v>
                </c:pt>
                <c:pt idx="11">
                  <c:v>81.914609999999996</c:v>
                </c:pt>
                <c:pt idx="12">
                  <c:v>90.098500999999999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Dat_01!$C$148:$O$148</c:f>
              <c:numCache>
                <c:formatCode>#,##0.0</c:formatCode>
                <c:ptCount val="13"/>
                <c:pt idx="0">
                  <c:v>44.747520000000002</c:v>
                </c:pt>
                <c:pt idx="1">
                  <c:v>42.657446</c:v>
                </c:pt>
                <c:pt idx="2">
                  <c:v>44.683625999999997</c:v>
                </c:pt>
                <c:pt idx="3">
                  <c:v>46.097631</c:v>
                </c:pt>
                <c:pt idx="4">
                  <c:v>39.592024000000002</c:v>
                </c:pt>
                <c:pt idx="5">
                  <c:v>35.989100999999998</c:v>
                </c:pt>
                <c:pt idx="6">
                  <c:v>32.078172000000002</c:v>
                </c:pt>
                <c:pt idx="7">
                  <c:v>31.976611999999999</c:v>
                </c:pt>
                <c:pt idx="8">
                  <c:v>33.762532</c:v>
                </c:pt>
                <c:pt idx="9">
                  <c:v>36.724344000000002</c:v>
                </c:pt>
                <c:pt idx="10">
                  <c:v>36.337868999999998</c:v>
                </c:pt>
                <c:pt idx="11">
                  <c:v>41.012202000000002</c:v>
                </c:pt>
                <c:pt idx="12">
                  <c:v>46.038113000000003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Dat_01!$B$149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Dat_01!$C$140:$O$140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Dat_01!$C$149:$O$149</c:f>
              <c:numCache>
                <c:formatCode>#,##0.0</c:formatCode>
                <c:ptCount val="13"/>
                <c:pt idx="0">
                  <c:v>1.4553370000000001</c:v>
                </c:pt>
                <c:pt idx="1">
                  <c:v>1.2805299999999999</c:v>
                </c:pt>
                <c:pt idx="2">
                  <c:v>1.163958</c:v>
                </c:pt>
                <c:pt idx="3">
                  <c:v>0.98014500000000004</c:v>
                </c:pt>
                <c:pt idx="4">
                  <c:v>0.36074600000000001</c:v>
                </c:pt>
                <c:pt idx="5">
                  <c:v>0.77339199999999997</c:v>
                </c:pt>
                <c:pt idx="6">
                  <c:v>0.74605500000000002</c:v>
                </c:pt>
                <c:pt idx="7">
                  <c:v>0.798705</c:v>
                </c:pt>
                <c:pt idx="8">
                  <c:v>0.99824000000000002</c:v>
                </c:pt>
                <c:pt idx="9">
                  <c:v>0.82315300000000002</c:v>
                </c:pt>
                <c:pt idx="10">
                  <c:v>0.86323799999999995</c:v>
                </c:pt>
                <c:pt idx="11">
                  <c:v>0.83965599999999996</c:v>
                </c:pt>
                <c:pt idx="12">
                  <c:v>1.0704100000000001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Dat_01!$B$172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Dat_01!$C$172:$O$172</c:f>
              <c:numCache>
                <c:formatCode>#,##0.000</c:formatCode>
                <c:ptCount val="13"/>
                <c:pt idx="0">
                  <c:v>8.0190000000000001</c:v>
                </c:pt>
                <c:pt idx="1">
                  <c:v>33.307000000000002</c:v>
                </c:pt>
                <c:pt idx="2">
                  <c:v>25.804000000000002</c:v>
                </c:pt>
                <c:pt idx="3">
                  <c:v>0</c:v>
                </c:pt>
                <c:pt idx="4">
                  <c:v>2.65</c:v>
                </c:pt>
                <c:pt idx="5">
                  <c:v>1.1019999999999999</c:v>
                </c:pt>
                <c:pt idx="6">
                  <c:v>1.536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Dat_01!$B$173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Dat_01!$C$173:$O$173</c:f>
              <c:numCache>
                <c:formatCode>#,##0.000</c:formatCode>
                <c:ptCount val="13"/>
                <c:pt idx="0">
                  <c:v>-27.414000000000001</c:v>
                </c:pt>
                <c:pt idx="1">
                  <c:v>-66.456000000000003</c:v>
                </c:pt>
                <c:pt idx="2">
                  <c:v>-84.402000000000001</c:v>
                </c:pt>
                <c:pt idx="3">
                  <c:v>-3.7090000000000001</c:v>
                </c:pt>
                <c:pt idx="4">
                  <c:v>-8.4089999999999989</c:v>
                </c:pt>
                <c:pt idx="5">
                  <c:v>-6.4119999999999999</c:v>
                </c:pt>
                <c:pt idx="6">
                  <c:v>-5.601</c:v>
                </c:pt>
                <c:pt idx="7">
                  <c:v>-4.0439999999999996</c:v>
                </c:pt>
                <c:pt idx="8">
                  <c:v>-0.38699999999999996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Dat_01!$B$174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Dat_01!$C$174:$O$174</c:f>
              <c:numCache>
                <c:formatCode>#,##0.000</c:formatCode>
                <c:ptCount val="13"/>
                <c:pt idx="0">
                  <c:v>-19.395000000000003</c:v>
                </c:pt>
                <c:pt idx="1">
                  <c:v>-33.149000000000001</c:v>
                </c:pt>
                <c:pt idx="2">
                  <c:v>-58.597999999999999</c:v>
                </c:pt>
                <c:pt idx="3">
                  <c:v>-3.7090000000000001</c:v>
                </c:pt>
                <c:pt idx="4">
                  <c:v>-5.7589999999999986</c:v>
                </c:pt>
                <c:pt idx="5">
                  <c:v>-5.3100000000000005</c:v>
                </c:pt>
                <c:pt idx="6">
                  <c:v>-4.0649999999999995</c:v>
                </c:pt>
                <c:pt idx="7">
                  <c:v>-4.0439999999999996</c:v>
                </c:pt>
                <c:pt idx="8">
                  <c:v>-0.38699999999999996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F2-4EAB-9BCD-9B8E2F5A8F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2-4EAB-9BCD-9B8E2F5A8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Dat_01!$B$175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Dat_01!$C$175:$O$175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0.63</c:v>
                </c:pt>
                <c:pt idx="6">
                  <c:v>5.5779999999999994</c:v>
                </c:pt>
                <c:pt idx="7">
                  <c:v>0.106</c:v>
                </c:pt>
                <c:pt idx="8">
                  <c:v>1E-3</c:v>
                </c:pt>
                <c:pt idx="9">
                  <c:v>37.019000000000005</c:v>
                </c:pt>
                <c:pt idx="10">
                  <c:v>4.1999999999999996E-2</c:v>
                </c:pt>
                <c:pt idx="11">
                  <c:v>0</c:v>
                </c:pt>
                <c:pt idx="12">
                  <c:v>7.093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38-4A17-8C6F-189399B527F3}"/>
            </c:ext>
          </c:extLst>
        </c:ser>
        <c:ser>
          <c:idx val="4"/>
          <c:order val="1"/>
          <c:tx>
            <c:strRef>
              <c:f>Dat_01!$B$176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Dat_01!$C$176:$O$176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-1.466</c:v>
                </c:pt>
                <c:pt idx="3">
                  <c:v>-3.5109999999999997</c:v>
                </c:pt>
                <c:pt idx="4">
                  <c:v>-8.7720000000000002</c:v>
                </c:pt>
                <c:pt idx="5">
                  <c:v>-14.031000000000001</c:v>
                </c:pt>
                <c:pt idx="6">
                  <c:v>-17.222999999999999</c:v>
                </c:pt>
                <c:pt idx="7">
                  <c:v>-16.890999999999998</c:v>
                </c:pt>
                <c:pt idx="8">
                  <c:v>-11.673</c:v>
                </c:pt>
                <c:pt idx="9">
                  <c:v>-58.445999999999998</c:v>
                </c:pt>
                <c:pt idx="10">
                  <c:v>-13.491</c:v>
                </c:pt>
                <c:pt idx="11">
                  <c:v>-22.315000000000001</c:v>
                </c:pt>
                <c:pt idx="12">
                  <c:v>-22.401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Dat_01!$B$177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Dat_01!$C$171:$O$171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Dat_01!$C$177:$O$177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-1.466</c:v>
                </c:pt>
                <c:pt idx="3">
                  <c:v>-3.5109999999999997</c:v>
                </c:pt>
                <c:pt idx="4">
                  <c:v>-8.7720000000000002</c:v>
                </c:pt>
                <c:pt idx="5">
                  <c:v>-13.401</c:v>
                </c:pt>
                <c:pt idx="6">
                  <c:v>-11.645</c:v>
                </c:pt>
                <c:pt idx="7">
                  <c:v>-16.784999999999997</c:v>
                </c:pt>
                <c:pt idx="8">
                  <c:v>-11.672000000000001</c:v>
                </c:pt>
                <c:pt idx="9">
                  <c:v>-21.426999999999992</c:v>
                </c:pt>
                <c:pt idx="10">
                  <c:v>-13.449</c:v>
                </c:pt>
                <c:pt idx="11">
                  <c:v>-22.315000000000001</c:v>
                </c:pt>
                <c:pt idx="12">
                  <c:v>-15.308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38-4A17-8C6F-189399B5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Dat_01!$J$79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val>
            <c:numRef>
              <c:f>Dat_01!$K$79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6-4FF5-A379-4C3A66E99FA7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6-4FF5-A379-4C3A66E99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79.049840664981971</c:v>
                </c:pt>
                <c:pt idx="1">
                  <c:v>20.950159335018046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Dat_01!$J$80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val>
            <c:numRef>
              <c:f>Dat_01!$K$80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60-45BA-ABF4-A832211AA047}"/>
            </c:ext>
          </c:extLst>
        </c:ser>
        <c:ser>
          <c:idx val="1"/>
          <c:order val="1"/>
          <c:invertIfNegative val="0"/>
          <c:dPt>
            <c:idx val="0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0-D646-4162-902E-6A4FD3DA2DFA}"/>
              </c:ext>
            </c:extLst>
          </c:dPt>
          <c:val>
            <c:numRef>
              <c:f>Dat_01!$N$80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60-45BA-ABF4-A832211AA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F-4BBB-AD2E-F29DF68459A0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172.19525899999999</c:v>
                </c:pt>
                <c:pt idx="1">
                  <c:v>174.44350900000001</c:v>
                </c:pt>
                <c:pt idx="2">
                  <c:v>185.23975200000001</c:v>
                </c:pt>
                <c:pt idx="3">
                  <c:v>186.762722</c:v>
                </c:pt>
                <c:pt idx="4">
                  <c:v>190.86327399999999</c:v>
                </c:pt>
                <c:pt idx="5">
                  <c:v>194.63301899999999</c:v>
                </c:pt>
                <c:pt idx="6">
                  <c:v>196.905719</c:v>
                </c:pt>
                <c:pt idx="7">
                  <c:v>199.123884</c:v>
                </c:pt>
                <c:pt idx="8">
                  <c:v>201.02157399999999</c:v>
                </c:pt>
                <c:pt idx="9">
                  <c:v>203.135954</c:v>
                </c:pt>
                <c:pt idx="10">
                  <c:v>205.71820700000001</c:v>
                </c:pt>
                <c:pt idx="11">
                  <c:v>208.77018200000001</c:v>
                </c:pt>
                <c:pt idx="12">
                  <c:v>208.77018200000001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9F-4BBB-AD2E-F29DF68459A0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F-4BBB-AD2E-F29DF68459A0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3.649</c:v>
                </c:pt>
                <c:pt idx="1">
                  <c:v>3.649</c:v>
                </c:pt>
                <c:pt idx="2">
                  <c:v>3.649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9F-4BBB-AD2E-F29DF68459A0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6.0759999999999996</c:v>
                </c:pt>
                <c:pt idx="2">
                  <c:v>6.0759999999999996</c:v>
                </c:pt>
                <c:pt idx="3">
                  <c:v>6.0759999999999996</c:v>
                </c:pt>
                <c:pt idx="4">
                  <c:v>6.0759999999999996</c:v>
                </c:pt>
                <c:pt idx="5">
                  <c:v>6.0759999999999996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9F-4BBB-AD2E-F29DF684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2514.64</c:v>
                </c:pt>
                <c:pt idx="1">
                  <c:v>866.49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3381.13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BE-498D-B1DD-7F03108D75C9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83BE-498D-B1DD-7F03108D75C9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3BE-498D-B1DD-7F03108D75C9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83BE-498D-B1DD-7F03108D75C9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83BE-498D-B1DD-7F03108D75C9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25556.39</c:v>
                </c:pt>
                <c:pt idx="1">
                  <c:v>868.84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26425.23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3BE-498D-B1DD-7F03108D75C9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1735.3256970000009</c:v>
                </c:pt>
                <c:pt idx="1">
                  <c:v>28071.024302999998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3BE-498D-B1DD-7F03108D75C9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83BE-498D-B1DD-7F03108D75C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BE-498D-B1DD-7F03108D75C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BE-498D-B1DD-7F03108D75C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BE-498D-B1DD-7F03108D75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94.177999999999997</c:v>
                </c:pt>
                <c:pt idx="1">
                  <c:v>5.8220000000000001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83BE-498D-B1DD-7F03108D7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87-48CF-A389-531B64313FED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13.49</c:v>
                </c:pt>
                <c:pt idx="1">
                  <c:v>13.49</c:v>
                </c:pt>
                <c:pt idx="2">
                  <c:v>13.49</c:v>
                </c:pt>
                <c:pt idx="3">
                  <c:v>13.49</c:v>
                </c:pt>
                <c:pt idx="4">
                  <c:v>13.49</c:v>
                </c:pt>
                <c:pt idx="5">
                  <c:v>18.11</c:v>
                </c:pt>
                <c:pt idx="6">
                  <c:v>18.11</c:v>
                </c:pt>
                <c:pt idx="7">
                  <c:v>18.11</c:v>
                </c:pt>
                <c:pt idx="8">
                  <c:v>18.11</c:v>
                </c:pt>
                <c:pt idx="9">
                  <c:v>18.11</c:v>
                </c:pt>
                <c:pt idx="10">
                  <c:v>18.11</c:v>
                </c:pt>
                <c:pt idx="11">
                  <c:v>18.11</c:v>
                </c:pt>
                <c:pt idx="12">
                  <c:v>18.11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87-48CF-A389-531B64313FED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133.232336</c:v>
                </c:pt>
                <c:pt idx="1">
                  <c:v>140.19795999999999</c:v>
                </c:pt>
                <c:pt idx="2">
                  <c:v>142.712042</c:v>
                </c:pt>
                <c:pt idx="3">
                  <c:v>145.051117</c:v>
                </c:pt>
                <c:pt idx="4">
                  <c:v>148.02232699999999</c:v>
                </c:pt>
                <c:pt idx="5">
                  <c:v>150.06443200000001</c:v>
                </c:pt>
                <c:pt idx="6">
                  <c:v>152.31351699999999</c:v>
                </c:pt>
                <c:pt idx="7">
                  <c:v>154.57016899999999</c:v>
                </c:pt>
                <c:pt idx="8">
                  <c:v>156.33856900000001</c:v>
                </c:pt>
                <c:pt idx="9">
                  <c:v>158.966759</c:v>
                </c:pt>
                <c:pt idx="10">
                  <c:v>160.96225899999999</c:v>
                </c:pt>
                <c:pt idx="11">
                  <c:v>162.928324</c:v>
                </c:pt>
                <c:pt idx="12">
                  <c:v>162.928324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87-48CF-A389-531B64313FED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3.7999999999999999E-2</c:v>
                </c:pt>
                <c:pt idx="1">
                  <c:v>4.2999999999999997E-2</c:v>
                </c:pt>
                <c:pt idx="2">
                  <c:v>4.2999999999999997E-2</c:v>
                </c:pt>
                <c:pt idx="3">
                  <c:v>4.2999999999999997E-2</c:v>
                </c:pt>
                <c:pt idx="4">
                  <c:v>5.2999999999999999E-2</c:v>
                </c:pt>
                <c:pt idx="5">
                  <c:v>5.2999999999999999E-2</c:v>
                </c:pt>
                <c:pt idx="6">
                  <c:v>5.2999999999999999E-2</c:v>
                </c:pt>
                <c:pt idx="7">
                  <c:v>7.2900000000000006E-2</c:v>
                </c:pt>
                <c:pt idx="8">
                  <c:v>7.2900000000000006E-2</c:v>
                </c:pt>
                <c:pt idx="9">
                  <c:v>7.2900000000000006E-2</c:v>
                </c:pt>
                <c:pt idx="10">
                  <c:v>7.2900000000000006E-2</c:v>
                </c:pt>
                <c:pt idx="11">
                  <c:v>7.2900000000000006E-2</c:v>
                </c:pt>
                <c:pt idx="12">
                  <c:v>7.2900000000000006E-2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87-48CF-A389-531B64313FED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J</c:v>
                </c:pt>
                <c:pt idx="2">
                  <c:v>J</c:v>
                </c:pt>
                <c:pt idx="3">
                  <c:v>A</c:v>
                </c:pt>
                <c:pt idx="4">
                  <c:v>S</c:v>
                </c:pt>
                <c:pt idx="5">
                  <c:v>O</c:v>
                </c:pt>
                <c:pt idx="6">
                  <c:v>N</c:v>
                </c:pt>
                <c:pt idx="7">
                  <c:v>D</c:v>
                </c:pt>
                <c:pt idx="8">
                  <c:v>E</c:v>
                </c:pt>
                <c:pt idx="9">
                  <c:v>F</c:v>
                </c:pt>
                <c:pt idx="10">
                  <c:v>M</c:v>
                </c:pt>
                <c:pt idx="11">
                  <c:v>A</c:v>
                </c:pt>
                <c:pt idx="12">
                  <c:v>M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87-48CF-A389-531B64313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1296.6199999999999</c:v>
                </c:pt>
                <c:pt idx="1">
                  <c:v>882.78</c:v>
                </c:pt>
                <c:pt idx="2">
                  <c:v>1009.34</c:v>
                </c:pt>
                <c:pt idx="3">
                  <c:v>0</c:v>
                </c:pt>
                <c:pt idx="4">
                  <c:v>0</c:v>
                </c:pt>
                <c:pt idx="5">
                  <c:v>3188.74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B8-4651-B27F-8B2F90DF5A0C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9B8-4651-B27F-8B2F90DF5A0C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9B8-4651-B27F-8B2F90DF5A0C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9B8-4651-B27F-8B2F90DF5A0C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9B8-4651-B27F-8B2F90DF5A0C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20356.150000000001</c:v>
                </c:pt>
                <c:pt idx="1">
                  <c:v>1892.61</c:v>
                </c:pt>
                <c:pt idx="2">
                  <c:v>328.54</c:v>
                </c:pt>
                <c:pt idx="3">
                  <c:v>0</c:v>
                </c:pt>
                <c:pt idx="4">
                  <c:v>0</c:v>
                </c:pt>
                <c:pt idx="5">
                  <c:v>22577.3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9B8-4651-B27F-8B2F90DF5A0C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4113.2890291999993</c:v>
                </c:pt>
                <c:pt idx="1">
                  <c:v>22990.7709087</c:v>
                </c:pt>
                <c:pt idx="2">
                  <c:v>24428.257722399998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9B8-4651-B27F-8B2F90DF5A0C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9B8-4651-B27F-8B2F90DF5A0C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9B8-4651-B27F-8B2F90DF5A0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9B8-4651-B27F-8B2F90DF5A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84.036000000000001</c:v>
                </c:pt>
                <c:pt idx="1">
                  <c:v>10.771000000000001</c:v>
                </c:pt>
                <c:pt idx="2">
                  <c:v>5.1920000000000002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9B8-4651-B27F-8B2F90DF5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19918367346938765"/>
                  <c:y val="-3.27555854298700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8612244897959171"/>
                  <c:y val="2.08829460341847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21551020408163268"/>
                  <c:y val="6.79738012931311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23049538807649045"/>
                  <c:y val="2.80607835605915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2183445926402057"/>
                  <c:y val="-5.09606459253568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4693877551020409"/>
                  <c:y val="-0.127032520325203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5.8946570063203332</c:v>
                </c:pt>
                <c:pt idx="2">
                  <c:v>9.5692570082882629</c:v>
                </c:pt>
                <c:pt idx="3">
                  <c:v>62.31052035330891</c:v>
                </c:pt>
                <c:pt idx="5">
                  <c:v>0.71533522035888475</c:v>
                </c:pt>
                <c:pt idx="6">
                  <c:v>2.9566002053206248</c:v>
                </c:pt>
                <c:pt idx="7">
                  <c:v>2.9566002053206248</c:v>
                </c:pt>
                <c:pt idx="8">
                  <c:v>0</c:v>
                </c:pt>
                <c:pt idx="9">
                  <c:v>15.130828859027384</c:v>
                </c:pt>
                <c:pt idx="10">
                  <c:v>0.46620114205497737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81.446369793597015</c:v>
                </c:pt>
                <c:pt idx="1">
                  <c:v>18.553630206402985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Dat_01!$B$124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17.616911000000002</c:v>
                </c:pt>
                <c:pt idx="1">
                  <c:v>36.758597999999999</c:v>
                </c:pt>
                <c:pt idx="2">
                  <c:v>62.363782</c:v>
                </c:pt>
                <c:pt idx="3">
                  <c:v>66.467855</c:v>
                </c:pt>
                <c:pt idx="4">
                  <c:v>45.454340000000002</c:v>
                </c:pt>
                <c:pt idx="5">
                  <c:v>22.456917000000001</c:v>
                </c:pt>
                <c:pt idx="6">
                  <c:v>17.069234000000002</c:v>
                </c:pt>
                <c:pt idx="7">
                  <c:v>11.652042</c:v>
                </c:pt>
                <c:pt idx="8">
                  <c:v>14.892018999999999</c:v>
                </c:pt>
                <c:pt idx="9">
                  <c:v>6.0359920000000002</c:v>
                </c:pt>
                <c:pt idx="10">
                  <c:v>8.5326330000000006</c:v>
                </c:pt>
                <c:pt idx="11">
                  <c:v>8.6196000000000002</c:v>
                </c:pt>
                <c:pt idx="12">
                  <c:v>22.465201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Dat_01!$B$125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Dat_01!$C$125:$O$125</c:f>
              <c:numCache>
                <c:formatCode>#,##0.0</c:formatCode>
                <c:ptCount val="13"/>
                <c:pt idx="0">
                  <c:v>25.468105999999999</c:v>
                </c:pt>
                <c:pt idx="1">
                  <c:v>46.078491</c:v>
                </c:pt>
                <c:pt idx="2">
                  <c:v>58.218541000000002</c:v>
                </c:pt>
                <c:pt idx="3">
                  <c:v>51.241262999999996</c:v>
                </c:pt>
                <c:pt idx="4">
                  <c:v>39.777388999999999</c:v>
                </c:pt>
                <c:pt idx="5">
                  <c:v>43.751629999999999</c:v>
                </c:pt>
                <c:pt idx="6">
                  <c:v>32.383879</c:v>
                </c:pt>
                <c:pt idx="7">
                  <c:v>25.042332999999999</c:v>
                </c:pt>
                <c:pt idx="8">
                  <c:v>28.074463000000002</c:v>
                </c:pt>
                <c:pt idx="9">
                  <c:v>21.743562000000001</c:v>
                </c:pt>
                <c:pt idx="10">
                  <c:v>24.257366999999999</c:v>
                </c:pt>
                <c:pt idx="11">
                  <c:v>22.619537000000001</c:v>
                </c:pt>
                <c:pt idx="12">
                  <c:v>36.469515000000001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244.74023199999999</c:v>
                </c:pt>
                <c:pt idx="1">
                  <c:v>274.475863</c:v>
                </c:pt>
                <c:pt idx="2">
                  <c:v>334.267562</c:v>
                </c:pt>
                <c:pt idx="3">
                  <c:v>319.07413400000002</c:v>
                </c:pt>
                <c:pt idx="4">
                  <c:v>274.82982800000002</c:v>
                </c:pt>
                <c:pt idx="5">
                  <c:v>257.021049</c:v>
                </c:pt>
                <c:pt idx="6">
                  <c:v>234.20941099999999</c:v>
                </c:pt>
                <c:pt idx="7">
                  <c:v>265.032152</c:v>
                </c:pt>
                <c:pt idx="8">
                  <c:v>271.90836200000001</c:v>
                </c:pt>
                <c:pt idx="9">
                  <c:v>219.728983</c:v>
                </c:pt>
                <c:pt idx="10">
                  <c:v>263.66985</c:v>
                </c:pt>
                <c:pt idx="11">
                  <c:v>217.826639</c:v>
                </c:pt>
                <c:pt idx="12">
                  <c:v>237.47240300000001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55.148218999999997</c:v>
                </c:pt>
                <c:pt idx="1">
                  <c:v>64.616387000000003</c:v>
                </c:pt>
                <c:pt idx="2">
                  <c:v>58.301254</c:v>
                </c:pt>
                <c:pt idx="3">
                  <c:v>58.388308000000002</c:v>
                </c:pt>
                <c:pt idx="4">
                  <c:v>48.070135000000001</c:v>
                </c:pt>
                <c:pt idx="5">
                  <c:v>38.159438000000002</c:v>
                </c:pt>
                <c:pt idx="6">
                  <c:v>28.287680999999999</c:v>
                </c:pt>
                <c:pt idx="7">
                  <c:v>21.457460999999999</c:v>
                </c:pt>
                <c:pt idx="8">
                  <c:v>26.531222</c:v>
                </c:pt>
                <c:pt idx="9">
                  <c:v>38.510109999999997</c:v>
                </c:pt>
                <c:pt idx="10">
                  <c:v>42.581280999999997</c:v>
                </c:pt>
                <c:pt idx="11">
                  <c:v>59.468370999999998</c:v>
                </c:pt>
                <c:pt idx="12">
                  <c:v>57.665291000000003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0.242977</c:v>
                </c:pt>
                <c:pt idx="1">
                  <c:v>0.25375799999999998</c:v>
                </c:pt>
                <c:pt idx="2">
                  <c:v>0.13533500000000001</c:v>
                </c:pt>
                <c:pt idx="3">
                  <c:v>6.2700000000000006E-2</c:v>
                </c:pt>
                <c:pt idx="4">
                  <c:v>0.16319</c:v>
                </c:pt>
                <c:pt idx="5">
                  <c:v>0.72397699999999998</c:v>
                </c:pt>
                <c:pt idx="6">
                  <c:v>1.328557</c:v>
                </c:pt>
                <c:pt idx="7">
                  <c:v>0.812226</c:v>
                </c:pt>
                <c:pt idx="8">
                  <c:v>0.97993699999999995</c:v>
                </c:pt>
                <c:pt idx="9">
                  <c:v>0.94255900000000004</c:v>
                </c:pt>
                <c:pt idx="10">
                  <c:v>1.3661909999999999</c:v>
                </c:pt>
                <c:pt idx="11">
                  <c:v>1.581583</c:v>
                </c:pt>
                <c:pt idx="12">
                  <c:v>1.776745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3.266893</c:v>
                </c:pt>
                <c:pt idx="1">
                  <c:v>4.1208809999999998</c:v>
                </c:pt>
                <c:pt idx="2">
                  <c:v>3.573118</c:v>
                </c:pt>
                <c:pt idx="3">
                  <c:v>3.1659009999999999</c:v>
                </c:pt>
                <c:pt idx="4">
                  <c:v>2.336195</c:v>
                </c:pt>
                <c:pt idx="5">
                  <c:v>3.0284080000000002</c:v>
                </c:pt>
                <c:pt idx="6">
                  <c:v>2.5220250000000002</c:v>
                </c:pt>
                <c:pt idx="7">
                  <c:v>3.7919230000000002</c:v>
                </c:pt>
                <c:pt idx="8">
                  <c:v>3.4251860000000001</c:v>
                </c:pt>
                <c:pt idx="9">
                  <c:v>1.3775310000000001</c:v>
                </c:pt>
                <c:pt idx="10">
                  <c:v>0.98716599999999999</c:v>
                </c:pt>
                <c:pt idx="11">
                  <c:v>2.6262699999999999</c:v>
                </c:pt>
                <c:pt idx="12">
                  <c:v>2.7262230000000001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10.486427000000001</c:v>
                </c:pt>
                <c:pt idx="1">
                  <c:v>14.345347</c:v>
                </c:pt>
                <c:pt idx="2">
                  <c:v>13.9802175</c:v>
                </c:pt>
                <c:pt idx="3">
                  <c:v>11.851319</c:v>
                </c:pt>
                <c:pt idx="4">
                  <c:v>13.92998</c:v>
                </c:pt>
                <c:pt idx="5">
                  <c:v>8.0829000000000004</c:v>
                </c:pt>
                <c:pt idx="6">
                  <c:v>12.386824499999999</c:v>
                </c:pt>
                <c:pt idx="7">
                  <c:v>9.5741110000000003</c:v>
                </c:pt>
                <c:pt idx="8">
                  <c:v>8.3717509999999997</c:v>
                </c:pt>
                <c:pt idx="9">
                  <c:v>4.8198524999999997</c:v>
                </c:pt>
                <c:pt idx="10">
                  <c:v>9.7177954999999994</c:v>
                </c:pt>
                <c:pt idx="11">
                  <c:v>15.144128</c:v>
                </c:pt>
                <c:pt idx="12">
                  <c:v>11.267936000000001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10.486427000000001</c:v>
                </c:pt>
                <c:pt idx="1">
                  <c:v>14.345347</c:v>
                </c:pt>
                <c:pt idx="2">
                  <c:v>13.9802175</c:v>
                </c:pt>
                <c:pt idx="3">
                  <c:v>11.851319</c:v>
                </c:pt>
                <c:pt idx="4">
                  <c:v>13.92998</c:v>
                </c:pt>
                <c:pt idx="5">
                  <c:v>8.0829000000000004</c:v>
                </c:pt>
                <c:pt idx="6">
                  <c:v>12.386824499999999</c:v>
                </c:pt>
                <c:pt idx="7">
                  <c:v>9.5741110000000003</c:v>
                </c:pt>
                <c:pt idx="8">
                  <c:v>8.3717509999999997</c:v>
                </c:pt>
                <c:pt idx="9">
                  <c:v>4.8198524999999997</c:v>
                </c:pt>
                <c:pt idx="10">
                  <c:v>9.7177954999999994</c:v>
                </c:pt>
                <c:pt idx="11">
                  <c:v>15.144128</c:v>
                </c:pt>
                <c:pt idx="12">
                  <c:v>11.267936000000001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Dat_01!$B$123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Dat_01!$C$123:$O$123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Dat_01!$B$139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43.085017000000001</c:v>
                </c:pt>
                <c:pt idx="1">
                  <c:v>82.837088999999992</c:v>
                </c:pt>
                <c:pt idx="2">
                  <c:v>120.582323</c:v>
                </c:pt>
                <c:pt idx="3">
                  <c:v>117.70911799999999</c:v>
                </c:pt>
                <c:pt idx="4">
                  <c:v>85.231729000000001</c:v>
                </c:pt>
                <c:pt idx="5">
                  <c:v>66.208546999999996</c:v>
                </c:pt>
                <c:pt idx="6">
                  <c:v>49.453113000000002</c:v>
                </c:pt>
                <c:pt idx="7">
                  <c:v>36.694375000000001</c:v>
                </c:pt>
                <c:pt idx="8">
                  <c:v>42.966481999999999</c:v>
                </c:pt>
                <c:pt idx="9">
                  <c:v>27.779554000000001</c:v>
                </c:pt>
                <c:pt idx="10">
                  <c:v>32.79</c:v>
                </c:pt>
                <c:pt idx="11">
                  <c:v>31.239136999999999</c:v>
                </c:pt>
                <c:pt idx="12">
                  <c:v>58.934716000000002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Dat_01!$B$126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244.74023199999999</c:v>
                </c:pt>
                <c:pt idx="1">
                  <c:v>274.475863</c:v>
                </c:pt>
                <c:pt idx="2">
                  <c:v>334.267562</c:v>
                </c:pt>
                <c:pt idx="3">
                  <c:v>319.07413400000002</c:v>
                </c:pt>
                <c:pt idx="4">
                  <c:v>274.82982800000002</c:v>
                </c:pt>
                <c:pt idx="5">
                  <c:v>257.021049</c:v>
                </c:pt>
                <c:pt idx="6">
                  <c:v>234.20941099999999</c:v>
                </c:pt>
                <c:pt idx="7">
                  <c:v>265.032152</c:v>
                </c:pt>
                <c:pt idx="8">
                  <c:v>271.90836200000001</c:v>
                </c:pt>
                <c:pt idx="9">
                  <c:v>219.728983</c:v>
                </c:pt>
                <c:pt idx="10">
                  <c:v>263.66985</c:v>
                </c:pt>
                <c:pt idx="11">
                  <c:v>217.826639</c:v>
                </c:pt>
                <c:pt idx="12">
                  <c:v>237.47240300000001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Dat_01!$B$129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55.148218999999997</c:v>
                </c:pt>
                <c:pt idx="1">
                  <c:v>64.616387000000003</c:v>
                </c:pt>
                <c:pt idx="2">
                  <c:v>58.301254</c:v>
                </c:pt>
                <c:pt idx="3">
                  <c:v>58.388308000000002</c:v>
                </c:pt>
                <c:pt idx="4">
                  <c:v>48.070135000000001</c:v>
                </c:pt>
                <c:pt idx="5">
                  <c:v>38.159438000000002</c:v>
                </c:pt>
                <c:pt idx="6">
                  <c:v>28.287680999999999</c:v>
                </c:pt>
                <c:pt idx="7">
                  <c:v>21.457460999999999</c:v>
                </c:pt>
                <c:pt idx="8">
                  <c:v>26.531222</c:v>
                </c:pt>
                <c:pt idx="9">
                  <c:v>38.510109999999997</c:v>
                </c:pt>
                <c:pt idx="10">
                  <c:v>42.581280999999997</c:v>
                </c:pt>
                <c:pt idx="11">
                  <c:v>59.468370999999998</c:v>
                </c:pt>
                <c:pt idx="12">
                  <c:v>57.665291000000003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Dat_01!$B$130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0.242977</c:v>
                </c:pt>
                <c:pt idx="1">
                  <c:v>0.25375799999999998</c:v>
                </c:pt>
                <c:pt idx="2">
                  <c:v>0.13533500000000001</c:v>
                </c:pt>
                <c:pt idx="3">
                  <c:v>6.2700000000000006E-2</c:v>
                </c:pt>
                <c:pt idx="4">
                  <c:v>0.16319</c:v>
                </c:pt>
                <c:pt idx="5">
                  <c:v>0.72397699999999998</c:v>
                </c:pt>
                <c:pt idx="6">
                  <c:v>1.328557</c:v>
                </c:pt>
                <c:pt idx="7">
                  <c:v>0.812226</c:v>
                </c:pt>
                <c:pt idx="8">
                  <c:v>0.97993699999999995</c:v>
                </c:pt>
                <c:pt idx="9">
                  <c:v>0.94255900000000004</c:v>
                </c:pt>
                <c:pt idx="10">
                  <c:v>1.3661909999999999</c:v>
                </c:pt>
                <c:pt idx="11">
                  <c:v>1.581583</c:v>
                </c:pt>
                <c:pt idx="12">
                  <c:v>1.776745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Dat_01!$B$131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Dat_01!$C$131:$O$131</c:f>
              <c:numCache>
                <c:formatCode>#,##0.0</c:formatCode>
                <c:ptCount val="13"/>
                <c:pt idx="0">
                  <c:v>3.266893</c:v>
                </c:pt>
                <c:pt idx="1">
                  <c:v>4.1208809999999998</c:v>
                </c:pt>
                <c:pt idx="2">
                  <c:v>3.573118</c:v>
                </c:pt>
                <c:pt idx="3">
                  <c:v>3.1659009999999999</c:v>
                </c:pt>
                <c:pt idx="4">
                  <c:v>2.336195</c:v>
                </c:pt>
                <c:pt idx="5">
                  <c:v>3.0284080000000002</c:v>
                </c:pt>
                <c:pt idx="6">
                  <c:v>2.5220250000000002</c:v>
                </c:pt>
                <c:pt idx="7">
                  <c:v>3.7919230000000002</c:v>
                </c:pt>
                <c:pt idx="8">
                  <c:v>3.4251860000000001</c:v>
                </c:pt>
                <c:pt idx="9">
                  <c:v>1.3775310000000001</c:v>
                </c:pt>
                <c:pt idx="10">
                  <c:v>0.98716599999999999</c:v>
                </c:pt>
                <c:pt idx="11">
                  <c:v>2.6262699999999999</c:v>
                </c:pt>
                <c:pt idx="12">
                  <c:v>2.7262230000000001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Dat_01!$C$122:$O$122</c:f>
              <c:strCache>
                <c:ptCount val="13"/>
                <c:pt idx="0">
                  <c:v>may.-25</c:v>
                </c:pt>
                <c:pt idx="1">
                  <c:v>jun.-25</c:v>
                </c:pt>
                <c:pt idx="2">
                  <c:v>jul.-25</c:v>
                </c:pt>
                <c:pt idx="3">
                  <c:v>ago.-25</c:v>
                </c:pt>
                <c:pt idx="4">
                  <c:v>sep.-25</c:v>
                </c:pt>
                <c:pt idx="5">
                  <c:v>oct.-25</c:v>
                </c:pt>
                <c:pt idx="6">
                  <c:v>nov.-25</c:v>
                </c:pt>
                <c:pt idx="7">
                  <c:v>dic.-25</c:v>
                </c:pt>
                <c:pt idx="8">
                  <c:v>ene.-26</c:v>
                </c:pt>
                <c:pt idx="9">
                  <c:v>feb.-26</c:v>
                </c:pt>
                <c:pt idx="10">
                  <c:v>mar.-26</c:v>
                </c:pt>
                <c:pt idx="11">
                  <c:v>abr.-26</c:v>
                </c:pt>
                <c:pt idx="12">
                  <c:v>may.-26</c:v>
                </c:pt>
              </c:strCache>
            </c:strRef>
          </c:cat>
          <c:val>
            <c:numRef>
              <c:f>Dat_01!$C$132:$O$132</c:f>
              <c:numCache>
                <c:formatCode>#,##0.0</c:formatCode>
                <c:ptCount val="13"/>
                <c:pt idx="0">
                  <c:v>10.486427000000001</c:v>
                </c:pt>
                <c:pt idx="1">
                  <c:v>14.345347</c:v>
                </c:pt>
                <c:pt idx="2">
                  <c:v>13.9802175</c:v>
                </c:pt>
                <c:pt idx="3">
                  <c:v>11.851319</c:v>
                </c:pt>
                <c:pt idx="4">
                  <c:v>13.92998</c:v>
                </c:pt>
                <c:pt idx="5">
                  <c:v>8.0829000000000004</c:v>
                </c:pt>
                <c:pt idx="6">
                  <c:v>12.386824499999999</c:v>
                </c:pt>
                <c:pt idx="7">
                  <c:v>9.5741110000000003</c:v>
                </c:pt>
                <c:pt idx="8">
                  <c:v>8.3717509999999997</c:v>
                </c:pt>
                <c:pt idx="9">
                  <c:v>4.8198524999999997</c:v>
                </c:pt>
                <c:pt idx="10">
                  <c:v>9.7177954999999994</c:v>
                </c:pt>
                <c:pt idx="11">
                  <c:v>15.144128</c:v>
                </c:pt>
                <c:pt idx="12">
                  <c:v>11.267936000000001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Dat_01!$C$133:$O$133</c:f>
              <c:numCache>
                <c:formatCode>#,##0.0</c:formatCode>
                <c:ptCount val="13"/>
                <c:pt idx="0">
                  <c:v>10.486427000000001</c:v>
                </c:pt>
                <c:pt idx="1">
                  <c:v>14.345347</c:v>
                </c:pt>
                <c:pt idx="2">
                  <c:v>13.9802175</c:v>
                </c:pt>
                <c:pt idx="3">
                  <c:v>11.851319</c:v>
                </c:pt>
                <c:pt idx="4">
                  <c:v>13.92998</c:v>
                </c:pt>
                <c:pt idx="5">
                  <c:v>8.0829000000000004</c:v>
                </c:pt>
                <c:pt idx="6">
                  <c:v>12.386824499999999</c:v>
                </c:pt>
                <c:pt idx="7">
                  <c:v>9.5741110000000003</c:v>
                </c:pt>
                <c:pt idx="8">
                  <c:v>8.3717509999999997</c:v>
                </c:pt>
                <c:pt idx="9">
                  <c:v>4.8198524999999997</c:v>
                </c:pt>
                <c:pt idx="10">
                  <c:v>9.7177954999999994</c:v>
                </c:pt>
                <c:pt idx="11">
                  <c:v>15.144128</c:v>
                </c:pt>
                <c:pt idx="12">
                  <c:v>11.267936000000001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14.181522237018166</c:v>
                </c:pt>
                <c:pt idx="1">
                  <c:v>15.144425610957285</c:v>
                </c:pt>
                <c:pt idx="2">
                  <c:v>14.036112485592749</c:v>
                </c:pt>
                <c:pt idx="3">
                  <c:v>25.167519776711352</c:v>
                </c:pt>
                <c:pt idx="4">
                  <c:v>1.1109305008901937</c:v>
                </c:pt>
                <c:pt idx="5">
                  <c:v>2.2189528067518786E-2</c:v>
                </c:pt>
                <c:pt idx="6">
                  <c:v>0.32920767722714633</c:v>
                </c:pt>
                <c:pt idx="7">
                  <c:v>19.701130991375607</c:v>
                </c:pt>
                <c:pt idx="8">
                  <c:v>10.05086553794955</c:v>
                </c:pt>
                <c:pt idx="9">
                  <c:v>0.25609565421044617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7560975609756097"/>
                  <c:y val="-5.05044773815037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691090199090966"/>
                  <c:y val="1.70652418447694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5.90753655793026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7.3170859740093463E-2"/>
                  <c:y val="-0.158008144202562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463415914474106"/>
                  <c:y val="-0.1323527481858885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19.639496747332611</c:v>
                </c:pt>
                <c:pt idx="1">
                  <c:v>2.9848702523862642</c:v>
                </c:pt>
                <c:pt idx="2">
                  <c:v>15.657147138817983</c:v>
                </c:pt>
                <c:pt idx="3">
                  <c:v>42.281283287045731</c:v>
                </c:pt>
                <c:pt idx="4">
                  <c:v>0</c:v>
                </c:pt>
                <c:pt idx="5">
                  <c:v>0</c:v>
                </c:pt>
                <c:pt idx="6">
                  <c:v>0.2321882148690117</c:v>
                </c:pt>
                <c:pt idx="7">
                  <c:v>12.611183852211418</c:v>
                </c:pt>
                <c:pt idx="8">
                  <c:v>6.4440040711874289</c:v>
                </c:pt>
                <c:pt idx="9">
                  <c:v>0.14982643614953844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69.640510611169731</c:v>
                </c:pt>
                <c:pt idx="1">
                  <c:v>30.359489388830269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1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10160</xdr:colOff>
      <xdr:row>3</xdr:row>
      <xdr:rowOff>17780</xdr:rowOff>
    </xdr:from>
    <xdr:to>
      <xdr:col>7</xdr:col>
      <xdr:colOff>18530</xdr:colOff>
      <xdr:row>3</xdr:row>
      <xdr:rowOff>17780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C065DB-D69E-407D-A427-6BEB85816BC9}"/>
            </a:ext>
          </a:extLst>
        </xdr:cNvPr>
        <xdr:cNvSpPr>
          <a:spLocks noChangeShapeType="1"/>
        </xdr:cNvSpPr>
      </xdr:nvSpPr>
      <xdr:spPr bwMode="auto">
        <a:xfrm flipH="1">
          <a:off x="216533" y="488315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C145AE-6B3A-448A-988E-E9F97BAC0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23825"/>
          <a:ext cx="1813559" cy="2190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846CDD70-5C82-496E-A1D2-DE93557379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7">
      <xdr:nvSpPr>
        <xdr:cNvPr id="5" name="CuadroTexto 1">
          <a:extLst>
            <a:ext uri="{FF2B5EF4-FFF2-40B4-BE49-F238E27FC236}">
              <a16:creationId xmlns:a16="http://schemas.microsoft.com/office/drawing/2014/main" id="{18F5699A-6899-41A0-8F70-327DBA57117A}"/>
            </a:ext>
          </a:extLst>
        </xdr:cNvPr>
        <xdr:cNvSpPr txBox="1"/>
      </xdr:nvSpPr>
      <xdr:spPr>
        <a:xfrm>
          <a:off x="2407920" y="1459230"/>
          <a:ext cx="631166" cy="413385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D5C98716-3E6A-4DDF-8536-CF453E576FC4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5,1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B7F2F3-6D02-4F9F-8755-60AFF2A01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7039950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7DE2E272-FE18-47ED-9AE4-23E5D180D3C3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5635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95249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96D2463-19B9-49B7-889C-47DAD0E3D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" y="125730"/>
          <a:ext cx="1805939" cy="215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19685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24D9F4A-EE65-47AA-8919-FD1AB9731DD1}"/>
            </a:ext>
          </a:extLst>
        </xdr:cNvPr>
        <xdr:cNvSpPr>
          <a:spLocks noChangeShapeType="1"/>
        </xdr:cNvSpPr>
      </xdr:nvSpPr>
      <xdr:spPr bwMode="auto">
        <a:xfrm flipH="1">
          <a:off x="208280" y="488315"/>
          <a:ext cx="61672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93339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50486A0-EF85-4B73-B3EA-D4699EE5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39065"/>
          <a:ext cx="1813559" cy="2266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1D654894-0F99-41EA-BA9F-18707FAE8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5</xdr:col>
      <xdr:colOff>1813559</xdr:colOff>
      <xdr:row>33</xdr:row>
      <xdr:rowOff>7620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6DBD27D0-F4CB-4D18-84C8-92A786685B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75A10F7-067B-4CE4-B5A2-7B2F6B18D91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7,09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80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36CEE53-396F-443E-A587-982F0C862A5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-22,40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C14628-CEC4-424C-AACA-941420357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DBB0ACCE-8E5A-430C-A8C9-E48F0654454A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C3D538B-9937-4FCA-AFF9-4BADC434D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C9E7605-0793-43E4-9AFE-050BFC8F60E6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2E9DDF-EFC5-48C7-AA4A-DF5F6D2BD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EA53AE6-7484-4FB0-A080-E390523FD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36B71D9-F122-41B6-B317-FF819FCA30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28.071,0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EAB5180-E7CA-455D-B741-F3E0F9B4018D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 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141E1C6A-D938-4C01-9195-934015C73A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1.735,3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72796E1-DA33-48BF-B3F6-84722397932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29.806,4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509E584-5C42-4CE0-9D2F-B6DA202E6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BCAB9C8-86F0-4D6A-BC26-E3D07689A84F}"/>
            </a:ext>
          </a:extLst>
        </xdr:cNvPr>
        <xdr:cNvSpPr>
          <a:spLocks noChangeShapeType="1"/>
        </xdr:cNvSpPr>
      </xdr:nvSpPr>
      <xdr:spPr bwMode="auto">
        <a:xfrm flipH="1">
          <a:off x="210820" y="487045"/>
          <a:ext cx="869622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39B77D0-DF19-47C0-AB59-005440236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28055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DEA6B5-91F7-45B4-A8D5-B698126DDC80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B2EB2C-FBCB-44B1-A2D0-EADB8AED7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A57E7B4-E81A-40D8-9853-4090417A7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66B0DC6-8C5F-458F-BE48-58B91437216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21.652,8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8091383-4E79-4E6C-BBF3-9CFBEB77B15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1.337,9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A80B5CA5-1E0E-41E9-96BA-DE37822100C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2.775,4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414F37F-7BD7-4D1F-9F9F-A762528B290F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25.766,0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135254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H4" sqref="H4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Mayo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Mayo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102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Mayo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2" t="s">
        <v>120</v>
      </c>
      <c r="D7" s="37"/>
      <c r="E7" s="41"/>
    </row>
    <row r="8" spans="2:6" s="31" customFormat="1" ht="12.75" customHeight="1">
      <c r="B8" s="39"/>
      <c r="C8" s="262"/>
      <c r="D8" s="37"/>
      <c r="E8" s="41"/>
    </row>
    <row r="9" spans="2:6" s="31" customFormat="1" ht="12.75" customHeight="1">
      <c r="B9" s="39"/>
      <c r="C9" s="262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Mayo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2" t="s">
        <v>125</v>
      </c>
      <c r="C7" s="190"/>
      <c r="D7" s="193"/>
      <c r="E7" s="185"/>
      <c r="F7" s="194"/>
    </row>
    <row r="8" spans="1:13" ht="12.75" customHeight="1">
      <c r="A8" s="186"/>
      <c r="B8" s="262"/>
      <c r="C8" s="190"/>
      <c r="D8" s="193"/>
      <c r="E8" s="185"/>
      <c r="F8" s="194"/>
    </row>
    <row r="9" spans="1:13">
      <c r="A9" s="187"/>
      <c r="B9" s="262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Mayo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126</v>
      </c>
      <c r="D7" s="55"/>
      <c r="E7" s="266" t="s">
        <v>127</v>
      </c>
      <c r="F7" s="266"/>
      <c r="G7" s="203"/>
    </row>
    <row r="8" spans="1:14" ht="12.75" customHeight="1">
      <c r="A8" s="58"/>
      <c r="B8" s="57"/>
      <c r="C8" s="263"/>
      <c r="D8" s="55"/>
      <c r="E8" s="267" t="str">
        <f>CONCATENATE(TEXT(SUM(Dat_01!R23:R24),"0,00")," MWh")</f>
        <v>0,00 MWh</v>
      </c>
      <c r="F8" s="267"/>
      <c r="G8" s="204"/>
    </row>
    <row r="9" spans="1:14">
      <c r="A9" s="58"/>
      <c r="B9" s="57"/>
      <c r="C9" s="263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64" t="s">
        <v>123</v>
      </c>
      <c r="F10" s="265" t="str">
        <f>CONCATENATE(TEXT(Dat_01!R23,"0,00")," MWh")</f>
        <v>0,00 MWh</v>
      </c>
    </row>
    <row r="11" spans="1:14">
      <c r="E11" s="264"/>
      <c r="F11" s="265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64" t="s">
        <v>124</v>
      </c>
      <c r="F23" s="265" t="str">
        <f>CONCATENATE(TEXT(Dat_01!R24,"0,00")," MWh")</f>
        <v>0,00 MWh</v>
      </c>
    </row>
    <row r="24" spans="1:14" s="212" customFormat="1">
      <c r="A24" s="54"/>
      <c r="B24" s="54"/>
      <c r="C24" s="54"/>
      <c r="D24" s="54"/>
      <c r="E24" s="264"/>
      <c r="F24" s="265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13AC2-E52D-4F92-B10A-F63D965553D1}">
  <sheetPr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Mayo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2" t="s">
        <v>140</v>
      </c>
      <c r="D7" s="37"/>
      <c r="E7" s="41"/>
    </row>
    <row r="8" spans="2:6" s="31" customFormat="1" ht="12.75" customHeight="1">
      <c r="B8" s="39"/>
      <c r="C8" s="262"/>
      <c r="D8" s="37"/>
      <c r="E8" s="41"/>
    </row>
    <row r="9" spans="2:6" s="31" customFormat="1" ht="12.75" customHeight="1">
      <c r="B9" s="39"/>
      <c r="C9" s="262"/>
      <c r="D9" s="37"/>
      <c r="E9" s="41"/>
    </row>
    <row r="10" spans="2:6" s="31" customFormat="1" ht="12.75" customHeight="1">
      <c r="B10" s="39"/>
      <c r="C10" s="183" t="str">
        <f>CONCATENATE(TEXT(Dat_01!C47,"0,0")," MW")</f>
        <v>5,1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C5F00-2979-46CB-BEED-720244A67E2F}">
  <sheetPr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Mayo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2" t="s">
        <v>141</v>
      </c>
      <c r="C7" s="190"/>
      <c r="D7" s="193"/>
      <c r="E7" s="185"/>
      <c r="F7" s="194"/>
    </row>
    <row r="8" spans="1:13" ht="12.75" customHeight="1">
      <c r="A8" s="186"/>
      <c r="B8" s="262"/>
      <c r="C8" s="190"/>
      <c r="D8" s="193"/>
      <c r="E8" s="185"/>
      <c r="F8" s="194"/>
    </row>
    <row r="9" spans="1:13">
      <c r="A9" s="187"/>
      <c r="B9" s="262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925EE-FC71-4BB2-B6EC-ACBE88198869}">
  <sheetPr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5703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5703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5703125" style="205"/>
    <col min="260" max="260" width="13.42578125" style="205" bestFit="1" customWidth="1"/>
    <col min="261" max="497" width="11.5703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5703125" style="205"/>
    <col min="516" max="516" width="13.42578125" style="205" bestFit="1" customWidth="1"/>
    <col min="517" max="753" width="11.5703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5703125" style="205"/>
    <col min="772" max="772" width="13.42578125" style="205" bestFit="1" customWidth="1"/>
    <col min="773" max="1009" width="11.5703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5703125" style="205"/>
    <col min="1028" max="1028" width="13.42578125" style="205" bestFit="1" customWidth="1"/>
    <col min="1029" max="1265" width="11.5703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5703125" style="205"/>
    <col min="1284" max="1284" width="13.42578125" style="205" bestFit="1" customWidth="1"/>
    <col min="1285" max="1521" width="11.5703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5703125" style="205"/>
    <col min="1540" max="1540" width="13.42578125" style="205" bestFit="1" customWidth="1"/>
    <col min="1541" max="1777" width="11.5703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5703125" style="205"/>
    <col min="1796" max="1796" width="13.42578125" style="205" bestFit="1" customWidth="1"/>
    <col min="1797" max="2033" width="11.5703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5703125" style="205"/>
    <col min="2052" max="2052" width="13.42578125" style="205" bestFit="1" customWidth="1"/>
    <col min="2053" max="2289" width="11.5703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5703125" style="205"/>
    <col min="2308" max="2308" width="13.42578125" style="205" bestFit="1" customWidth="1"/>
    <col min="2309" max="2545" width="11.5703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5703125" style="205"/>
    <col min="2564" max="2564" width="13.42578125" style="205" bestFit="1" customWidth="1"/>
    <col min="2565" max="2801" width="11.5703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5703125" style="205"/>
    <col min="2820" max="2820" width="13.42578125" style="205" bestFit="1" customWidth="1"/>
    <col min="2821" max="3057" width="11.5703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5703125" style="205"/>
    <col min="3076" max="3076" width="13.42578125" style="205" bestFit="1" customWidth="1"/>
    <col min="3077" max="3313" width="11.5703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5703125" style="205"/>
    <col min="3332" max="3332" width="13.42578125" style="205" bestFit="1" customWidth="1"/>
    <col min="3333" max="3569" width="11.5703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5703125" style="205"/>
    <col min="3588" max="3588" width="13.42578125" style="205" bestFit="1" customWidth="1"/>
    <col min="3589" max="3825" width="11.5703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5703125" style="205"/>
    <col min="3844" max="3844" width="13.42578125" style="205" bestFit="1" customWidth="1"/>
    <col min="3845" max="4081" width="11.5703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5703125" style="205"/>
    <col min="4100" max="4100" width="13.42578125" style="205" bestFit="1" customWidth="1"/>
    <col min="4101" max="4337" width="11.5703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5703125" style="205"/>
    <col min="4356" max="4356" width="13.42578125" style="205" bestFit="1" customWidth="1"/>
    <col min="4357" max="4593" width="11.5703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5703125" style="205"/>
    <col min="4612" max="4612" width="13.42578125" style="205" bestFit="1" customWidth="1"/>
    <col min="4613" max="4849" width="11.5703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5703125" style="205"/>
    <col min="4868" max="4868" width="13.42578125" style="205" bestFit="1" customWidth="1"/>
    <col min="4869" max="5105" width="11.5703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5703125" style="205"/>
    <col min="5124" max="5124" width="13.42578125" style="205" bestFit="1" customWidth="1"/>
    <col min="5125" max="5361" width="11.5703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5703125" style="205"/>
    <col min="5380" max="5380" width="13.42578125" style="205" bestFit="1" customWidth="1"/>
    <col min="5381" max="5617" width="11.5703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5703125" style="205"/>
    <col min="5636" max="5636" width="13.42578125" style="205" bestFit="1" customWidth="1"/>
    <col min="5637" max="5873" width="11.5703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5703125" style="205"/>
    <col min="5892" max="5892" width="13.42578125" style="205" bestFit="1" customWidth="1"/>
    <col min="5893" max="6129" width="11.5703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5703125" style="205"/>
    <col min="6148" max="6148" width="13.42578125" style="205" bestFit="1" customWidth="1"/>
    <col min="6149" max="6385" width="11.5703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5703125" style="205"/>
    <col min="6404" max="6404" width="13.42578125" style="205" bestFit="1" customWidth="1"/>
    <col min="6405" max="6641" width="11.5703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5703125" style="205"/>
    <col min="6660" max="6660" width="13.42578125" style="205" bestFit="1" customWidth="1"/>
    <col min="6661" max="6897" width="11.5703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5703125" style="205"/>
    <col min="6916" max="6916" width="13.42578125" style="205" bestFit="1" customWidth="1"/>
    <col min="6917" max="7153" width="11.5703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5703125" style="205"/>
    <col min="7172" max="7172" width="13.42578125" style="205" bestFit="1" customWidth="1"/>
    <col min="7173" max="7409" width="11.5703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5703125" style="205"/>
    <col min="7428" max="7428" width="13.42578125" style="205" bestFit="1" customWidth="1"/>
    <col min="7429" max="7665" width="11.5703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5703125" style="205"/>
    <col min="7684" max="7684" width="13.42578125" style="205" bestFit="1" customWidth="1"/>
    <col min="7685" max="7921" width="11.5703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5703125" style="205"/>
    <col min="7940" max="7940" width="13.42578125" style="205" bestFit="1" customWidth="1"/>
    <col min="7941" max="8177" width="11.5703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5703125" style="205"/>
    <col min="8196" max="8196" width="13.42578125" style="205" bestFit="1" customWidth="1"/>
    <col min="8197" max="8433" width="11.5703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5703125" style="205"/>
    <col min="8452" max="8452" width="13.42578125" style="205" bestFit="1" customWidth="1"/>
    <col min="8453" max="8689" width="11.5703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5703125" style="205"/>
    <col min="8708" max="8708" width="13.42578125" style="205" bestFit="1" customWidth="1"/>
    <col min="8709" max="8945" width="11.5703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5703125" style="205"/>
    <col min="8964" max="8964" width="13.42578125" style="205" bestFit="1" customWidth="1"/>
    <col min="8965" max="9201" width="11.5703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5703125" style="205"/>
    <col min="9220" max="9220" width="13.42578125" style="205" bestFit="1" customWidth="1"/>
    <col min="9221" max="9457" width="11.5703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5703125" style="205"/>
    <col min="9476" max="9476" width="13.42578125" style="205" bestFit="1" customWidth="1"/>
    <col min="9477" max="9713" width="11.5703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5703125" style="205"/>
    <col min="9732" max="9732" width="13.42578125" style="205" bestFit="1" customWidth="1"/>
    <col min="9733" max="9969" width="11.5703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5703125" style="205"/>
    <col min="9988" max="9988" width="13.42578125" style="205" bestFit="1" customWidth="1"/>
    <col min="9989" max="10225" width="11.5703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5703125" style="205"/>
    <col min="10244" max="10244" width="13.42578125" style="205" bestFit="1" customWidth="1"/>
    <col min="10245" max="10481" width="11.5703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5703125" style="205"/>
    <col min="10500" max="10500" width="13.42578125" style="205" bestFit="1" customWidth="1"/>
    <col min="10501" max="10737" width="11.5703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5703125" style="205"/>
    <col min="10756" max="10756" width="13.42578125" style="205" bestFit="1" customWidth="1"/>
    <col min="10757" max="10993" width="11.5703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5703125" style="205"/>
    <col min="11012" max="11012" width="13.42578125" style="205" bestFit="1" customWidth="1"/>
    <col min="11013" max="11249" width="11.5703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5703125" style="205"/>
    <col min="11268" max="11268" width="13.42578125" style="205" bestFit="1" customWidth="1"/>
    <col min="11269" max="11505" width="11.5703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5703125" style="205"/>
    <col min="11524" max="11524" width="13.42578125" style="205" bestFit="1" customWidth="1"/>
    <col min="11525" max="11761" width="11.5703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5703125" style="205"/>
    <col min="11780" max="11780" width="13.42578125" style="205" bestFit="1" customWidth="1"/>
    <col min="11781" max="12017" width="11.5703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5703125" style="205"/>
    <col min="12036" max="12036" width="13.42578125" style="205" bestFit="1" customWidth="1"/>
    <col min="12037" max="12273" width="11.5703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5703125" style="205"/>
    <col min="12292" max="12292" width="13.42578125" style="205" bestFit="1" customWidth="1"/>
    <col min="12293" max="12529" width="11.5703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5703125" style="205"/>
    <col min="12548" max="12548" width="13.42578125" style="205" bestFit="1" customWidth="1"/>
    <col min="12549" max="12785" width="11.5703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5703125" style="205"/>
    <col min="12804" max="12804" width="13.42578125" style="205" bestFit="1" customWidth="1"/>
    <col min="12805" max="13041" width="11.5703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5703125" style="205"/>
    <col min="13060" max="13060" width="13.42578125" style="205" bestFit="1" customWidth="1"/>
    <col min="13061" max="13297" width="11.5703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5703125" style="205"/>
    <col min="13316" max="13316" width="13.42578125" style="205" bestFit="1" customWidth="1"/>
    <col min="13317" max="13553" width="11.5703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5703125" style="205"/>
    <col min="13572" max="13572" width="13.42578125" style="205" bestFit="1" customWidth="1"/>
    <col min="13573" max="13809" width="11.5703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5703125" style="205"/>
    <col min="13828" max="13828" width="13.42578125" style="205" bestFit="1" customWidth="1"/>
    <col min="13829" max="14065" width="11.5703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5703125" style="205"/>
    <col min="14084" max="14084" width="13.42578125" style="205" bestFit="1" customWidth="1"/>
    <col min="14085" max="14321" width="11.5703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5703125" style="205"/>
    <col min="14340" max="14340" width="13.42578125" style="205" bestFit="1" customWidth="1"/>
    <col min="14341" max="14577" width="11.5703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5703125" style="205"/>
    <col min="14596" max="14596" width="13.42578125" style="205" bestFit="1" customWidth="1"/>
    <col min="14597" max="14833" width="11.5703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5703125" style="205"/>
    <col min="14852" max="14852" width="13.42578125" style="205" bestFit="1" customWidth="1"/>
    <col min="14853" max="15089" width="11.5703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5703125" style="205"/>
    <col min="15108" max="15108" width="13.42578125" style="205" bestFit="1" customWidth="1"/>
    <col min="15109" max="15345" width="11.5703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5703125" style="205"/>
    <col min="15364" max="15364" width="13.42578125" style="205" bestFit="1" customWidth="1"/>
    <col min="15365" max="15601" width="11.5703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5703125" style="205"/>
    <col min="15620" max="15620" width="13.42578125" style="205" bestFit="1" customWidth="1"/>
    <col min="15621" max="15857" width="11.5703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5703125" style="205"/>
    <col min="15876" max="15876" width="13.42578125" style="205" bestFit="1" customWidth="1"/>
    <col min="15877" max="16113" width="11.5703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5703125" style="205"/>
    <col min="16132" max="16132" width="13.42578125" style="205" bestFit="1" customWidth="1"/>
    <col min="16133" max="16384" width="11.5703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Mayo 2026</v>
      </c>
    </row>
    <row r="4" spans="1:14" s="58" customFormat="1" ht="20.25" customHeight="1">
      <c r="B4" s="57"/>
      <c r="C4" s="25" t="s">
        <v>119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142</v>
      </c>
      <c r="D7" s="55"/>
      <c r="E7" s="266" t="s">
        <v>143</v>
      </c>
      <c r="F7" s="266"/>
      <c r="G7" s="203"/>
    </row>
    <row r="8" spans="1:14" ht="12.75" customHeight="1">
      <c r="A8" s="58"/>
      <c r="B8" s="57"/>
      <c r="C8" s="263"/>
      <c r="D8" s="55"/>
      <c r="E8" s="267" t="str">
        <f>CONCATENATE(TEXT(SUM(Dat_01!Z23:Z24),"0,00")," MWh")</f>
        <v>-15,31 MWh</v>
      </c>
      <c r="F8" s="267"/>
      <c r="G8" s="204"/>
    </row>
    <row r="9" spans="1:14">
      <c r="A9" s="58"/>
      <c r="B9" s="57"/>
      <c r="C9" s="263"/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C10" s="206"/>
      <c r="E10" s="264" t="s">
        <v>123</v>
      </c>
      <c r="F10" s="265" t="str">
        <f>CONCATENATE(TEXT(Dat_01!Z23,"0,00")," MWh")</f>
        <v>7,09 MWh</v>
      </c>
    </row>
    <row r="11" spans="1:14">
      <c r="E11" s="264"/>
      <c r="F11" s="265"/>
    </row>
    <row r="12" spans="1:14">
      <c r="E12" s="210"/>
      <c r="F12" s="210"/>
    </row>
    <row r="13" spans="1:14">
      <c r="E13" s="210"/>
      <c r="F13" s="210"/>
    </row>
    <row r="14" spans="1:14">
      <c r="F14" s="210"/>
    </row>
    <row r="15" spans="1:14">
      <c r="E15" s="210"/>
      <c r="F15" s="211"/>
    </row>
    <row r="16" spans="1:14">
      <c r="E16" s="210"/>
      <c r="F16" s="210"/>
    </row>
    <row r="17" spans="1:14">
      <c r="E17" s="210"/>
      <c r="F17" s="210"/>
    </row>
    <row r="18" spans="1:14">
      <c r="E18" s="210"/>
      <c r="F18" s="210"/>
    </row>
    <row r="19" spans="1:14">
      <c r="E19" s="210"/>
      <c r="F19" s="210"/>
    </row>
    <row r="20" spans="1:14">
      <c r="E20" s="210"/>
      <c r="F20" s="210"/>
    </row>
    <row r="21" spans="1:14">
      <c r="E21" s="210"/>
      <c r="F21" s="210"/>
    </row>
    <row r="22" spans="1:14">
      <c r="E22" s="210"/>
      <c r="F22" s="210"/>
    </row>
    <row r="23" spans="1:14">
      <c r="E23" s="264" t="s">
        <v>124</v>
      </c>
      <c r="F23" s="265" t="str">
        <f>CONCATENATE(TEXT(Dat_01!Z24,"0,00")," MWh")</f>
        <v>-22,40 MWh</v>
      </c>
    </row>
    <row r="24" spans="1:14" s="212" customFormat="1">
      <c r="A24" s="54"/>
      <c r="B24" s="54"/>
      <c r="C24" s="54"/>
      <c r="D24" s="54"/>
      <c r="E24" s="264"/>
      <c r="F24" s="265"/>
      <c r="G24" s="205"/>
      <c r="H24" s="205"/>
      <c r="I24" s="205"/>
      <c r="J24" s="205"/>
      <c r="K24" s="205"/>
      <c r="L24" s="205"/>
      <c r="M24" s="205"/>
      <c r="N24" s="205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2F24B-A72E-4F9F-945C-A0E2A12FD6EB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150</v>
      </c>
    </row>
    <row r="4" spans="3:25" ht="20.100000000000001" customHeight="1">
      <c r="C4" s="25" t="s">
        <v>151</v>
      </c>
    </row>
    <row r="5" spans="3:25" ht="12.6" customHeight="1"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</row>
    <row r="7" spans="3:25" ht="12.75" customHeight="1">
      <c r="C7" s="252" t="s">
        <v>152</v>
      </c>
      <c r="E7" s="222"/>
    </row>
    <row r="8" spans="3:25">
      <c r="C8" s="252"/>
      <c r="E8" s="222"/>
    </row>
    <row r="9" spans="3:25">
      <c r="C9" s="252"/>
      <c r="E9" s="222"/>
    </row>
    <row r="10" spans="3:25">
      <c r="C10" s="70" t="s">
        <v>27</v>
      </c>
      <c r="E10" s="222"/>
    </row>
    <row r="11" spans="3:25">
      <c r="E11" s="222"/>
    </row>
    <row r="12" spans="3:25">
      <c r="E12" s="222"/>
    </row>
    <row r="13" spans="3:25">
      <c r="E13" s="222"/>
    </row>
    <row r="14" spans="3:25">
      <c r="E14" s="222"/>
    </row>
    <row r="15" spans="3:25">
      <c r="E15" s="222"/>
    </row>
    <row r="16" spans="3:25">
      <c r="E16" s="222"/>
    </row>
    <row r="17" spans="5:11">
      <c r="E17" s="222"/>
    </row>
    <row r="18" spans="5:11">
      <c r="E18" s="222"/>
    </row>
    <row r="19" spans="5:11">
      <c r="E19" s="222"/>
    </row>
    <row r="20" spans="5:11">
      <c r="E20" s="222"/>
    </row>
    <row r="21" spans="5:11">
      <c r="E21" s="222"/>
    </row>
    <row r="22" spans="5:11">
      <c r="E22" s="222"/>
    </row>
    <row r="26" spans="5:11">
      <c r="E26" s="223"/>
      <c r="F26" s="224"/>
      <c r="G26" s="224"/>
      <c r="H26" s="224"/>
      <c r="I26" s="224"/>
      <c r="J26" s="224"/>
      <c r="K26" s="22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30CC6-279B-4312-B227-6607528E53DE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150</v>
      </c>
    </row>
    <row r="4" spans="1:14" s="58" customFormat="1" ht="20.25" customHeight="1">
      <c r="B4" s="57"/>
      <c r="C4" s="25" t="s">
        <v>151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153</v>
      </c>
      <c r="D7" s="55"/>
      <c r="G7" s="203"/>
    </row>
    <row r="8" spans="1:14" ht="12.75" customHeight="1">
      <c r="A8" s="58"/>
      <c r="B8" s="57"/>
      <c r="C8" s="263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67E8E-6A21-42D7-85DD-3E4AB547A165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150</v>
      </c>
    </row>
    <row r="4" spans="3:25" ht="20.100000000000001" customHeight="1">
      <c r="C4" s="25" t="s">
        <v>151</v>
      </c>
    </row>
    <row r="5" spans="3:25" ht="12.6" customHeight="1"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</row>
    <row r="7" spans="3:25" ht="12.75" customHeight="1">
      <c r="C7" s="252" t="s">
        <v>154</v>
      </c>
      <c r="E7" s="222"/>
    </row>
    <row r="8" spans="3:25">
      <c r="C8" s="252"/>
      <c r="E8" s="222"/>
    </row>
    <row r="9" spans="3:25">
      <c r="C9" s="252"/>
      <c r="E9" s="222"/>
    </row>
    <row r="10" spans="3:25">
      <c r="C10" s="70" t="s">
        <v>27</v>
      </c>
      <c r="E10" s="222"/>
    </row>
    <row r="11" spans="3:25">
      <c r="E11" s="222"/>
    </row>
    <row r="12" spans="3:25">
      <c r="E12" s="222"/>
    </row>
    <row r="13" spans="3:25">
      <c r="E13" s="222"/>
    </row>
    <row r="14" spans="3:25">
      <c r="E14" s="222"/>
    </row>
    <row r="15" spans="3:25">
      <c r="E15" s="222"/>
    </row>
    <row r="16" spans="3:25">
      <c r="E16" s="222"/>
    </row>
    <row r="17" spans="5:11">
      <c r="E17" s="222"/>
    </row>
    <row r="18" spans="5:11">
      <c r="E18" s="222"/>
    </row>
    <row r="19" spans="5:11">
      <c r="E19" s="222"/>
    </row>
    <row r="20" spans="5:11">
      <c r="E20" s="222"/>
    </row>
    <row r="21" spans="5:11">
      <c r="E21" s="222"/>
    </row>
    <row r="22" spans="5:11">
      <c r="E22" s="222"/>
    </row>
    <row r="26" spans="5:11">
      <c r="E26" s="223"/>
      <c r="F26" s="224"/>
      <c r="G26" s="224"/>
      <c r="H26" s="224"/>
      <c r="I26" s="224"/>
      <c r="J26" s="224"/>
      <c r="K26" s="22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G14" sqref="G14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Mayo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2" t="s">
        <v>40</v>
      </c>
      <c r="E7" s="66"/>
      <c r="F7" s="253" t="str">
        <f>K3</f>
        <v>Mayo 2026</v>
      </c>
      <c r="G7" s="254"/>
      <c r="H7" s="254" t="s">
        <v>30</v>
      </c>
      <c r="I7" s="254"/>
      <c r="J7" s="254" t="s">
        <v>31</v>
      </c>
      <c r="K7" s="254"/>
    </row>
    <row r="8" spans="3:12">
      <c r="C8" s="252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495.08472999999998</v>
      </c>
      <c r="G9" s="140">
        <f>Dat_01!T26*100</f>
        <v>3.5992608600000002</v>
      </c>
      <c r="H9" s="72">
        <f>Dat_01!U26/1000</f>
        <v>2303.0719570000001</v>
      </c>
      <c r="I9" s="140">
        <f>Dat_01!W26*100</f>
        <v>2.8150820300000001</v>
      </c>
      <c r="J9" s="72">
        <f>Dat_01!X26/1000</f>
        <v>6382.8083949999991</v>
      </c>
      <c r="K9" s="140">
        <f>Dat_01!Y26*100</f>
        <v>4.6436718600000004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Dat_01!D161*100</f>
        <v>9.2999999999999999E-2</v>
      </c>
      <c r="H12" s="91"/>
      <c r="I12" s="91">
        <f>Dat_01!H161*100</f>
        <v>6.5000000000000002E-2</v>
      </c>
      <c r="J12" s="91"/>
      <c r="K12" s="91">
        <f>Dat_01!L161*100</f>
        <v>0.184</v>
      </c>
    </row>
    <row r="13" spans="3:12">
      <c r="E13" s="74" t="s">
        <v>35</v>
      </c>
      <c r="F13" s="73"/>
      <c r="G13" s="91">
        <f>Dat_01!E161*100</f>
        <v>0.23900000000000002</v>
      </c>
      <c r="H13" s="91"/>
      <c r="I13" s="91">
        <f>Dat_01!I161*100</f>
        <v>0.78800000000000003</v>
      </c>
      <c r="J13" s="91"/>
      <c r="K13" s="91">
        <f>Dat_01!M161*100</f>
        <v>1.6469999999999998</v>
      </c>
    </row>
    <row r="14" spans="3:12">
      <c r="E14" s="75" t="s">
        <v>36</v>
      </c>
      <c r="F14" s="76"/>
      <c r="G14" s="92">
        <f>Dat_01!F161*100</f>
        <v>3.2669999999999999</v>
      </c>
      <c r="H14" s="92"/>
      <c r="I14" s="92">
        <f>Dat_01!J161*100</f>
        <v>1.9619999999999997</v>
      </c>
      <c r="J14" s="92"/>
      <c r="K14" s="92">
        <f>Dat_01!N161*100</f>
        <v>2.8129999999999997</v>
      </c>
    </row>
    <row r="15" spans="3:12">
      <c r="E15" s="255" t="s">
        <v>37</v>
      </c>
      <c r="F15" s="255"/>
      <c r="G15" s="255"/>
      <c r="H15" s="255"/>
      <c r="I15" s="255"/>
      <c r="J15" s="255"/>
      <c r="K15" s="255"/>
    </row>
    <row r="16" spans="3:12" ht="21.75" customHeight="1">
      <c r="E16" s="251" t="s">
        <v>38</v>
      </c>
      <c r="F16" s="251"/>
      <c r="G16" s="251"/>
      <c r="H16" s="251"/>
      <c r="I16" s="251"/>
      <c r="J16" s="251"/>
      <c r="K16" s="251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A951-DEA5-4FE7-B667-13944DDA7018}">
  <sheetPr>
    <pageSetUpPr autoPageBreaks="0"/>
  </sheetPr>
  <dimension ref="A1:N20"/>
  <sheetViews>
    <sheetView showGridLines="0" showRowColHeaders="0" topLeftCell="E2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5" customWidth="1"/>
    <col min="6" max="6" width="26.7109375" style="212" customWidth="1"/>
    <col min="7" max="8" width="11.42578125" style="205"/>
    <col min="9" max="12" width="11.5703125" style="205" bestFit="1" customWidth="1"/>
    <col min="13" max="13" width="12.42578125" style="205" bestFit="1" customWidth="1"/>
    <col min="14" max="14" width="11.5703125" style="205" bestFit="1" customWidth="1"/>
    <col min="15" max="241" width="11.42578125" style="205"/>
    <col min="242" max="242" width="0.42578125" style="205" customWidth="1"/>
    <col min="243" max="243" width="2.5703125" style="205" customWidth="1"/>
    <col min="244" max="244" width="15.42578125" style="205" customWidth="1"/>
    <col min="245" max="245" width="1.42578125" style="205" customWidth="1"/>
    <col min="246" max="246" width="27.5703125" style="205" customWidth="1"/>
    <col min="247" max="247" width="6.5703125" style="205" customWidth="1"/>
    <col min="248" max="248" width="1.5703125" style="205" customWidth="1"/>
    <col min="249" max="249" width="10.5703125" style="205" customWidth="1"/>
    <col min="250" max="250" width="5.5703125" style="205" customWidth="1"/>
    <col min="251" max="251" width="1.5703125" style="205" customWidth="1"/>
    <col min="252" max="252" width="10.5703125" style="205" customWidth="1"/>
    <col min="253" max="253" width="6.5703125" style="205" customWidth="1"/>
    <col min="254" max="254" width="1.5703125" style="205" customWidth="1"/>
    <col min="255" max="255" width="10.5703125" style="205" customWidth="1"/>
    <col min="256" max="256" width="9.5703125" style="205" customWidth="1"/>
    <col min="257" max="257" width="13.42578125" style="205" bestFit="1" customWidth="1"/>
    <col min="258" max="258" width="7.5703125" style="205" customWidth="1"/>
    <col min="259" max="259" width="11.42578125" style="205"/>
    <col min="260" max="260" width="13.42578125" style="205" bestFit="1" customWidth="1"/>
    <col min="261" max="497" width="11.42578125" style="205"/>
    <col min="498" max="498" width="0.42578125" style="205" customWidth="1"/>
    <col min="499" max="499" width="2.5703125" style="205" customWidth="1"/>
    <col min="500" max="500" width="15.42578125" style="205" customWidth="1"/>
    <col min="501" max="501" width="1.42578125" style="205" customWidth="1"/>
    <col min="502" max="502" width="27.5703125" style="205" customWidth="1"/>
    <col min="503" max="503" width="6.5703125" style="205" customWidth="1"/>
    <col min="504" max="504" width="1.5703125" style="205" customWidth="1"/>
    <col min="505" max="505" width="10.5703125" style="205" customWidth="1"/>
    <col min="506" max="506" width="5.5703125" style="205" customWidth="1"/>
    <col min="507" max="507" width="1.5703125" style="205" customWidth="1"/>
    <col min="508" max="508" width="10.5703125" style="205" customWidth="1"/>
    <col min="509" max="509" width="6.5703125" style="205" customWidth="1"/>
    <col min="510" max="510" width="1.5703125" style="205" customWidth="1"/>
    <col min="511" max="511" width="10.5703125" style="205" customWidth="1"/>
    <col min="512" max="512" width="9.5703125" style="205" customWidth="1"/>
    <col min="513" max="513" width="13.42578125" style="205" bestFit="1" customWidth="1"/>
    <col min="514" max="514" width="7.5703125" style="205" customWidth="1"/>
    <col min="515" max="515" width="11.42578125" style="205"/>
    <col min="516" max="516" width="13.42578125" style="205" bestFit="1" customWidth="1"/>
    <col min="517" max="753" width="11.42578125" style="205"/>
    <col min="754" max="754" width="0.42578125" style="205" customWidth="1"/>
    <col min="755" max="755" width="2.5703125" style="205" customWidth="1"/>
    <col min="756" max="756" width="15.42578125" style="205" customWidth="1"/>
    <col min="757" max="757" width="1.42578125" style="205" customWidth="1"/>
    <col min="758" max="758" width="27.5703125" style="205" customWidth="1"/>
    <col min="759" max="759" width="6.5703125" style="205" customWidth="1"/>
    <col min="760" max="760" width="1.5703125" style="205" customWidth="1"/>
    <col min="761" max="761" width="10.5703125" style="205" customWidth="1"/>
    <col min="762" max="762" width="5.5703125" style="205" customWidth="1"/>
    <col min="763" max="763" width="1.5703125" style="205" customWidth="1"/>
    <col min="764" max="764" width="10.5703125" style="205" customWidth="1"/>
    <col min="765" max="765" width="6.5703125" style="205" customWidth="1"/>
    <col min="766" max="766" width="1.5703125" style="205" customWidth="1"/>
    <col min="767" max="767" width="10.5703125" style="205" customWidth="1"/>
    <col min="768" max="768" width="9.5703125" style="205" customWidth="1"/>
    <col min="769" max="769" width="13.42578125" style="205" bestFit="1" customWidth="1"/>
    <col min="770" max="770" width="7.5703125" style="205" customWidth="1"/>
    <col min="771" max="771" width="11.42578125" style="205"/>
    <col min="772" max="772" width="13.42578125" style="205" bestFit="1" customWidth="1"/>
    <col min="773" max="1009" width="11.42578125" style="205"/>
    <col min="1010" max="1010" width="0.42578125" style="205" customWidth="1"/>
    <col min="1011" max="1011" width="2.5703125" style="205" customWidth="1"/>
    <col min="1012" max="1012" width="15.42578125" style="205" customWidth="1"/>
    <col min="1013" max="1013" width="1.42578125" style="205" customWidth="1"/>
    <col min="1014" max="1014" width="27.5703125" style="205" customWidth="1"/>
    <col min="1015" max="1015" width="6.5703125" style="205" customWidth="1"/>
    <col min="1016" max="1016" width="1.5703125" style="205" customWidth="1"/>
    <col min="1017" max="1017" width="10.5703125" style="205" customWidth="1"/>
    <col min="1018" max="1018" width="5.5703125" style="205" customWidth="1"/>
    <col min="1019" max="1019" width="1.5703125" style="205" customWidth="1"/>
    <col min="1020" max="1020" width="10.5703125" style="205" customWidth="1"/>
    <col min="1021" max="1021" width="6.5703125" style="205" customWidth="1"/>
    <col min="1022" max="1022" width="1.5703125" style="205" customWidth="1"/>
    <col min="1023" max="1023" width="10.5703125" style="205" customWidth="1"/>
    <col min="1024" max="1024" width="9.5703125" style="205" customWidth="1"/>
    <col min="1025" max="1025" width="13.42578125" style="205" bestFit="1" customWidth="1"/>
    <col min="1026" max="1026" width="7.5703125" style="205" customWidth="1"/>
    <col min="1027" max="1027" width="11.42578125" style="205"/>
    <col min="1028" max="1028" width="13.42578125" style="205" bestFit="1" customWidth="1"/>
    <col min="1029" max="1265" width="11.42578125" style="205"/>
    <col min="1266" max="1266" width="0.42578125" style="205" customWidth="1"/>
    <col min="1267" max="1267" width="2.5703125" style="205" customWidth="1"/>
    <col min="1268" max="1268" width="15.42578125" style="205" customWidth="1"/>
    <col min="1269" max="1269" width="1.42578125" style="205" customWidth="1"/>
    <col min="1270" max="1270" width="27.5703125" style="205" customWidth="1"/>
    <col min="1271" max="1271" width="6.5703125" style="205" customWidth="1"/>
    <col min="1272" max="1272" width="1.5703125" style="205" customWidth="1"/>
    <col min="1273" max="1273" width="10.5703125" style="205" customWidth="1"/>
    <col min="1274" max="1274" width="5.5703125" style="205" customWidth="1"/>
    <col min="1275" max="1275" width="1.5703125" style="205" customWidth="1"/>
    <col min="1276" max="1276" width="10.5703125" style="205" customWidth="1"/>
    <col min="1277" max="1277" width="6.5703125" style="205" customWidth="1"/>
    <col min="1278" max="1278" width="1.5703125" style="205" customWidth="1"/>
    <col min="1279" max="1279" width="10.5703125" style="205" customWidth="1"/>
    <col min="1280" max="1280" width="9.5703125" style="205" customWidth="1"/>
    <col min="1281" max="1281" width="13.42578125" style="205" bestFit="1" customWidth="1"/>
    <col min="1282" max="1282" width="7.5703125" style="205" customWidth="1"/>
    <col min="1283" max="1283" width="11.42578125" style="205"/>
    <col min="1284" max="1284" width="13.42578125" style="205" bestFit="1" customWidth="1"/>
    <col min="1285" max="1521" width="11.42578125" style="205"/>
    <col min="1522" max="1522" width="0.42578125" style="205" customWidth="1"/>
    <col min="1523" max="1523" width="2.5703125" style="205" customWidth="1"/>
    <col min="1524" max="1524" width="15.42578125" style="205" customWidth="1"/>
    <col min="1525" max="1525" width="1.42578125" style="205" customWidth="1"/>
    <col min="1526" max="1526" width="27.5703125" style="205" customWidth="1"/>
    <col min="1527" max="1527" width="6.5703125" style="205" customWidth="1"/>
    <col min="1528" max="1528" width="1.5703125" style="205" customWidth="1"/>
    <col min="1529" max="1529" width="10.5703125" style="205" customWidth="1"/>
    <col min="1530" max="1530" width="5.5703125" style="205" customWidth="1"/>
    <col min="1531" max="1531" width="1.5703125" style="205" customWidth="1"/>
    <col min="1532" max="1532" width="10.5703125" style="205" customWidth="1"/>
    <col min="1533" max="1533" width="6.5703125" style="205" customWidth="1"/>
    <col min="1534" max="1534" width="1.5703125" style="205" customWidth="1"/>
    <col min="1535" max="1535" width="10.5703125" style="205" customWidth="1"/>
    <col min="1536" max="1536" width="9.5703125" style="205" customWidth="1"/>
    <col min="1537" max="1537" width="13.42578125" style="205" bestFit="1" customWidth="1"/>
    <col min="1538" max="1538" width="7.5703125" style="205" customWidth="1"/>
    <col min="1539" max="1539" width="11.42578125" style="205"/>
    <col min="1540" max="1540" width="13.42578125" style="205" bestFit="1" customWidth="1"/>
    <col min="1541" max="1777" width="11.42578125" style="205"/>
    <col min="1778" max="1778" width="0.42578125" style="205" customWidth="1"/>
    <col min="1779" max="1779" width="2.5703125" style="205" customWidth="1"/>
    <col min="1780" max="1780" width="15.42578125" style="205" customWidth="1"/>
    <col min="1781" max="1781" width="1.42578125" style="205" customWidth="1"/>
    <col min="1782" max="1782" width="27.5703125" style="205" customWidth="1"/>
    <col min="1783" max="1783" width="6.5703125" style="205" customWidth="1"/>
    <col min="1784" max="1784" width="1.5703125" style="205" customWidth="1"/>
    <col min="1785" max="1785" width="10.5703125" style="205" customWidth="1"/>
    <col min="1786" max="1786" width="5.5703125" style="205" customWidth="1"/>
    <col min="1787" max="1787" width="1.5703125" style="205" customWidth="1"/>
    <col min="1788" max="1788" width="10.5703125" style="205" customWidth="1"/>
    <col min="1789" max="1789" width="6.5703125" style="205" customWidth="1"/>
    <col min="1790" max="1790" width="1.5703125" style="205" customWidth="1"/>
    <col min="1791" max="1791" width="10.5703125" style="205" customWidth="1"/>
    <col min="1792" max="1792" width="9.5703125" style="205" customWidth="1"/>
    <col min="1793" max="1793" width="13.42578125" style="205" bestFit="1" customWidth="1"/>
    <col min="1794" max="1794" width="7.5703125" style="205" customWidth="1"/>
    <col min="1795" max="1795" width="11.42578125" style="205"/>
    <col min="1796" max="1796" width="13.42578125" style="205" bestFit="1" customWidth="1"/>
    <col min="1797" max="2033" width="11.42578125" style="205"/>
    <col min="2034" max="2034" width="0.42578125" style="205" customWidth="1"/>
    <col min="2035" max="2035" width="2.5703125" style="205" customWidth="1"/>
    <col min="2036" max="2036" width="15.42578125" style="205" customWidth="1"/>
    <col min="2037" max="2037" width="1.42578125" style="205" customWidth="1"/>
    <col min="2038" max="2038" width="27.5703125" style="205" customWidth="1"/>
    <col min="2039" max="2039" width="6.5703125" style="205" customWidth="1"/>
    <col min="2040" max="2040" width="1.5703125" style="205" customWidth="1"/>
    <col min="2041" max="2041" width="10.5703125" style="205" customWidth="1"/>
    <col min="2042" max="2042" width="5.5703125" style="205" customWidth="1"/>
    <col min="2043" max="2043" width="1.5703125" style="205" customWidth="1"/>
    <col min="2044" max="2044" width="10.5703125" style="205" customWidth="1"/>
    <col min="2045" max="2045" width="6.5703125" style="205" customWidth="1"/>
    <col min="2046" max="2046" width="1.5703125" style="205" customWidth="1"/>
    <col min="2047" max="2047" width="10.5703125" style="205" customWidth="1"/>
    <col min="2048" max="2048" width="9.5703125" style="205" customWidth="1"/>
    <col min="2049" max="2049" width="13.42578125" style="205" bestFit="1" customWidth="1"/>
    <col min="2050" max="2050" width="7.5703125" style="205" customWidth="1"/>
    <col min="2051" max="2051" width="11.42578125" style="205"/>
    <col min="2052" max="2052" width="13.42578125" style="205" bestFit="1" customWidth="1"/>
    <col min="2053" max="2289" width="11.42578125" style="205"/>
    <col min="2290" max="2290" width="0.42578125" style="205" customWidth="1"/>
    <col min="2291" max="2291" width="2.5703125" style="205" customWidth="1"/>
    <col min="2292" max="2292" width="15.42578125" style="205" customWidth="1"/>
    <col min="2293" max="2293" width="1.42578125" style="205" customWidth="1"/>
    <col min="2294" max="2294" width="27.5703125" style="205" customWidth="1"/>
    <col min="2295" max="2295" width="6.5703125" style="205" customWidth="1"/>
    <col min="2296" max="2296" width="1.5703125" style="205" customWidth="1"/>
    <col min="2297" max="2297" width="10.5703125" style="205" customWidth="1"/>
    <col min="2298" max="2298" width="5.5703125" style="205" customWidth="1"/>
    <col min="2299" max="2299" width="1.5703125" style="205" customWidth="1"/>
    <col min="2300" max="2300" width="10.5703125" style="205" customWidth="1"/>
    <col min="2301" max="2301" width="6.5703125" style="205" customWidth="1"/>
    <col min="2302" max="2302" width="1.5703125" style="205" customWidth="1"/>
    <col min="2303" max="2303" width="10.5703125" style="205" customWidth="1"/>
    <col min="2304" max="2304" width="9.5703125" style="205" customWidth="1"/>
    <col min="2305" max="2305" width="13.42578125" style="205" bestFit="1" customWidth="1"/>
    <col min="2306" max="2306" width="7.5703125" style="205" customWidth="1"/>
    <col min="2307" max="2307" width="11.42578125" style="205"/>
    <col min="2308" max="2308" width="13.42578125" style="205" bestFit="1" customWidth="1"/>
    <col min="2309" max="2545" width="11.42578125" style="205"/>
    <col min="2546" max="2546" width="0.42578125" style="205" customWidth="1"/>
    <col min="2547" max="2547" width="2.5703125" style="205" customWidth="1"/>
    <col min="2548" max="2548" width="15.42578125" style="205" customWidth="1"/>
    <col min="2549" max="2549" width="1.42578125" style="205" customWidth="1"/>
    <col min="2550" max="2550" width="27.5703125" style="205" customWidth="1"/>
    <col min="2551" max="2551" width="6.5703125" style="205" customWidth="1"/>
    <col min="2552" max="2552" width="1.5703125" style="205" customWidth="1"/>
    <col min="2553" max="2553" width="10.5703125" style="205" customWidth="1"/>
    <col min="2554" max="2554" width="5.5703125" style="205" customWidth="1"/>
    <col min="2555" max="2555" width="1.5703125" style="205" customWidth="1"/>
    <col min="2556" max="2556" width="10.5703125" style="205" customWidth="1"/>
    <col min="2557" max="2557" width="6.5703125" style="205" customWidth="1"/>
    <col min="2558" max="2558" width="1.5703125" style="205" customWidth="1"/>
    <col min="2559" max="2559" width="10.5703125" style="205" customWidth="1"/>
    <col min="2560" max="2560" width="9.5703125" style="205" customWidth="1"/>
    <col min="2561" max="2561" width="13.42578125" style="205" bestFit="1" customWidth="1"/>
    <col min="2562" max="2562" width="7.5703125" style="205" customWidth="1"/>
    <col min="2563" max="2563" width="11.42578125" style="205"/>
    <col min="2564" max="2564" width="13.42578125" style="205" bestFit="1" customWidth="1"/>
    <col min="2565" max="2801" width="11.42578125" style="205"/>
    <col min="2802" max="2802" width="0.42578125" style="205" customWidth="1"/>
    <col min="2803" max="2803" width="2.5703125" style="205" customWidth="1"/>
    <col min="2804" max="2804" width="15.42578125" style="205" customWidth="1"/>
    <col min="2805" max="2805" width="1.42578125" style="205" customWidth="1"/>
    <col min="2806" max="2806" width="27.5703125" style="205" customWidth="1"/>
    <col min="2807" max="2807" width="6.5703125" style="205" customWidth="1"/>
    <col min="2808" max="2808" width="1.5703125" style="205" customWidth="1"/>
    <col min="2809" max="2809" width="10.5703125" style="205" customWidth="1"/>
    <col min="2810" max="2810" width="5.5703125" style="205" customWidth="1"/>
    <col min="2811" max="2811" width="1.5703125" style="205" customWidth="1"/>
    <col min="2812" max="2812" width="10.5703125" style="205" customWidth="1"/>
    <col min="2813" max="2813" width="6.5703125" style="205" customWidth="1"/>
    <col min="2814" max="2814" width="1.5703125" style="205" customWidth="1"/>
    <col min="2815" max="2815" width="10.5703125" style="205" customWidth="1"/>
    <col min="2816" max="2816" width="9.5703125" style="205" customWidth="1"/>
    <col min="2817" max="2817" width="13.42578125" style="205" bestFit="1" customWidth="1"/>
    <col min="2818" max="2818" width="7.5703125" style="205" customWidth="1"/>
    <col min="2819" max="2819" width="11.42578125" style="205"/>
    <col min="2820" max="2820" width="13.42578125" style="205" bestFit="1" customWidth="1"/>
    <col min="2821" max="3057" width="11.42578125" style="205"/>
    <col min="3058" max="3058" width="0.42578125" style="205" customWidth="1"/>
    <col min="3059" max="3059" width="2.5703125" style="205" customWidth="1"/>
    <col min="3060" max="3060" width="15.42578125" style="205" customWidth="1"/>
    <col min="3061" max="3061" width="1.42578125" style="205" customWidth="1"/>
    <col min="3062" max="3062" width="27.5703125" style="205" customWidth="1"/>
    <col min="3063" max="3063" width="6.5703125" style="205" customWidth="1"/>
    <col min="3064" max="3064" width="1.5703125" style="205" customWidth="1"/>
    <col min="3065" max="3065" width="10.5703125" style="205" customWidth="1"/>
    <col min="3066" max="3066" width="5.5703125" style="205" customWidth="1"/>
    <col min="3067" max="3067" width="1.5703125" style="205" customWidth="1"/>
    <col min="3068" max="3068" width="10.5703125" style="205" customWidth="1"/>
    <col min="3069" max="3069" width="6.5703125" style="205" customWidth="1"/>
    <col min="3070" max="3070" width="1.5703125" style="205" customWidth="1"/>
    <col min="3071" max="3071" width="10.5703125" style="205" customWidth="1"/>
    <col min="3072" max="3072" width="9.5703125" style="205" customWidth="1"/>
    <col min="3073" max="3073" width="13.42578125" style="205" bestFit="1" customWidth="1"/>
    <col min="3074" max="3074" width="7.5703125" style="205" customWidth="1"/>
    <col min="3075" max="3075" width="11.42578125" style="205"/>
    <col min="3076" max="3076" width="13.42578125" style="205" bestFit="1" customWidth="1"/>
    <col min="3077" max="3313" width="11.42578125" style="205"/>
    <col min="3314" max="3314" width="0.42578125" style="205" customWidth="1"/>
    <col min="3315" max="3315" width="2.5703125" style="205" customWidth="1"/>
    <col min="3316" max="3316" width="15.42578125" style="205" customWidth="1"/>
    <col min="3317" max="3317" width="1.42578125" style="205" customWidth="1"/>
    <col min="3318" max="3318" width="27.5703125" style="205" customWidth="1"/>
    <col min="3319" max="3319" width="6.5703125" style="205" customWidth="1"/>
    <col min="3320" max="3320" width="1.5703125" style="205" customWidth="1"/>
    <col min="3321" max="3321" width="10.5703125" style="205" customWidth="1"/>
    <col min="3322" max="3322" width="5.5703125" style="205" customWidth="1"/>
    <col min="3323" max="3323" width="1.5703125" style="205" customWidth="1"/>
    <col min="3324" max="3324" width="10.5703125" style="205" customWidth="1"/>
    <col min="3325" max="3325" width="6.5703125" style="205" customWidth="1"/>
    <col min="3326" max="3326" width="1.5703125" style="205" customWidth="1"/>
    <col min="3327" max="3327" width="10.5703125" style="205" customWidth="1"/>
    <col min="3328" max="3328" width="9.5703125" style="205" customWidth="1"/>
    <col min="3329" max="3329" width="13.42578125" style="205" bestFit="1" customWidth="1"/>
    <col min="3330" max="3330" width="7.5703125" style="205" customWidth="1"/>
    <col min="3331" max="3331" width="11.42578125" style="205"/>
    <col min="3332" max="3332" width="13.42578125" style="205" bestFit="1" customWidth="1"/>
    <col min="3333" max="3569" width="11.42578125" style="205"/>
    <col min="3570" max="3570" width="0.42578125" style="205" customWidth="1"/>
    <col min="3571" max="3571" width="2.5703125" style="205" customWidth="1"/>
    <col min="3572" max="3572" width="15.42578125" style="205" customWidth="1"/>
    <col min="3573" max="3573" width="1.42578125" style="205" customWidth="1"/>
    <col min="3574" max="3574" width="27.5703125" style="205" customWidth="1"/>
    <col min="3575" max="3575" width="6.5703125" style="205" customWidth="1"/>
    <col min="3576" max="3576" width="1.5703125" style="205" customWidth="1"/>
    <col min="3577" max="3577" width="10.5703125" style="205" customWidth="1"/>
    <col min="3578" max="3578" width="5.5703125" style="205" customWidth="1"/>
    <col min="3579" max="3579" width="1.5703125" style="205" customWidth="1"/>
    <col min="3580" max="3580" width="10.5703125" style="205" customWidth="1"/>
    <col min="3581" max="3581" width="6.5703125" style="205" customWidth="1"/>
    <col min="3582" max="3582" width="1.5703125" style="205" customWidth="1"/>
    <col min="3583" max="3583" width="10.5703125" style="205" customWidth="1"/>
    <col min="3584" max="3584" width="9.5703125" style="205" customWidth="1"/>
    <col min="3585" max="3585" width="13.42578125" style="205" bestFit="1" customWidth="1"/>
    <col min="3586" max="3586" width="7.5703125" style="205" customWidth="1"/>
    <col min="3587" max="3587" width="11.42578125" style="205"/>
    <col min="3588" max="3588" width="13.42578125" style="205" bestFit="1" customWidth="1"/>
    <col min="3589" max="3825" width="11.42578125" style="205"/>
    <col min="3826" max="3826" width="0.42578125" style="205" customWidth="1"/>
    <col min="3827" max="3827" width="2.5703125" style="205" customWidth="1"/>
    <col min="3828" max="3828" width="15.42578125" style="205" customWidth="1"/>
    <col min="3829" max="3829" width="1.42578125" style="205" customWidth="1"/>
    <col min="3830" max="3830" width="27.5703125" style="205" customWidth="1"/>
    <col min="3831" max="3831" width="6.5703125" style="205" customWidth="1"/>
    <col min="3832" max="3832" width="1.5703125" style="205" customWidth="1"/>
    <col min="3833" max="3833" width="10.5703125" style="205" customWidth="1"/>
    <col min="3834" max="3834" width="5.5703125" style="205" customWidth="1"/>
    <col min="3835" max="3835" width="1.5703125" style="205" customWidth="1"/>
    <col min="3836" max="3836" width="10.5703125" style="205" customWidth="1"/>
    <col min="3837" max="3837" width="6.5703125" style="205" customWidth="1"/>
    <col min="3838" max="3838" width="1.5703125" style="205" customWidth="1"/>
    <col min="3839" max="3839" width="10.5703125" style="205" customWidth="1"/>
    <col min="3840" max="3840" width="9.5703125" style="205" customWidth="1"/>
    <col min="3841" max="3841" width="13.42578125" style="205" bestFit="1" customWidth="1"/>
    <col min="3842" max="3842" width="7.5703125" style="205" customWidth="1"/>
    <col min="3843" max="3843" width="11.42578125" style="205"/>
    <col min="3844" max="3844" width="13.42578125" style="205" bestFit="1" customWidth="1"/>
    <col min="3845" max="4081" width="11.42578125" style="205"/>
    <col min="4082" max="4082" width="0.42578125" style="205" customWidth="1"/>
    <col min="4083" max="4083" width="2.5703125" style="205" customWidth="1"/>
    <col min="4084" max="4084" width="15.42578125" style="205" customWidth="1"/>
    <col min="4085" max="4085" width="1.42578125" style="205" customWidth="1"/>
    <col min="4086" max="4086" width="27.5703125" style="205" customWidth="1"/>
    <col min="4087" max="4087" width="6.5703125" style="205" customWidth="1"/>
    <col min="4088" max="4088" width="1.5703125" style="205" customWidth="1"/>
    <col min="4089" max="4089" width="10.5703125" style="205" customWidth="1"/>
    <col min="4090" max="4090" width="5.5703125" style="205" customWidth="1"/>
    <col min="4091" max="4091" width="1.5703125" style="205" customWidth="1"/>
    <col min="4092" max="4092" width="10.5703125" style="205" customWidth="1"/>
    <col min="4093" max="4093" width="6.5703125" style="205" customWidth="1"/>
    <col min="4094" max="4094" width="1.5703125" style="205" customWidth="1"/>
    <col min="4095" max="4095" width="10.5703125" style="205" customWidth="1"/>
    <col min="4096" max="4096" width="9.5703125" style="205" customWidth="1"/>
    <col min="4097" max="4097" width="13.42578125" style="205" bestFit="1" customWidth="1"/>
    <col min="4098" max="4098" width="7.5703125" style="205" customWidth="1"/>
    <col min="4099" max="4099" width="11.42578125" style="205"/>
    <col min="4100" max="4100" width="13.42578125" style="205" bestFit="1" customWidth="1"/>
    <col min="4101" max="4337" width="11.42578125" style="205"/>
    <col min="4338" max="4338" width="0.42578125" style="205" customWidth="1"/>
    <col min="4339" max="4339" width="2.5703125" style="205" customWidth="1"/>
    <col min="4340" max="4340" width="15.42578125" style="205" customWidth="1"/>
    <col min="4341" max="4341" width="1.42578125" style="205" customWidth="1"/>
    <col min="4342" max="4342" width="27.5703125" style="205" customWidth="1"/>
    <col min="4343" max="4343" width="6.5703125" style="205" customWidth="1"/>
    <col min="4344" max="4344" width="1.5703125" style="205" customWidth="1"/>
    <col min="4345" max="4345" width="10.5703125" style="205" customWidth="1"/>
    <col min="4346" max="4346" width="5.5703125" style="205" customWidth="1"/>
    <col min="4347" max="4347" width="1.5703125" style="205" customWidth="1"/>
    <col min="4348" max="4348" width="10.5703125" style="205" customWidth="1"/>
    <col min="4349" max="4349" width="6.5703125" style="205" customWidth="1"/>
    <col min="4350" max="4350" width="1.5703125" style="205" customWidth="1"/>
    <col min="4351" max="4351" width="10.5703125" style="205" customWidth="1"/>
    <col min="4352" max="4352" width="9.5703125" style="205" customWidth="1"/>
    <col min="4353" max="4353" width="13.42578125" style="205" bestFit="1" customWidth="1"/>
    <col min="4354" max="4354" width="7.5703125" style="205" customWidth="1"/>
    <col min="4355" max="4355" width="11.42578125" style="205"/>
    <col min="4356" max="4356" width="13.42578125" style="205" bestFit="1" customWidth="1"/>
    <col min="4357" max="4593" width="11.42578125" style="205"/>
    <col min="4594" max="4594" width="0.42578125" style="205" customWidth="1"/>
    <col min="4595" max="4595" width="2.5703125" style="205" customWidth="1"/>
    <col min="4596" max="4596" width="15.42578125" style="205" customWidth="1"/>
    <col min="4597" max="4597" width="1.42578125" style="205" customWidth="1"/>
    <col min="4598" max="4598" width="27.5703125" style="205" customWidth="1"/>
    <col min="4599" max="4599" width="6.5703125" style="205" customWidth="1"/>
    <col min="4600" max="4600" width="1.5703125" style="205" customWidth="1"/>
    <col min="4601" max="4601" width="10.5703125" style="205" customWidth="1"/>
    <col min="4602" max="4602" width="5.5703125" style="205" customWidth="1"/>
    <col min="4603" max="4603" width="1.5703125" style="205" customWidth="1"/>
    <col min="4604" max="4604" width="10.5703125" style="205" customWidth="1"/>
    <col min="4605" max="4605" width="6.5703125" style="205" customWidth="1"/>
    <col min="4606" max="4606" width="1.5703125" style="205" customWidth="1"/>
    <col min="4607" max="4607" width="10.5703125" style="205" customWidth="1"/>
    <col min="4608" max="4608" width="9.5703125" style="205" customWidth="1"/>
    <col min="4609" max="4609" width="13.42578125" style="205" bestFit="1" customWidth="1"/>
    <col min="4610" max="4610" width="7.5703125" style="205" customWidth="1"/>
    <col min="4611" max="4611" width="11.42578125" style="205"/>
    <col min="4612" max="4612" width="13.42578125" style="205" bestFit="1" customWidth="1"/>
    <col min="4613" max="4849" width="11.42578125" style="205"/>
    <col min="4850" max="4850" width="0.42578125" style="205" customWidth="1"/>
    <col min="4851" max="4851" width="2.5703125" style="205" customWidth="1"/>
    <col min="4852" max="4852" width="15.42578125" style="205" customWidth="1"/>
    <col min="4853" max="4853" width="1.42578125" style="205" customWidth="1"/>
    <col min="4854" max="4854" width="27.5703125" style="205" customWidth="1"/>
    <col min="4855" max="4855" width="6.5703125" style="205" customWidth="1"/>
    <col min="4856" max="4856" width="1.5703125" style="205" customWidth="1"/>
    <col min="4857" max="4857" width="10.5703125" style="205" customWidth="1"/>
    <col min="4858" max="4858" width="5.5703125" style="205" customWidth="1"/>
    <col min="4859" max="4859" width="1.5703125" style="205" customWidth="1"/>
    <col min="4860" max="4860" width="10.5703125" style="205" customWidth="1"/>
    <col min="4861" max="4861" width="6.5703125" style="205" customWidth="1"/>
    <col min="4862" max="4862" width="1.5703125" style="205" customWidth="1"/>
    <col min="4863" max="4863" width="10.5703125" style="205" customWidth="1"/>
    <col min="4864" max="4864" width="9.5703125" style="205" customWidth="1"/>
    <col min="4865" max="4865" width="13.42578125" style="205" bestFit="1" customWidth="1"/>
    <col min="4866" max="4866" width="7.5703125" style="205" customWidth="1"/>
    <col min="4867" max="4867" width="11.42578125" style="205"/>
    <col min="4868" max="4868" width="13.42578125" style="205" bestFit="1" customWidth="1"/>
    <col min="4869" max="5105" width="11.42578125" style="205"/>
    <col min="5106" max="5106" width="0.42578125" style="205" customWidth="1"/>
    <col min="5107" max="5107" width="2.5703125" style="205" customWidth="1"/>
    <col min="5108" max="5108" width="15.42578125" style="205" customWidth="1"/>
    <col min="5109" max="5109" width="1.42578125" style="205" customWidth="1"/>
    <col min="5110" max="5110" width="27.5703125" style="205" customWidth="1"/>
    <col min="5111" max="5111" width="6.5703125" style="205" customWidth="1"/>
    <col min="5112" max="5112" width="1.5703125" style="205" customWidth="1"/>
    <col min="5113" max="5113" width="10.5703125" style="205" customWidth="1"/>
    <col min="5114" max="5114" width="5.5703125" style="205" customWidth="1"/>
    <col min="5115" max="5115" width="1.5703125" style="205" customWidth="1"/>
    <col min="5116" max="5116" width="10.5703125" style="205" customWidth="1"/>
    <col min="5117" max="5117" width="6.5703125" style="205" customWidth="1"/>
    <col min="5118" max="5118" width="1.5703125" style="205" customWidth="1"/>
    <col min="5119" max="5119" width="10.5703125" style="205" customWidth="1"/>
    <col min="5120" max="5120" width="9.5703125" style="205" customWidth="1"/>
    <col min="5121" max="5121" width="13.42578125" style="205" bestFit="1" customWidth="1"/>
    <col min="5122" max="5122" width="7.5703125" style="205" customWidth="1"/>
    <col min="5123" max="5123" width="11.42578125" style="205"/>
    <col min="5124" max="5124" width="13.42578125" style="205" bestFit="1" customWidth="1"/>
    <col min="5125" max="5361" width="11.42578125" style="205"/>
    <col min="5362" max="5362" width="0.42578125" style="205" customWidth="1"/>
    <col min="5363" max="5363" width="2.5703125" style="205" customWidth="1"/>
    <col min="5364" max="5364" width="15.42578125" style="205" customWidth="1"/>
    <col min="5365" max="5365" width="1.42578125" style="205" customWidth="1"/>
    <col min="5366" max="5366" width="27.5703125" style="205" customWidth="1"/>
    <col min="5367" max="5367" width="6.5703125" style="205" customWidth="1"/>
    <col min="5368" max="5368" width="1.5703125" style="205" customWidth="1"/>
    <col min="5369" max="5369" width="10.5703125" style="205" customWidth="1"/>
    <col min="5370" max="5370" width="5.5703125" style="205" customWidth="1"/>
    <col min="5371" max="5371" width="1.5703125" style="205" customWidth="1"/>
    <col min="5372" max="5372" width="10.5703125" style="205" customWidth="1"/>
    <col min="5373" max="5373" width="6.5703125" style="205" customWidth="1"/>
    <col min="5374" max="5374" width="1.5703125" style="205" customWidth="1"/>
    <col min="5375" max="5375" width="10.5703125" style="205" customWidth="1"/>
    <col min="5376" max="5376" width="9.5703125" style="205" customWidth="1"/>
    <col min="5377" max="5377" width="13.42578125" style="205" bestFit="1" customWidth="1"/>
    <col min="5378" max="5378" width="7.5703125" style="205" customWidth="1"/>
    <col min="5379" max="5379" width="11.42578125" style="205"/>
    <col min="5380" max="5380" width="13.42578125" style="205" bestFit="1" customWidth="1"/>
    <col min="5381" max="5617" width="11.42578125" style="205"/>
    <col min="5618" max="5618" width="0.42578125" style="205" customWidth="1"/>
    <col min="5619" max="5619" width="2.5703125" style="205" customWidth="1"/>
    <col min="5620" max="5620" width="15.42578125" style="205" customWidth="1"/>
    <col min="5621" max="5621" width="1.42578125" style="205" customWidth="1"/>
    <col min="5622" max="5622" width="27.5703125" style="205" customWidth="1"/>
    <col min="5623" max="5623" width="6.5703125" style="205" customWidth="1"/>
    <col min="5624" max="5624" width="1.5703125" style="205" customWidth="1"/>
    <col min="5625" max="5625" width="10.5703125" style="205" customWidth="1"/>
    <col min="5626" max="5626" width="5.5703125" style="205" customWidth="1"/>
    <col min="5627" max="5627" width="1.5703125" style="205" customWidth="1"/>
    <col min="5628" max="5628" width="10.5703125" style="205" customWidth="1"/>
    <col min="5629" max="5629" width="6.5703125" style="205" customWidth="1"/>
    <col min="5630" max="5630" width="1.5703125" style="205" customWidth="1"/>
    <col min="5631" max="5631" width="10.5703125" style="205" customWidth="1"/>
    <col min="5632" max="5632" width="9.5703125" style="205" customWidth="1"/>
    <col min="5633" max="5633" width="13.42578125" style="205" bestFit="1" customWidth="1"/>
    <col min="5634" max="5634" width="7.5703125" style="205" customWidth="1"/>
    <col min="5635" max="5635" width="11.42578125" style="205"/>
    <col min="5636" max="5636" width="13.42578125" style="205" bestFit="1" customWidth="1"/>
    <col min="5637" max="5873" width="11.42578125" style="205"/>
    <col min="5874" max="5874" width="0.42578125" style="205" customWidth="1"/>
    <col min="5875" max="5875" width="2.5703125" style="205" customWidth="1"/>
    <col min="5876" max="5876" width="15.42578125" style="205" customWidth="1"/>
    <col min="5877" max="5877" width="1.42578125" style="205" customWidth="1"/>
    <col min="5878" max="5878" width="27.5703125" style="205" customWidth="1"/>
    <col min="5879" max="5879" width="6.5703125" style="205" customWidth="1"/>
    <col min="5880" max="5880" width="1.5703125" style="205" customWidth="1"/>
    <col min="5881" max="5881" width="10.5703125" style="205" customWidth="1"/>
    <col min="5882" max="5882" width="5.5703125" style="205" customWidth="1"/>
    <col min="5883" max="5883" width="1.5703125" style="205" customWidth="1"/>
    <col min="5884" max="5884" width="10.5703125" style="205" customWidth="1"/>
    <col min="5885" max="5885" width="6.5703125" style="205" customWidth="1"/>
    <col min="5886" max="5886" width="1.5703125" style="205" customWidth="1"/>
    <col min="5887" max="5887" width="10.5703125" style="205" customWidth="1"/>
    <col min="5888" max="5888" width="9.5703125" style="205" customWidth="1"/>
    <col min="5889" max="5889" width="13.42578125" style="205" bestFit="1" customWidth="1"/>
    <col min="5890" max="5890" width="7.5703125" style="205" customWidth="1"/>
    <col min="5891" max="5891" width="11.42578125" style="205"/>
    <col min="5892" max="5892" width="13.42578125" style="205" bestFit="1" customWidth="1"/>
    <col min="5893" max="6129" width="11.42578125" style="205"/>
    <col min="6130" max="6130" width="0.42578125" style="205" customWidth="1"/>
    <col min="6131" max="6131" width="2.5703125" style="205" customWidth="1"/>
    <col min="6132" max="6132" width="15.42578125" style="205" customWidth="1"/>
    <col min="6133" max="6133" width="1.42578125" style="205" customWidth="1"/>
    <col min="6134" max="6134" width="27.5703125" style="205" customWidth="1"/>
    <col min="6135" max="6135" width="6.5703125" style="205" customWidth="1"/>
    <col min="6136" max="6136" width="1.5703125" style="205" customWidth="1"/>
    <col min="6137" max="6137" width="10.5703125" style="205" customWidth="1"/>
    <col min="6138" max="6138" width="5.5703125" style="205" customWidth="1"/>
    <col min="6139" max="6139" width="1.5703125" style="205" customWidth="1"/>
    <col min="6140" max="6140" width="10.5703125" style="205" customWidth="1"/>
    <col min="6141" max="6141" width="6.5703125" style="205" customWidth="1"/>
    <col min="6142" max="6142" width="1.5703125" style="205" customWidth="1"/>
    <col min="6143" max="6143" width="10.5703125" style="205" customWidth="1"/>
    <col min="6144" max="6144" width="9.5703125" style="205" customWidth="1"/>
    <col min="6145" max="6145" width="13.42578125" style="205" bestFit="1" customWidth="1"/>
    <col min="6146" max="6146" width="7.5703125" style="205" customWidth="1"/>
    <col min="6147" max="6147" width="11.42578125" style="205"/>
    <col min="6148" max="6148" width="13.42578125" style="205" bestFit="1" customWidth="1"/>
    <col min="6149" max="6385" width="11.42578125" style="205"/>
    <col min="6386" max="6386" width="0.42578125" style="205" customWidth="1"/>
    <col min="6387" max="6387" width="2.5703125" style="205" customWidth="1"/>
    <col min="6388" max="6388" width="15.42578125" style="205" customWidth="1"/>
    <col min="6389" max="6389" width="1.42578125" style="205" customWidth="1"/>
    <col min="6390" max="6390" width="27.5703125" style="205" customWidth="1"/>
    <col min="6391" max="6391" width="6.5703125" style="205" customWidth="1"/>
    <col min="6392" max="6392" width="1.5703125" style="205" customWidth="1"/>
    <col min="6393" max="6393" width="10.5703125" style="205" customWidth="1"/>
    <col min="6394" max="6394" width="5.5703125" style="205" customWidth="1"/>
    <col min="6395" max="6395" width="1.5703125" style="205" customWidth="1"/>
    <col min="6396" max="6396" width="10.5703125" style="205" customWidth="1"/>
    <col min="6397" max="6397" width="6.5703125" style="205" customWidth="1"/>
    <col min="6398" max="6398" width="1.5703125" style="205" customWidth="1"/>
    <col min="6399" max="6399" width="10.5703125" style="205" customWidth="1"/>
    <col min="6400" max="6400" width="9.5703125" style="205" customWidth="1"/>
    <col min="6401" max="6401" width="13.42578125" style="205" bestFit="1" customWidth="1"/>
    <col min="6402" max="6402" width="7.5703125" style="205" customWidth="1"/>
    <col min="6403" max="6403" width="11.42578125" style="205"/>
    <col min="6404" max="6404" width="13.42578125" style="205" bestFit="1" customWidth="1"/>
    <col min="6405" max="6641" width="11.42578125" style="205"/>
    <col min="6642" max="6642" width="0.42578125" style="205" customWidth="1"/>
    <col min="6643" max="6643" width="2.5703125" style="205" customWidth="1"/>
    <col min="6644" max="6644" width="15.42578125" style="205" customWidth="1"/>
    <col min="6645" max="6645" width="1.42578125" style="205" customWidth="1"/>
    <col min="6646" max="6646" width="27.5703125" style="205" customWidth="1"/>
    <col min="6647" max="6647" width="6.5703125" style="205" customWidth="1"/>
    <col min="6648" max="6648" width="1.5703125" style="205" customWidth="1"/>
    <col min="6649" max="6649" width="10.5703125" style="205" customWidth="1"/>
    <col min="6650" max="6650" width="5.5703125" style="205" customWidth="1"/>
    <col min="6651" max="6651" width="1.5703125" style="205" customWidth="1"/>
    <col min="6652" max="6652" width="10.5703125" style="205" customWidth="1"/>
    <col min="6653" max="6653" width="6.5703125" style="205" customWidth="1"/>
    <col min="6654" max="6654" width="1.5703125" style="205" customWidth="1"/>
    <col min="6655" max="6655" width="10.5703125" style="205" customWidth="1"/>
    <col min="6656" max="6656" width="9.5703125" style="205" customWidth="1"/>
    <col min="6657" max="6657" width="13.42578125" style="205" bestFit="1" customWidth="1"/>
    <col min="6658" max="6658" width="7.5703125" style="205" customWidth="1"/>
    <col min="6659" max="6659" width="11.42578125" style="205"/>
    <col min="6660" max="6660" width="13.42578125" style="205" bestFit="1" customWidth="1"/>
    <col min="6661" max="6897" width="11.42578125" style="205"/>
    <col min="6898" max="6898" width="0.42578125" style="205" customWidth="1"/>
    <col min="6899" max="6899" width="2.5703125" style="205" customWidth="1"/>
    <col min="6900" max="6900" width="15.42578125" style="205" customWidth="1"/>
    <col min="6901" max="6901" width="1.42578125" style="205" customWidth="1"/>
    <col min="6902" max="6902" width="27.5703125" style="205" customWidth="1"/>
    <col min="6903" max="6903" width="6.5703125" style="205" customWidth="1"/>
    <col min="6904" max="6904" width="1.5703125" style="205" customWidth="1"/>
    <col min="6905" max="6905" width="10.5703125" style="205" customWidth="1"/>
    <col min="6906" max="6906" width="5.5703125" style="205" customWidth="1"/>
    <col min="6907" max="6907" width="1.5703125" style="205" customWidth="1"/>
    <col min="6908" max="6908" width="10.5703125" style="205" customWidth="1"/>
    <col min="6909" max="6909" width="6.5703125" style="205" customWidth="1"/>
    <col min="6910" max="6910" width="1.5703125" style="205" customWidth="1"/>
    <col min="6911" max="6911" width="10.5703125" style="205" customWidth="1"/>
    <col min="6912" max="6912" width="9.5703125" style="205" customWidth="1"/>
    <col min="6913" max="6913" width="13.42578125" style="205" bestFit="1" customWidth="1"/>
    <col min="6914" max="6914" width="7.5703125" style="205" customWidth="1"/>
    <col min="6915" max="6915" width="11.42578125" style="205"/>
    <col min="6916" max="6916" width="13.42578125" style="205" bestFit="1" customWidth="1"/>
    <col min="6917" max="7153" width="11.42578125" style="205"/>
    <col min="7154" max="7154" width="0.42578125" style="205" customWidth="1"/>
    <col min="7155" max="7155" width="2.5703125" style="205" customWidth="1"/>
    <col min="7156" max="7156" width="15.42578125" style="205" customWidth="1"/>
    <col min="7157" max="7157" width="1.42578125" style="205" customWidth="1"/>
    <col min="7158" max="7158" width="27.5703125" style="205" customWidth="1"/>
    <col min="7159" max="7159" width="6.5703125" style="205" customWidth="1"/>
    <col min="7160" max="7160" width="1.5703125" style="205" customWidth="1"/>
    <col min="7161" max="7161" width="10.5703125" style="205" customWidth="1"/>
    <col min="7162" max="7162" width="5.5703125" style="205" customWidth="1"/>
    <col min="7163" max="7163" width="1.5703125" style="205" customWidth="1"/>
    <col min="7164" max="7164" width="10.5703125" style="205" customWidth="1"/>
    <col min="7165" max="7165" width="6.5703125" style="205" customWidth="1"/>
    <col min="7166" max="7166" width="1.5703125" style="205" customWidth="1"/>
    <col min="7167" max="7167" width="10.5703125" style="205" customWidth="1"/>
    <col min="7168" max="7168" width="9.5703125" style="205" customWidth="1"/>
    <col min="7169" max="7169" width="13.42578125" style="205" bestFit="1" customWidth="1"/>
    <col min="7170" max="7170" width="7.5703125" style="205" customWidth="1"/>
    <col min="7171" max="7171" width="11.42578125" style="205"/>
    <col min="7172" max="7172" width="13.42578125" style="205" bestFit="1" customWidth="1"/>
    <col min="7173" max="7409" width="11.42578125" style="205"/>
    <col min="7410" max="7410" width="0.42578125" style="205" customWidth="1"/>
    <col min="7411" max="7411" width="2.5703125" style="205" customWidth="1"/>
    <col min="7412" max="7412" width="15.42578125" style="205" customWidth="1"/>
    <col min="7413" max="7413" width="1.42578125" style="205" customWidth="1"/>
    <col min="7414" max="7414" width="27.5703125" style="205" customWidth="1"/>
    <col min="7415" max="7415" width="6.5703125" style="205" customWidth="1"/>
    <col min="7416" max="7416" width="1.5703125" style="205" customWidth="1"/>
    <col min="7417" max="7417" width="10.5703125" style="205" customWidth="1"/>
    <col min="7418" max="7418" width="5.5703125" style="205" customWidth="1"/>
    <col min="7419" max="7419" width="1.5703125" style="205" customWidth="1"/>
    <col min="7420" max="7420" width="10.5703125" style="205" customWidth="1"/>
    <col min="7421" max="7421" width="6.5703125" style="205" customWidth="1"/>
    <col min="7422" max="7422" width="1.5703125" style="205" customWidth="1"/>
    <col min="7423" max="7423" width="10.5703125" style="205" customWidth="1"/>
    <col min="7424" max="7424" width="9.5703125" style="205" customWidth="1"/>
    <col min="7425" max="7425" width="13.42578125" style="205" bestFit="1" customWidth="1"/>
    <col min="7426" max="7426" width="7.5703125" style="205" customWidth="1"/>
    <col min="7427" max="7427" width="11.42578125" style="205"/>
    <col min="7428" max="7428" width="13.42578125" style="205" bestFit="1" customWidth="1"/>
    <col min="7429" max="7665" width="11.42578125" style="205"/>
    <col min="7666" max="7666" width="0.42578125" style="205" customWidth="1"/>
    <col min="7667" max="7667" width="2.5703125" style="205" customWidth="1"/>
    <col min="7668" max="7668" width="15.42578125" style="205" customWidth="1"/>
    <col min="7669" max="7669" width="1.42578125" style="205" customWidth="1"/>
    <col min="7670" max="7670" width="27.5703125" style="205" customWidth="1"/>
    <col min="7671" max="7671" width="6.5703125" style="205" customWidth="1"/>
    <col min="7672" max="7672" width="1.5703125" style="205" customWidth="1"/>
    <col min="7673" max="7673" width="10.5703125" style="205" customWidth="1"/>
    <col min="7674" max="7674" width="5.5703125" style="205" customWidth="1"/>
    <col min="7675" max="7675" width="1.5703125" style="205" customWidth="1"/>
    <col min="7676" max="7676" width="10.5703125" style="205" customWidth="1"/>
    <col min="7677" max="7677" width="6.5703125" style="205" customWidth="1"/>
    <col min="7678" max="7678" width="1.5703125" style="205" customWidth="1"/>
    <col min="7679" max="7679" width="10.5703125" style="205" customWidth="1"/>
    <col min="7680" max="7680" width="9.5703125" style="205" customWidth="1"/>
    <col min="7681" max="7681" width="13.42578125" style="205" bestFit="1" customWidth="1"/>
    <col min="7682" max="7682" width="7.5703125" style="205" customWidth="1"/>
    <col min="7683" max="7683" width="11.42578125" style="205"/>
    <col min="7684" max="7684" width="13.42578125" style="205" bestFit="1" customWidth="1"/>
    <col min="7685" max="7921" width="11.42578125" style="205"/>
    <col min="7922" max="7922" width="0.42578125" style="205" customWidth="1"/>
    <col min="7923" max="7923" width="2.5703125" style="205" customWidth="1"/>
    <col min="7924" max="7924" width="15.42578125" style="205" customWidth="1"/>
    <col min="7925" max="7925" width="1.42578125" style="205" customWidth="1"/>
    <col min="7926" max="7926" width="27.5703125" style="205" customWidth="1"/>
    <col min="7927" max="7927" width="6.5703125" style="205" customWidth="1"/>
    <col min="7928" max="7928" width="1.5703125" style="205" customWidth="1"/>
    <col min="7929" max="7929" width="10.5703125" style="205" customWidth="1"/>
    <col min="7930" max="7930" width="5.5703125" style="205" customWidth="1"/>
    <col min="7931" max="7931" width="1.5703125" style="205" customWidth="1"/>
    <col min="7932" max="7932" width="10.5703125" style="205" customWidth="1"/>
    <col min="7933" max="7933" width="6.5703125" style="205" customWidth="1"/>
    <col min="7934" max="7934" width="1.5703125" style="205" customWidth="1"/>
    <col min="7935" max="7935" width="10.5703125" style="205" customWidth="1"/>
    <col min="7936" max="7936" width="9.5703125" style="205" customWidth="1"/>
    <col min="7937" max="7937" width="13.42578125" style="205" bestFit="1" customWidth="1"/>
    <col min="7938" max="7938" width="7.5703125" style="205" customWidth="1"/>
    <col min="7939" max="7939" width="11.42578125" style="205"/>
    <col min="7940" max="7940" width="13.42578125" style="205" bestFit="1" customWidth="1"/>
    <col min="7941" max="8177" width="11.42578125" style="205"/>
    <col min="8178" max="8178" width="0.42578125" style="205" customWidth="1"/>
    <col min="8179" max="8179" width="2.5703125" style="205" customWidth="1"/>
    <col min="8180" max="8180" width="15.42578125" style="205" customWidth="1"/>
    <col min="8181" max="8181" width="1.42578125" style="205" customWidth="1"/>
    <col min="8182" max="8182" width="27.5703125" style="205" customWidth="1"/>
    <col min="8183" max="8183" width="6.5703125" style="205" customWidth="1"/>
    <col min="8184" max="8184" width="1.5703125" style="205" customWidth="1"/>
    <col min="8185" max="8185" width="10.5703125" style="205" customWidth="1"/>
    <col min="8186" max="8186" width="5.5703125" style="205" customWidth="1"/>
    <col min="8187" max="8187" width="1.5703125" style="205" customWidth="1"/>
    <col min="8188" max="8188" width="10.5703125" style="205" customWidth="1"/>
    <col min="8189" max="8189" width="6.5703125" style="205" customWidth="1"/>
    <col min="8190" max="8190" width="1.5703125" style="205" customWidth="1"/>
    <col min="8191" max="8191" width="10.5703125" style="205" customWidth="1"/>
    <col min="8192" max="8192" width="9.5703125" style="205" customWidth="1"/>
    <col min="8193" max="8193" width="13.42578125" style="205" bestFit="1" customWidth="1"/>
    <col min="8194" max="8194" width="7.5703125" style="205" customWidth="1"/>
    <col min="8195" max="8195" width="11.42578125" style="205"/>
    <col min="8196" max="8196" width="13.42578125" style="205" bestFit="1" customWidth="1"/>
    <col min="8197" max="8433" width="11.42578125" style="205"/>
    <col min="8434" max="8434" width="0.42578125" style="205" customWidth="1"/>
    <col min="8435" max="8435" width="2.5703125" style="205" customWidth="1"/>
    <col min="8436" max="8436" width="15.42578125" style="205" customWidth="1"/>
    <col min="8437" max="8437" width="1.42578125" style="205" customWidth="1"/>
    <col min="8438" max="8438" width="27.5703125" style="205" customWidth="1"/>
    <col min="8439" max="8439" width="6.5703125" style="205" customWidth="1"/>
    <col min="8440" max="8440" width="1.5703125" style="205" customWidth="1"/>
    <col min="8441" max="8441" width="10.5703125" style="205" customWidth="1"/>
    <col min="8442" max="8442" width="5.5703125" style="205" customWidth="1"/>
    <col min="8443" max="8443" width="1.5703125" style="205" customWidth="1"/>
    <col min="8444" max="8444" width="10.5703125" style="205" customWidth="1"/>
    <col min="8445" max="8445" width="6.5703125" style="205" customWidth="1"/>
    <col min="8446" max="8446" width="1.5703125" style="205" customWidth="1"/>
    <col min="8447" max="8447" width="10.5703125" style="205" customWidth="1"/>
    <col min="8448" max="8448" width="9.5703125" style="205" customWidth="1"/>
    <col min="8449" max="8449" width="13.42578125" style="205" bestFit="1" customWidth="1"/>
    <col min="8450" max="8450" width="7.5703125" style="205" customWidth="1"/>
    <col min="8451" max="8451" width="11.42578125" style="205"/>
    <col min="8452" max="8452" width="13.42578125" style="205" bestFit="1" customWidth="1"/>
    <col min="8453" max="8689" width="11.42578125" style="205"/>
    <col min="8690" max="8690" width="0.42578125" style="205" customWidth="1"/>
    <col min="8691" max="8691" width="2.5703125" style="205" customWidth="1"/>
    <col min="8692" max="8692" width="15.42578125" style="205" customWidth="1"/>
    <col min="8693" max="8693" width="1.42578125" style="205" customWidth="1"/>
    <col min="8694" max="8694" width="27.5703125" style="205" customWidth="1"/>
    <col min="8695" max="8695" width="6.5703125" style="205" customWidth="1"/>
    <col min="8696" max="8696" width="1.5703125" style="205" customWidth="1"/>
    <col min="8697" max="8697" width="10.5703125" style="205" customWidth="1"/>
    <col min="8698" max="8698" width="5.5703125" style="205" customWidth="1"/>
    <col min="8699" max="8699" width="1.5703125" style="205" customWidth="1"/>
    <col min="8700" max="8700" width="10.5703125" style="205" customWidth="1"/>
    <col min="8701" max="8701" width="6.5703125" style="205" customWidth="1"/>
    <col min="8702" max="8702" width="1.5703125" style="205" customWidth="1"/>
    <col min="8703" max="8703" width="10.5703125" style="205" customWidth="1"/>
    <col min="8704" max="8704" width="9.5703125" style="205" customWidth="1"/>
    <col min="8705" max="8705" width="13.42578125" style="205" bestFit="1" customWidth="1"/>
    <col min="8706" max="8706" width="7.5703125" style="205" customWidth="1"/>
    <col min="8707" max="8707" width="11.42578125" style="205"/>
    <col min="8708" max="8708" width="13.42578125" style="205" bestFit="1" customWidth="1"/>
    <col min="8709" max="8945" width="11.42578125" style="205"/>
    <col min="8946" max="8946" width="0.42578125" style="205" customWidth="1"/>
    <col min="8947" max="8947" width="2.5703125" style="205" customWidth="1"/>
    <col min="8948" max="8948" width="15.42578125" style="205" customWidth="1"/>
    <col min="8949" max="8949" width="1.42578125" style="205" customWidth="1"/>
    <col min="8950" max="8950" width="27.5703125" style="205" customWidth="1"/>
    <col min="8951" max="8951" width="6.5703125" style="205" customWidth="1"/>
    <col min="8952" max="8952" width="1.5703125" style="205" customWidth="1"/>
    <col min="8953" max="8953" width="10.5703125" style="205" customWidth="1"/>
    <col min="8954" max="8954" width="5.5703125" style="205" customWidth="1"/>
    <col min="8955" max="8955" width="1.5703125" style="205" customWidth="1"/>
    <col min="8956" max="8956" width="10.5703125" style="205" customWidth="1"/>
    <col min="8957" max="8957" width="6.5703125" style="205" customWidth="1"/>
    <col min="8958" max="8958" width="1.5703125" style="205" customWidth="1"/>
    <col min="8959" max="8959" width="10.5703125" style="205" customWidth="1"/>
    <col min="8960" max="8960" width="9.5703125" style="205" customWidth="1"/>
    <col min="8961" max="8961" width="13.42578125" style="205" bestFit="1" customWidth="1"/>
    <col min="8962" max="8962" width="7.5703125" style="205" customWidth="1"/>
    <col min="8963" max="8963" width="11.42578125" style="205"/>
    <col min="8964" max="8964" width="13.42578125" style="205" bestFit="1" customWidth="1"/>
    <col min="8965" max="9201" width="11.42578125" style="205"/>
    <col min="9202" max="9202" width="0.42578125" style="205" customWidth="1"/>
    <col min="9203" max="9203" width="2.5703125" style="205" customWidth="1"/>
    <col min="9204" max="9204" width="15.42578125" style="205" customWidth="1"/>
    <col min="9205" max="9205" width="1.42578125" style="205" customWidth="1"/>
    <col min="9206" max="9206" width="27.5703125" style="205" customWidth="1"/>
    <col min="9207" max="9207" width="6.5703125" style="205" customWidth="1"/>
    <col min="9208" max="9208" width="1.5703125" style="205" customWidth="1"/>
    <col min="9209" max="9209" width="10.5703125" style="205" customWidth="1"/>
    <col min="9210" max="9210" width="5.5703125" style="205" customWidth="1"/>
    <col min="9211" max="9211" width="1.5703125" style="205" customWidth="1"/>
    <col min="9212" max="9212" width="10.5703125" style="205" customWidth="1"/>
    <col min="9213" max="9213" width="6.5703125" style="205" customWidth="1"/>
    <col min="9214" max="9214" width="1.5703125" style="205" customWidth="1"/>
    <col min="9215" max="9215" width="10.5703125" style="205" customWidth="1"/>
    <col min="9216" max="9216" width="9.5703125" style="205" customWidth="1"/>
    <col min="9217" max="9217" width="13.42578125" style="205" bestFit="1" customWidth="1"/>
    <col min="9218" max="9218" width="7.5703125" style="205" customWidth="1"/>
    <col min="9219" max="9219" width="11.42578125" style="205"/>
    <col min="9220" max="9220" width="13.42578125" style="205" bestFit="1" customWidth="1"/>
    <col min="9221" max="9457" width="11.42578125" style="205"/>
    <col min="9458" max="9458" width="0.42578125" style="205" customWidth="1"/>
    <col min="9459" max="9459" width="2.5703125" style="205" customWidth="1"/>
    <col min="9460" max="9460" width="15.42578125" style="205" customWidth="1"/>
    <col min="9461" max="9461" width="1.42578125" style="205" customWidth="1"/>
    <col min="9462" max="9462" width="27.5703125" style="205" customWidth="1"/>
    <col min="9463" max="9463" width="6.5703125" style="205" customWidth="1"/>
    <col min="9464" max="9464" width="1.5703125" style="205" customWidth="1"/>
    <col min="9465" max="9465" width="10.5703125" style="205" customWidth="1"/>
    <col min="9466" max="9466" width="5.5703125" style="205" customWidth="1"/>
    <col min="9467" max="9467" width="1.5703125" style="205" customWidth="1"/>
    <col min="9468" max="9468" width="10.5703125" style="205" customWidth="1"/>
    <col min="9469" max="9469" width="6.5703125" style="205" customWidth="1"/>
    <col min="9470" max="9470" width="1.5703125" style="205" customWidth="1"/>
    <col min="9471" max="9471" width="10.5703125" style="205" customWidth="1"/>
    <col min="9472" max="9472" width="9.5703125" style="205" customWidth="1"/>
    <col min="9473" max="9473" width="13.42578125" style="205" bestFit="1" customWidth="1"/>
    <col min="9474" max="9474" width="7.5703125" style="205" customWidth="1"/>
    <col min="9475" max="9475" width="11.42578125" style="205"/>
    <col min="9476" max="9476" width="13.42578125" style="205" bestFit="1" customWidth="1"/>
    <col min="9477" max="9713" width="11.42578125" style="205"/>
    <col min="9714" max="9714" width="0.42578125" style="205" customWidth="1"/>
    <col min="9715" max="9715" width="2.5703125" style="205" customWidth="1"/>
    <col min="9716" max="9716" width="15.42578125" style="205" customWidth="1"/>
    <col min="9717" max="9717" width="1.42578125" style="205" customWidth="1"/>
    <col min="9718" max="9718" width="27.5703125" style="205" customWidth="1"/>
    <col min="9719" max="9719" width="6.5703125" style="205" customWidth="1"/>
    <col min="9720" max="9720" width="1.5703125" style="205" customWidth="1"/>
    <col min="9721" max="9721" width="10.5703125" style="205" customWidth="1"/>
    <col min="9722" max="9722" width="5.5703125" style="205" customWidth="1"/>
    <col min="9723" max="9723" width="1.5703125" style="205" customWidth="1"/>
    <col min="9724" max="9724" width="10.5703125" style="205" customWidth="1"/>
    <col min="9725" max="9725" width="6.5703125" style="205" customWidth="1"/>
    <col min="9726" max="9726" width="1.5703125" style="205" customWidth="1"/>
    <col min="9727" max="9727" width="10.5703125" style="205" customWidth="1"/>
    <col min="9728" max="9728" width="9.5703125" style="205" customWidth="1"/>
    <col min="9729" max="9729" width="13.42578125" style="205" bestFit="1" customWidth="1"/>
    <col min="9730" max="9730" width="7.5703125" style="205" customWidth="1"/>
    <col min="9731" max="9731" width="11.42578125" style="205"/>
    <col min="9732" max="9732" width="13.42578125" style="205" bestFit="1" customWidth="1"/>
    <col min="9733" max="9969" width="11.42578125" style="205"/>
    <col min="9970" max="9970" width="0.42578125" style="205" customWidth="1"/>
    <col min="9971" max="9971" width="2.5703125" style="205" customWidth="1"/>
    <col min="9972" max="9972" width="15.42578125" style="205" customWidth="1"/>
    <col min="9973" max="9973" width="1.42578125" style="205" customWidth="1"/>
    <col min="9974" max="9974" width="27.5703125" style="205" customWidth="1"/>
    <col min="9975" max="9975" width="6.5703125" style="205" customWidth="1"/>
    <col min="9976" max="9976" width="1.5703125" style="205" customWidth="1"/>
    <col min="9977" max="9977" width="10.5703125" style="205" customWidth="1"/>
    <col min="9978" max="9978" width="5.5703125" style="205" customWidth="1"/>
    <col min="9979" max="9979" width="1.5703125" style="205" customWidth="1"/>
    <col min="9980" max="9980" width="10.5703125" style="205" customWidth="1"/>
    <col min="9981" max="9981" width="6.5703125" style="205" customWidth="1"/>
    <col min="9982" max="9982" width="1.5703125" style="205" customWidth="1"/>
    <col min="9983" max="9983" width="10.5703125" style="205" customWidth="1"/>
    <col min="9984" max="9984" width="9.5703125" style="205" customWidth="1"/>
    <col min="9985" max="9985" width="13.42578125" style="205" bestFit="1" customWidth="1"/>
    <col min="9986" max="9986" width="7.5703125" style="205" customWidth="1"/>
    <col min="9987" max="9987" width="11.42578125" style="205"/>
    <col min="9988" max="9988" width="13.42578125" style="205" bestFit="1" customWidth="1"/>
    <col min="9989" max="10225" width="11.42578125" style="205"/>
    <col min="10226" max="10226" width="0.42578125" style="205" customWidth="1"/>
    <col min="10227" max="10227" width="2.5703125" style="205" customWidth="1"/>
    <col min="10228" max="10228" width="15.42578125" style="205" customWidth="1"/>
    <col min="10229" max="10229" width="1.42578125" style="205" customWidth="1"/>
    <col min="10230" max="10230" width="27.5703125" style="205" customWidth="1"/>
    <col min="10231" max="10231" width="6.5703125" style="205" customWidth="1"/>
    <col min="10232" max="10232" width="1.5703125" style="205" customWidth="1"/>
    <col min="10233" max="10233" width="10.5703125" style="205" customWidth="1"/>
    <col min="10234" max="10234" width="5.5703125" style="205" customWidth="1"/>
    <col min="10235" max="10235" width="1.5703125" style="205" customWidth="1"/>
    <col min="10236" max="10236" width="10.5703125" style="205" customWidth="1"/>
    <col min="10237" max="10237" width="6.5703125" style="205" customWidth="1"/>
    <col min="10238" max="10238" width="1.5703125" style="205" customWidth="1"/>
    <col min="10239" max="10239" width="10.5703125" style="205" customWidth="1"/>
    <col min="10240" max="10240" width="9.5703125" style="205" customWidth="1"/>
    <col min="10241" max="10241" width="13.42578125" style="205" bestFit="1" customWidth="1"/>
    <col min="10242" max="10242" width="7.5703125" style="205" customWidth="1"/>
    <col min="10243" max="10243" width="11.42578125" style="205"/>
    <col min="10244" max="10244" width="13.42578125" style="205" bestFit="1" customWidth="1"/>
    <col min="10245" max="10481" width="11.42578125" style="205"/>
    <col min="10482" max="10482" width="0.42578125" style="205" customWidth="1"/>
    <col min="10483" max="10483" width="2.5703125" style="205" customWidth="1"/>
    <col min="10484" max="10484" width="15.42578125" style="205" customWidth="1"/>
    <col min="10485" max="10485" width="1.42578125" style="205" customWidth="1"/>
    <col min="10486" max="10486" width="27.5703125" style="205" customWidth="1"/>
    <col min="10487" max="10487" width="6.5703125" style="205" customWidth="1"/>
    <col min="10488" max="10488" width="1.5703125" style="205" customWidth="1"/>
    <col min="10489" max="10489" width="10.5703125" style="205" customWidth="1"/>
    <col min="10490" max="10490" width="5.5703125" style="205" customWidth="1"/>
    <col min="10491" max="10491" width="1.5703125" style="205" customWidth="1"/>
    <col min="10492" max="10492" width="10.5703125" style="205" customWidth="1"/>
    <col min="10493" max="10493" width="6.5703125" style="205" customWidth="1"/>
    <col min="10494" max="10494" width="1.5703125" style="205" customWidth="1"/>
    <col min="10495" max="10495" width="10.5703125" style="205" customWidth="1"/>
    <col min="10496" max="10496" width="9.5703125" style="205" customWidth="1"/>
    <col min="10497" max="10497" width="13.42578125" style="205" bestFit="1" customWidth="1"/>
    <col min="10498" max="10498" width="7.5703125" style="205" customWidth="1"/>
    <col min="10499" max="10499" width="11.42578125" style="205"/>
    <col min="10500" max="10500" width="13.42578125" style="205" bestFit="1" customWidth="1"/>
    <col min="10501" max="10737" width="11.42578125" style="205"/>
    <col min="10738" max="10738" width="0.42578125" style="205" customWidth="1"/>
    <col min="10739" max="10739" width="2.5703125" style="205" customWidth="1"/>
    <col min="10740" max="10740" width="15.42578125" style="205" customWidth="1"/>
    <col min="10741" max="10741" width="1.42578125" style="205" customWidth="1"/>
    <col min="10742" max="10742" width="27.5703125" style="205" customWidth="1"/>
    <col min="10743" max="10743" width="6.5703125" style="205" customWidth="1"/>
    <col min="10744" max="10744" width="1.5703125" style="205" customWidth="1"/>
    <col min="10745" max="10745" width="10.5703125" style="205" customWidth="1"/>
    <col min="10746" max="10746" width="5.5703125" style="205" customWidth="1"/>
    <col min="10747" max="10747" width="1.5703125" style="205" customWidth="1"/>
    <col min="10748" max="10748" width="10.5703125" style="205" customWidth="1"/>
    <col min="10749" max="10749" width="6.5703125" style="205" customWidth="1"/>
    <col min="10750" max="10750" width="1.5703125" style="205" customWidth="1"/>
    <col min="10751" max="10751" width="10.5703125" style="205" customWidth="1"/>
    <col min="10752" max="10752" width="9.5703125" style="205" customWidth="1"/>
    <col min="10753" max="10753" width="13.42578125" style="205" bestFit="1" customWidth="1"/>
    <col min="10754" max="10754" width="7.5703125" style="205" customWidth="1"/>
    <col min="10755" max="10755" width="11.42578125" style="205"/>
    <col min="10756" max="10756" width="13.42578125" style="205" bestFit="1" customWidth="1"/>
    <col min="10757" max="10993" width="11.42578125" style="205"/>
    <col min="10994" max="10994" width="0.42578125" style="205" customWidth="1"/>
    <col min="10995" max="10995" width="2.5703125" style="205" customWidth="1"/>
    <col min="10996" max="10996" width="15.42578125" style="205" customWidth="1"/>
    <col min="10997" max="10997" width="1.42578125" style="205" customWidth="1"/>
    <col min="10998" max="10998" width="27.5703125" style="205" customWidth="1"/>
    <col min="10999" max="10999" width="6.5703125" style="205" customWidth="1"/>
    <col min="11000" max="11000" width="1.5703125" style="205" customWidth="1"/>
    <col min="11001" max="11001" width="10.5703125" style="205" customWidth="1"/>
    <col min="11002" max="11002" width="5.5703125" style="205" customWidth="1"/>
    <col min="11003" max="11003" width="1.5703125" style="205" customWidth="1"/>
    <col min="11004" max="11004" width="10.5703125" style="205" customWidth="1"/>
    <col min="11005" max="11005" width="6.5703125" style="205" customWidth="1"/>
    <col min="11006" max="11006" width="1.5703125" style="205" customWidth="1"/>
    <col min="11007" max="11007" width="10.5703125" style="205" customWidth="1"/>
    <col min="11008" max="11008" width="9.5703125" style="205" customWidth="1"/>
    <col min="11009" max="11009" width="13.42578125" style="205" bestFit="1" customWidth="1"/>
    <col min="11010" max="11010" width="7.5703125" style="205" customWidth="1"/>
    <col min="11011" max="11011" width="11.42578125" style="205"/>
    <col min="11012" max="11012" width="13.42578125" style="205" bestFit="1" customWidth="1"/>
    <col min="11013" max="11249" width="11.42578125" style="205"/>
    <col min="11250" max="11250" width="0.42578125" style="205" customWidth="1"/>
    <col min="11251" max="11251" width="2.5703125" style="205" customWidth="1"/>
    <col min="11252" max="11252" width="15.42578125" style="205" customWidth="1"/>
    <col min="11253" max="11253" width="1.42578125" style="205" customWidth="1"/>
    <col min="11254" max="11254" width="27.5703125" style="205" customWidth="1"/>
    <col min="11255" max="11255" width="6.5703125" style="205" customWidth="1"/>
    <col min="11256" max="11256" width="1.5703125" style="205" customWidth="1"/>
    <col min="11257" max="11257" width="10.5703125" style="205" customWidth="1"/>
    <col min="11258" max="11258" width="5.5703125" style="205" customWidth="1"/>
    <col min="11259" max="11259" width="1.5703125" style="205" customWidth="1"/>
    <col min="11260" max="11260" width="10.5703125" style="205" customWidth="1"/>
    <col min="11261" max="11261" width="6.5703125" style="205" customWidth="1"/>
    <col min="11262" max="11262" width="1.5703125" style="205" customWidth="1"/>
    <col min="11263" max="11263" width="10.5703125" style="205" customWidth="1"/>
    <col min="11264" max="11264" width="9.5703125" style="205" customWidth="1"/>
    <col min="11265" max="11265" width="13.42578125" style="205" bestFit="1" customWidth="1"/>
    <col min="11266" max="11266" width="7.5703125" style="205" customWidth="1"/>
    <col min="11267" max="11267" width="11.42578125" style="205"/>
    <col min="11268" max="11268" width="13.42578125" style="205" bestFit="1" customWidth="1"/>
    <col min="11269" max="11505" width="11.42578125" style="205"/>
    <col min="11506" max="11506" width="0.42578125" style="205" customWidth="1"/>
    <col min="11507" max="11507" width="2.5703125" style="205" customWidth="1"/>
    <col min="11508" max="11508" width="15.42578125" style="205" customWidth="1"/>
    <col min="11509" max="11509" width="1.42578125" style="205" customWidth="1"/>
    <col min="11510" max="11510" width="27.5703125" style="205" customWidth="1"/>
    <col min="11511" max="11511" width="6.5703125" style="205" customWidth="1"/>
    <col min="11512" max="11512" width="1.5703125" style="205" customWidth="1"/>
    <col min="11513" max="11513" width="10.5703125" style="205" customWidth="1"/>
    <col min="11514" max="11514" width="5.5703125" style="205" customWidth="1"/>
    <col min="11515" max="11515" width="1.5703125" style="205" customWidth="1"/>
    <col min="11516" max="11516" width="10.5703125" style="205" customWidth="1"/>
    <col min="11517" max="11517" width="6.5703125" style="205" customWidth="1"/>
    <col min="11518" max="11518" width="1.5703125" style="205" customWidth="1"/>
    <col min="11519" max="11519" width="10.5703125" style="205" customWidth="1"/>
    <col min="11520" max="11520" width="9.5703125" style="205" customWidth="1"/>
    <col min="11521" max="11521" width="13.42578125" style="205" bestFit="1" customWidth="1"/>
    <col min="11522" max="11522" width="7.5703125" style="205" customWidth="1"/>
    <col min="11523" max="11523" width="11.42578125" style="205"/>
    <col min="11524" max="11524" width="13.42578125" style="205" bestFit="1" customWidth="1"/>
    <col min="11525" max="11761" width="11.42578125" style="205"/>
    <col min="11762" max="11762" width="0.42578125" style="205" customWidth="1"/>
    <col min="11763" max="11763" width="2.5703125" style="205" customWidth="1"/>
    <col min="11764" max="11764" width="15.42578125" style="205" customWidth="1"/>
    <col min="11765" max="11765" width="1.42578125" style="205" customWidth="1"/>
    <col min="11766" max="11766" width="27.5703125" style="205" customWidth="1"/>
    <col min="11767" max="11767" width="6.5703125" style="205" customWidth="1"/>
    <col min="11768" max="11768" width="1.5703125" style="205" customWidth="1"/>
    <col min="11769" max="11769" width="10.5703125" style="205" customWidth="1"/>
    <col min="11770" max="11770" width="5.5703125" style="205" customWidth="1"/>
    <col min="11771" max="11771" width="1.5703125" style="205" customWidth="1"/>
    <col min="11772" max="11772" width="10.5703125" style="205" customWidth="1"/>
    <col min="11773" max="11773" width="6.5703125" style="205" customWidth="1"/>
    <col min="11774" max="11774" width="1.5703125" style="205" customWidth="1"/>
    <col min="11775" max="11775" width="10.5703125" style="205" customWidth="1"/>
    <col min="11776" max="11776" width="9.5703125" style="205" customWidth="1"/>
    <col min="11777" max="11777" width="13.42578125" style="205" bestFit="1" customWidth="1"/>
    <col min="11778" max="11778" width="7.5703125" style="205" customWidth="1"/>
    <col min="11779" max="11779" width="11.42578125" style="205"/>
    <col min="11780" max="11780" width="13.42578125" style="205" bestFit="1" customWidth="1"/>
    <col min="11781" max="12017" width="11.42578125" style="205"/>
    <col min="12018" max="12018" width="0.42578125" style="205" customWidth="1"/>
    <col min="12019" max="12019" width="2.5703125" style="205" customWidth="1"/>
    <col min="12020" max="12020" width="15.42578125" style="205" customWidth="1"/>
    <col min="12021" max="12021" width="1.42578125" style="205" customWidth="1"/>
    <col min="12022" max="12022" width="27.5703125" style="205" customWidth="1"/>
    <col min="12023" max="12023" width="6.5703125" style="205" customWidth="1"/>
    <col min="12024" max="12024" width="1.5703125" style="205" customWidth="1"/>
    <col min="12025" max="12025" width="10.5703125" style="205" customWidth="1"/>
    <col min="12026" max="12026" width="5.5703125" style="205" customWidth="1"/>
    <col min="12027" max="12027" width="1.5703125" style="205" customWidth="1"/>
    <col min="12028" max="12028" width="10.5703125" style="205" customWidth="1"/>
    <col min="12029" max="12029" width="6.5703125" style="205" customWidth="1"/>
    <col min="12030" max="12030" width="1.5703125" style="205" customWidth="1"/>
    <col min="12031" max="12031" width="10.5703125" style="205" customWidth="1"/>
    <col min="12032" max="12032" width="9.5703125" style="205" customWidth="1"/>
    <col min="12033" max="12033" width="13.42578125" style="205" bestFit="1" customWidth="1"/>
    <col min="12034" max="12034" width="7.5703125" style="205" customWidth="1"/>
    <col min="12035" max="12035" width="11.42578125" style="205"/>
    <col min="12036" max="12036" width="13.42578125" style="205" bestFit="1" customWidth="1"/>
    <col min="12037" max="12273" width="11.42578125" style="205"/>
    <col min="12274" max="12274" width="0.42578125" style="205" customWidth="1"/>
    <col min="12275" max="12275" width="2.5703125" style="205" customWidth="1"/>
    <col min="12276" max="12276" width="15.42578125" style="205" customWidth="1"/>
    <col min="12277" max="12277" width="1.42578125" style="205" customWidth="1"/>
    <col min="12278" max="12278" width="27.5703125" style="205" customWidth="1"/>
    <col min="12279" max="12279" width="6.5703125" style="205" customWidth="1"/>
    <col min="12280" max="12280" width="1.5703125" style="205" customWidth="1"/>
    <col min="12281" max="12281" width="10.5703125" style="205" customWidth="1"/>
    <col min="12282" max="12282" width="5.5703125" style="205" customWidth="1"/>
    <col min="12283" max="12283" width="1.5703125" style="205" customWidth="1"/>
    <col min="12284" max="12284" width="10.5703125" style="205" customWidth="1"/>
    <col min="12285" max="12285" width="6.5703125" style="205" customWidth="1"/>
    <col min="12286" max="12286" width="1.5703125" style="205" customWidth="1"/>
    <col min="12287" max="12287" width="10.5703125" style="205" customWidth="1"/>
    <col min="12288" max="12288" width="9.5703125" style="205" customWidth="1"/>
    <col min="12289" max="12289" width="13.42578125" style="205" bestFit="1" customWidth="1"/>
    <col min="12290" max="12290" width="7.5703125" style="205" customWidth="1"/>
    <col min="12291" max="12291" width="11.42578125" style="205"/>
    <col min="12292" max="12292" width="13.42578125" style="205" bestFit="1" customWidth="1"/>
    <col min="12293" max="12529" width="11.42578125" style="205"/>
    <col min="12530" max="12530" width="0.42578125" style="205" customWidth="1"/>
    <col min="12531" max="12531" width="2.5703125" style="205" customWidth="1"/>
    <col min="12532" max="12532" width="15.42578125" style="205" customWidth="1"/>
    <col min="12533" max="12533" width="1.42578125" style="205" customWidth="1"/>
    <col min="12534" max="12534" width="27.5703125" style="205" customWidth="1"/>
    <col min="12535" max="12535" width="6.5703125" style="205" customWidth="1"/>
    <col min="12536" max="12536" width="1.5703125" style="205" customWidth="1"/>
    <col min="12537" max="12537" width="10.5703125" style="205" customWidth="1"/>
    <col min="12538" max="12538" width="5.5703125" style="205" customWidth="1"/>
    <col min="12539" max="12539" width="1.5703125" style="205" customWidth="1"/>
    <col min="12540" max="12540" width="10.5703125" style="205" customWidth="1"/>
    <col min="12541" max="12541" width="6.5703125" style="205" customWidth="1"/>
    <col min="12542" max="12542" width="1.5703125" style="205" customWidth="1"/>
    <col min="12543" max="12543" width="10.5703125" style="205" customWidth="1"/>
    <col min="12544" max="12544" width="9.5703125" style="205" customWidth="1"/>
    <col min="12545" max="12545" width="13.42578125" style="205" bestFit="1" customWidth="1"/>
    <col min="12546" max="12546" width="7.5703125" style="205" customWidth="1"/>
    <col min="12547" max="12547" width="11.42578125" style="205"/>
    <col min="12548" max="12548" width="13.42578125" style="205" bestFit="1" customWidth="1"/>
    <col min="12549" max="12785" width="11.42578125" style="205"/>
    <col min="12786" max="12786" width="0.42578125" style="205" customWidth="1"/>
    <col min="12787" max="12787" width="2.5703125" style="205" customWidth="1"/>
    <col min="12788" max="12788" width="15.42578125" style="205" customWidth="1"/>
    <col min="12789" max="12789" width="1.42578125" style="205" customWidth="1"/>
    <col min="12790" max="12790" width="27.5703125" style="205" customWidth="1"/>
    <col min="12791" max="12791" width="6.5703125" style="205" customWidth="1"/>
    <col min="12792" max="12792" width="1.5703125" style="205" customWidth="1"/>
    <col min="12793" max="12793" width="10.5703125" style="205" customWidth="1"/>
    <col min="12794" max="12794" width="5.5703125" style="205" customWidth="1"/>
    <col min="12795" max="12795" width="1.5703125" style="205" customWidth="1"/>
    <col min="12796" max="12796" width="10.5703125" style="205" customWidth="1"/>
    <col min="12797" max="12797" width="6.5703125" style="205" customWidth="1"/>
    <col min="12798" max="12798" width="1.5703125" style="205" customWidth="1"/>
    <col min="12799" max="12799" width="10.5703125" style="205" customWidth="1"/>
    <col min="12800" max="12800" width="9.5703125" style="205" customWidth="1"/>
    <col min="12801" max="12801" width="13.42578125" style="205" bestFit="1" customWidth="1"/>
    <col min="12802" max="12802" width="7.5703125" style="205" customWidth="1"/>
    <col min="12803" max="12803" width="11.42578125" style="205"/>
    <col min="12804" max="12804" width="13.42578125" style="205" bestFit="1" customWidth="1"/>
    <col min="12805" max="13041" width="11.42578125" style="205"/>
    <col min="13042" max="13042" width="0.42578125" style="205" customWidth="1"/>
    <col min="13043" max="13043" width="2.5703125" style="205" customWidth="1"/>
    <col min="13044" max="13044" width="15.42578125" style="205" customWidth="1"/>
    <col min="13045" max="13045" width="1.42578125" style="205" customWidth="1"/>
    <col min="13046" max="13046" width="27.5703125" style="205" customWidth="1"/>
    <col min="13047" max="13047" width="6.5703125" style="205" customWidth="1"/>
    <col min="13048" max="13048" width="1.5703125" style="205" customWidth="1"/>
    <col min="13049" max="13049" width="10.5703125" style="205" customWidth="1"/>
    <col min="13050" max="13050" width="5.5703125" style="205" customWidth="1"/>
    <col min="13051" max="13051" width="1.5703125" style="205" customWidth="1"/>
    <col min="13052" max="13052" width="10.5703125" style="205" customWidth="1"/>
    <col min="13053" max="13053" width="6.5703125" style="205" customWidth="1"/>
    <col min="13054" max="13054" width="1.5703125" style="205" customWidth="1"/>
    <col min="13055" max="13055" width="10.5703125" style="205" customWidth="1"/>
    <col min="13056" max="13056" width="9.5703125" style="205" customWidth="1"/>
    <col min="13057" max="13057" width="13.42578125" style="205" bestFit="1" customWidth="1"/>
    <col min="13058" max="13058" width="7.5703125" style="205" customWidth="1"/>
    <col min="13059" max="13059" width="11.42578125" style="205"/>
    <col min="13060" max="13060" width="13.42578125" style="205" bestFit="1" customWidth="1"/>
    <col min="13061" max="13297" width="11.42578125" style="205"/>
    <col min="13298" max="13298" width="0.42578125" style="205" customWidth="1"/>
    <col min="13299" max="13299" width="2.5703125" style="205" customWidth="1"/>
    <col min="13300" max="13300" width="15.42578125" style="205" customWidth="1"/>
    <col min="13301" max="13301" width="1.42578125" style="205" customWidth="1"/>
    <col min="13302" max="13302" width="27.5703125" style="205" customWidth="1"/>
    <col min="13303" max="13303" width="6.5703125" style="205" customWidth="1"/>
    <col min="13304" max="13304" width="1.5703125" style="205" customWidth="1"/>
    <col min="13305" max="13305" width="10.5703125" style="205" customWidth="1"/>
    <col min="13306" max="13306" width="5.5703125" style="205" customWidth="1"/>
    <col min="13307" max="13307" width="1.5703125" style="205" customWidth="1"/>
    <col min="13308" max="13308" width="10.5703125" style="205" customWidth="1"/>
    <col min="13309" max="13309" width="6.5703125" style="205" customWidth="1"/>
    <col min="13310" max="13310" width="1.5703125" style="205" customWidth="1"/>
    <col min="13311" max="13311" width="10.5703125" style="205" customWidth="1"/>
    <col min="13312" max="13312" width="9.5703125" style="205" customWidth="1"/>
    <col min="13313" max="13313" width="13.42578125" style="205" bestFit="1" customWidth="1"/>
    <col min="13314" max="13314" width="7.5703125" style="205" customWidth="1"/>
    <col min="13315" max="13315" width="11.42578125" style="205"/>
    <col min="13316" max="13316" width="13.42578125" style="205" bestFit="1" customWidth="1"/>
    <col min="13317" max="13553" width="11.42578125" style="205"/>
    <col min="13554" max="13554" width="0.42578125" style="205" customWidth="1"/>
    <col min="13555" max="13555" width="2.5703125" style="205" customWidth="1"/>
    <col min="13556" max="13556" width="15.42578125" style="205" customWidth="1"/>
    <col min="13557" max="13557" width="1.42578125" style="205" customWidth="1"/>
    <col min="13558" max="13558" width="27.5703125" style="205" customWidth="1"/>
    <col min="13559" max="13559" width="6.5703125" style="205" customWidth="1"/>
    <col min="13560" max="13560" width="1.5703125" style="205" customWidth="1"/>
    <col min="13561" max="13561" width="10.5703125" style="205" customWidth="1"/>
    <col min="13562" max="13562" width="5.5703125" style="205" customWidth="1"/>
    <col min="13563" max="13563" width="1.5703125" style="205" customWidth="1"/>
    <col min="13564" max="13564" width="10.5703125" style="205" customWidth="1"/>
    <col min="13565" max="13565" width="6.5703125" style="205" customWidth="1"/>
    <col min="13566" max="13566" width="1.5703125" style="205" customWidth="1"/>
    <col min="13567" max="13567" width="10.5703125" style="205" customWidth="1"/>
    <col min="13568" max="13568" width="9.5703125" style="205" customWidth="1"/>
    <col min="13569" max="13569" width="13.42578125" style="205" bestFit="1" customWidth="1"/>
    <col min="13570" max="13570" width="7.5703125" style="205" customWidth="1"/>
    <col min="13571" max="13571" width="11.42578125" style="205"/>
    <col min="13572" max="13572" width="13.42578125" style="205" bestFit="1" customWidth="1"/>
    <col min="13573" max="13809" width="11.42578125" style="205"/>
    <col min="13810" max="13810" width="0.42578125" style="205" customWidth="1"/>
    <col min="13811" max="13811" width="2.5703125" style="205" customWidth="1"/>
    <col min="13812" max="13812" width="15.42578125" style="205" customWidth="1"/>
    <col min="13813" max="13813" width="1.42578125" style="205" customWidth="1"/>
    <col min="13814" max="13814" width="27.5703125" style="205" customWidth="1"/>
    <col min="13815" max="13815" width="6.5703125" style="205" customWidth="1"/>
    <col min="13816" max="13816" width="1.5703125" style="205" customWidth="1"/>
    <col min="13817" max="13817" width="10.5703125" style="205" customWidth="1"/>
    <col min="13818" max="13818" width="5.5703125" style="205" customWidth="1"/>
    <col min="13819" max="13819" width="1.5703125" style="205" customWidth="1"/>
    <col min="13820" max="13820" width="10.5703125" style="205" customWidth="1"/>
    <col min="13821" max="13821" width="6.5703125" style="205" customWidth="1"/>
    <col min="13822" max="13822" width="1.5703125" style="205" customWidth="1"/>
    <col min="13823" max="13823" width="10.5703125" style="205" customWidth="1"/>
    <col min="13824" max="13824" width="9.5703125" style="205" customWidth="1"/>
    <col min="13825" max="13825" width="13.42578125" style="205" bestFit="1" customWidth="1"/>
    <col min="13826" max="13826" width="7.5703125" style="205" customWidth="1"/>
    <col min="13827" max="13827" width="11.42578125" style="205"/>
    <col min="13828" max="13828" width="13.42578125" style="205" bestFit="1" customWidth="1"/>
    <col min="13829" max="14065" width="11.42578125" style="205"/>
    <col min="14066" max="14066" width="0.42578125" style="205" customWidth="1"/>
    <col min="14067" max="14067" width="2.5703125" style="205" customWidth="1"/>
    <col min="14068" max="14068" width="15.42578125" style="205" customWidth="1"/>
    <col min="14069" max="14069" width="1.42578125" style="205" customWidth="1"/>
    <col min="14070" max="14070" width="27.5703125" style="205" customWidth="1"/>
    <col min="14071" max="14071" width="6.5703125" style="205" customWidth="1"/>
    <col min="14072" max="14072" width="1.5703125" style="205" customWidth="1"/>
    <col min="14073" max="14073" width="10.5703125" style="205" customWidth="1"/>
    <col min="14074" max="14074" width="5.5703125" style="205" customWidth="1"/>
    <col min="14075" max="14075" width="1.5703125" style="205" customWidth="1"/>
    <col min="14076" max="14076" width="10.5703125" style="205" customWidth="1"/>
    <col min="14077" max="14077" width="6.5703125" style="205" customWidth="1"/>
    <col min="14078" max="14078" width="1.5703125" style="205" customWidth="1"/>
    <col min="14079" max="14079" width="10.5703125" style="205" customWidth="1"/>
    <col min="14080" max="14080" width="9.5703125" style="205" customWidth="1"/>
    <col min="14081" max="14081" width="13.42578125" style="205" bestFit="1" customWidth="1"/>
    <col min="14082" max="14082" width="7.5703125" style="205" customWidth="1"/>
    <col min="14083" max="14083" width="11.42578125" style="205"/>
    <col min="14084" max="14084" width="13.42578125" style="205" bestFit="1" customWidth="1"/>
    <col min="14085" max="14321" width="11.42578125" style="205"/>
    <col min="14322" max="14322" width="0.42578125" style="205" customWidth="1"/>
    <col min="14323" max="14323" width="2.5703125" style="205" customWidth="1"/>
    <col min="14324" max="14324" width="15.42578125" style="205" customWidth="1"/>
    <col min="14325" max="14325" width="1.42578125" style="205" customWidth="1"/>
    <col min="14326" max="14326" width="27.5703125" style="205" customWidth="1"/>
    <col min="14327" max="14327" width="6.5703125" style="205" customWidth="1"/>
    <col min="14328" max="14328" width="1.5703125" style="205" customWidth="1"/>
    <col min="14329" max="14329" width="10.5703125" style="205" customWidth="1"/>
    <col min="14330" max="14330" width="5.5703125" style="205" customWidth="1"/>
    <col min="14331" max="14331" width="1.5703125" style="205" customWidth="1"/>
    <col min="14332" max="14332" width="10.5703125" style="205" customWidth="1"/>
    <col min="14333" max="14333" width="6.5703125" style="205" customWidth="1"/>
    <col min="14334" max="14334" width="1.5703125" style="205" customWidth="1"/>
    <col min="14335" max="14335" width="10.5703125" style="205" customWidth="1"/>
    <col min="14336" max="14336" width="9.5703125" style="205" customWidth="1"/>
    <col min="14337" max="14337" width="13.42578125" style="205" bestFit="1" customWidth="1"/>
    <col min="14338" max="14338" width="7.5703125" style="205" customWidth="1"/>
    <col min="14339" max="14339" width="11.42578125" style="205"/>
    <col min="14340" max="14340" width="13.42578125" style="205" bestFit="1" customWidth="1"/>
    <col min="14341" max="14577" width="11.42578125" style="205"/>
    <col min="14578" max="14578" width="0.42578125" style="205" customWidth="1"/>
    <col min="14579" max="14579" width="2.5703125" style="205" customWidth="1"/>
    <col min="14580" max="14580" width="15.42578125" style="205" customWidth="1"/>
    <col min="14581" max="14581" width="1.42578125" style="205" customWidth="1"/>
    <col min="14582" max="14582" width="27.5703125" style="205" customWidth="1"/>
    <col min="14583" max="14583" width="6.5703125" style="205" customWidth="1"/>
    <col min="14584" max="14584" width="1.5703125" style="205" customWidth="1"/>
    <col min="14585" max="14585" width="10.5703125" style="205" customWidth="1"/>
    <col min="14586" max="14586" width="5.5703125" style="205" customWidth="1"/>
    <col min="14587" max="14587" width="1.5703125" style="205" customWidth="1"/>
    <col min="14588" max="14588" width="10.5703125" style="205" customWidth="1"/>
    <col min="14589" max="14589" width="6.5703125" style="205" customWidth="1"/>
    <col min="14590" max="14590" width="1.5703125" style="205" customWidth="1"/>
    <col min="14591" max="14591" width="10.5703125" style="205" customWidth="1"/>
    <col min="14592" max="14592" width="9.5703125" style="205" customWidth="1"/>
    <col min="14593" max="14593" width="13.42578125" style="205" bestFit="1" customWidth="1"/>
    <col min="14594" max="14594" width="7.5703125" style="205" customWidth="1"/>
    <col min="14595" max="14595" width="11.42578125" style="205"/>
    <col min="14596" max="14596" width="13.42578125" style="205" bestFit="1" customWidth="1"/>
    <col min="14597" max="14833" width="11.42578125" style="205"/>
    <col min="14834" max="14834" width="0.42578125" style="205" customWidth="1"/>
    <col min="14835" max="14835" width="2.5703125" style="205" customWidth="1"/>
    <col min="14836" max="14836" width="15.42578125" style="205" customWidth="1"/>
    <col min="14837" max="14837" width="1.42578125" style="205" customWidth="1"/>
    <col min="14838" max="14838" width="27.5703125" style="205" customWidth="1"/>
    <col min="14839" max="14839" width="6.5703125" style="205" customWidth="1"/>
    <col min="14840" max="14840" width="1.5703125" style="205" customWidth="1"/>
    <col min="14841" max="14841" width="10.5703125" style="205" customWidth="1"/>
    <col min="14842" max="14842" width="5.5703125" style="205" customWidth="1"/>
    <col min="14843" max="14843" width="1.5703125" style="205" customWidth="1"/>
    <col min="14844" max="14844" width="10.5703125" style="205" customWidth="1"/>
    <col min="14845" max="14845" width="6.5703125" style="205" customWidth="1"/>
    <col min="14846" max="14846" width="1.5703125" style="205" customWidth="1"/>
    <col min="14847" max="14847" width="10.5703125" style="205" customWidth="1"/>
    <col min="14848" max="14848" width="9.5703125" style="205" customWidth="1"/>
    <col min="14849" max="14849" width="13.42578125" style="205" bestFit="1" customWidth="1"/>
    <col min="14850" max="14850" width="7.5703125" style="205" customWidth="1"/>
    <col min="14851" max="14851" width="11.42578125" style="205"/>
    <col min="14852" max="14852" width="13.42578125" style="205" bestFit="1" customWidth="1"/>
    <col min="14853" max="15089" width="11.42578125" style="205"/>
    <col min="15090" max="15090" width="0.42578125" style="205" customWidth="1"/>
    <col min="15091" max="15091" width="2.5703125" style="205" customWidth="1"/>
    <col min="15092" max="15092" width="15.42578125" style="205" customWidth="1"/>
    <col min="15093" max="15093" width="1.42578125" style="205" customWidth="1"/>
    <col min="15094" max="15094" width="27.5703125" style="205" customWidth="1"/>
    <col min="15095" max="15095" width="6.5703125" style="205" customWidth="1"/>
    <col min="15096" max="15096" width="1.5703125" style="205" customWidth="1"/>
    <col min="15097" max="15097" width="10.5703125" style="205" customWidth="1"/>
    <col min="15098" max="15098" width="5.5703125" style="205" customWidth="1"/>
    <col min="15099" max="15099" width="1.5703125" style="205" customWidth="1"/>
    <col min="15100" max="15100" width="10.5703125" style="205" customWidth="1"/>
    <col min="15101" max="15101" width="6.5703125" style="205" customWidth="1"/>
    <col min="15102" max="15102" width="1.5703125" style="205" customWidth="1"/>
    <col min="15103" max="15103" width="10.5703125" style="205" customWidth="1"/>
    <col min="15104" max="15104" width="9.5703125" style="205" customWidth="1"/>
    <col min="15105" max="15105" width="13.42578125" style="205" bestFit="1" customWidth="1"/>
    <col min="15106" max="15106" width="7.5703125" style="205" customWidth="1"/>
    <col min="15107" max="15107" width="11.42578125" style="205"/>
    <col min="15108" max="15108" width="13.42578125" style="205" bestFit="1" customWidth="1"/>
    <col min="15109" max="15345" width="11.42578125" style="205"/>
    <col min="15346" max="15346" width="0.42578125" style="205" customWidth="1"/>
    <col min="15347" max="15347" width="2.5703125" style="205" customWidth="1"/>
    <col min="15348" max="15348" width="15.42578125" style="205" customWidth="1"/>
    <col min="15349" max="15349" width="1.42578125" style="205" customWidth="1"/>
    <col min="15350" max="15350" width="27.5703125" style="205" customWidth="1"/>
    <col min="15351" max="15351" width="6.5703125" style="205" customWidth="1"/>
    <col min="15352" max="15352" width="1.5703125" style="205" customWidth="1"/>
    <col min="15353" max="15353" width="10.5703125" style="205" customWidth="1"/>
    <col min="15354" max="15354" width="5.5703125" style="205" customWidth="1"/>
    <col min="15355" max="15355" width="1.5703125" style="205" customWidth="1"/>
    <col min="15356" max="15356" width="10.5703125" style="205" customWidth="1"/>
    <col min="15357" max="15357" width="6.5703125" style="205" customWidth="1"/>
    <col min="15358" max="15358" width="1.5703125" style="205" customWidth="1"/>
    <col min="15359" max="15359" width="10.5703125" style="205" customWidth="1"/>
    <col min="15360" max="15360" width="9.5703125" style="205" customWidth="1"/>
    <col min="15361" max="15361" width="13.42578125" style="205" bestFit="1" customWidth="1"/>
    <col min="15362" max="15362" width="7.5703125" style="205" customWidth="1"/>
    <col min="15363" max="15363" width="11.42578125" style="205"/>
    <col min="15364" max="15364" width="13.42578125" style="205" bestFit="1" customWidth="1"/>
    <col min="15365" max="15601" width="11.42578125" style="205"/>
    <col min="15602" max="15602" width="0.42578125" style="205" customWidth="1"/>
    <col min="15603" max="15603" width="2.5703125" style="205" customWidth="1"/>
    <col min="15604" max="15604" width="15.42578125" style="205" customWidth="1"/>
    <col min="15605" max="15605" width="1.42578125" style="205" customWidth="1"/>
    <col min="15606" max="15606" width="27.5703125" style="205" customWidth="1"/>
    <col min="15607" max="15607" width="6.5703125" style="205" customWidth="1"/>
    <col min="15608" max="15608" width="1.5703125" style="205" customWidth="1"/>
    <col min="15609" max="15609" width="10.5703125" style="205" customWidth="1"/>
    <col min="15610" max="15610" width="5.5703125" style="205" customWidth="1"/>
    <col min="15611" max="15611" width="1.5703125" style="205" customWidth="1"/>
    <col min="15612" max="15612" width="10.5703125" style="205" customWidth="1"/>
    <col min="15613" max="15613" width="6.5703125" style="205" customWidth="1"/>
    <col min="15614" max="15614" width="1.5703125" style="205" customWidth="1"/>
    <col min="15615" max="15615" width="10.5703125" style="205" customWidth="1"/>
    <col min="15616" max="15616" width="9.5703125" style="205" customWidth="1"/>
    <col min="15617" max="15617" width="13.42578125" style="205" bestFit="1" customWidth="1"/>
    <col min="15618" max="15618" width="7.5703125" style="205" customWidth="1"/>
    <col min="15619" max="15619" width="11.42578125" style="205"/>
    <col min="15620" max="15620" width="13.42578125" style="205" bestFit="1" customWidth="1"/>
    <col min="15621" max="15857" width="11.42578125" style="205"/>
    <col min="15858" max="15858" width="0.42578125" style="205" customWidth="1"/>
    <col min="15859" max="15859" width="2.5703125" style="205" customWidth="1"/>
    <col min="15860" max="15860" width="15.42578125" style="205" customWidth="1"/>
    <col min="15861" max="15861" width="1.42578125" style="205" customWidth="1"/>
    <col min="15862" max="15862" width="27.5703125" style="205" customWidth="1"/>
    <col min="15863" max="15863" width="6.5703125" style="205" customWidth="1"/>
    <col min="15864" max="15864" width="1.5703125" style="205" customWidth="1"/>
    <col min="15865" max="15865" width="10.5703125" style="205" customWidth="1"/>
    <col min="15866" max="15866" width="5.5703125" style="205" customWidth="1"/>
    <col min="15867" max="15867" width="1.5703125" style="205" customWidth="1"/>
    <col min="15868" max="15868" width="10.5703125" style="205" customWidth="1"/>
    <col min="15869" max="15869" width="6.5703125" style="205" customWidth="1"/>
    <col min="15870" max="15870" width="1.5703125" style="205" customWidth="1"/>
    <col min="15871" max="15871" width="10.5703125" style="205" customWidth="1"/>
    <col min="15872" max="15872" width="9.5703125" style="205" customWidth="1"/>
    <col min="15873" max="15873" width="13.42578125" style="205" bestFit="1" customWidth="1"/>
    <col min="15874" max="15874" width="7.5703125" style="205" customWidth="1"/>
    <col min="15875" max="15875" width="11.42578125" style="205"/>
    <col min="15876" max="15876" width="13.42578125" style="205" bestFit="1" customWidth="1"/>
    <col min="15877" max="16113" width="11.42578125" style="205"/>
    <col min="16114" max="16114" width="0.42578125" style="205" customWidth="1"/>
    <col min="16115" max="16115" width="2.5703125" style="205" customWidth="1"/>
    <col min="16116" max="16116" width="15.42578125" style="205" customWidth="1"/>
    <col min="16117" max="16117" width="1.42578125" style="205" customWidth="1"/>
    <col min="16118" max="16118" width="27.5703125" style="205" customWidth="1"/>
    <col min="16119" max="16119" width="6.5703125" style="205" customWidth="1"/>
    <col min="16120" max="16120" width="1.5703125" style="205" customWidth="1"/>
    <col min="16121" max="16121" width="10.5703125" style="205" customWidth="1"/>
    <col min="16122" max="16122" width="5.5703125" style="205" customWidth="1"/>
    <col min="16123" max="16123" width="1.5703125" style="205" customWidth="1"/>
    <col min="16124" max="16124" width="10.5703125" style="205" customWidth="1"/>
    <col min="16125" max="16125" width="6.5703125" style="205" customWidth="1"/>
    <col min="16126" max="16126" width="1.5703125" style="205" customWidth="1"/>
    <col min="16127" max="16127" width="10.5703125" style="205" customWidth="1"/>
    <col min="16128" max="16128" width="9.5703125" style="205" customWidth="1"/>
    <col min="16129" max="16129" width="13.42578125" style="205" bestFit="1" customWidth="1"/>
    <col min="16130" max="16130" width="7.5703125" style="205" customWidth="1"/>
    <col min="16131" max="16131" width="11.42578125" style="205"/>
    <col min="16132" max="16132" width="13.42578125" style="205" bestFit="1" customWidth="1"/>
    <col min="16133" max="16384" width="11.42578125" style="205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150</v>
      </c>
    </row>
    <row r="4" spans="1:14" s="58" customFormat="1" ht="20.25" customHeight="1">
      <c r="B4" s="57"/>
      <c r="C4" s="25" t="s">
        <v>151</v>
      </c>
      <c r="G4" s="203"/>
    </row>
    <row r="5" spans="1:14" s="58" customFormat="1" ht="12.75" customHeight="1">
      <c r="B5" s="57"/>
      <c r="C5" s="45"/>
      <c r="G5" s="203"/>
    </row>
    <row r="6" spans="1:14" s="58" customFormat="1" ht="13.5" customHeight="1">
      <c r="B6" s="57"/>
      <c r="D6" s="55"/>
      <c r="E6" s="55"/>
      <c r="G6" s="203"/>
    </row>
    <row r="7" spans="1:14" s="58" customFormat="1" ht="12.75" customHeight="1">
      <c r="B7" s="57"/>
      <c r="C7" s="263" t="s">
        <v>155</v>
      </c>
      <c r="D7" s="55"/>
      <c r="G7" s="203"/>
    </row>
    <row r="8" spans="1:14" ht="12.75" customHeight="1">
      <c r="A8" s="58"/>
      <c r="B8" s="57"/>
      <c r="C8" s="263"/>
      <c r="D8" s="55"/>
      <c r="G8" s="204"/>
    </row>
    <row r="9" spans="1:14">
      <c r="A9" s="58"/>
      <c r="B9" s="57"/>
      <c r="C9" s="70" t="s">
        <v>93</v>
      </c>
      <c r="D9" s="55"/>
      <c r="F9" s="205"/>
      <c r="G9" s="207"/>
      <c r="H9" s="208"/>
      <c r="I9" s="208"/>
      <c r="J9" s="209"/>
      <c r="K9" s="208"/>
      <c r="L9" s="209"/>
      <c r="M9" s="208"/>
      <c r="N9" s="209"/>
    </row>
    <row r="10" spans="1:14">
      <c r="E10" s="210"/>
      <c r="F10" s="210"/>
    </row>
    <row r="11" spans="1:14">
      <c r="E11" s="210"/>
      <c r="F11" s="210"/>
    </row>
    <row r="12" spans="1:14">
      <c r="F12" s="210"/>
    </row>
    <row r="13" spans="1:14">
      <c r="E13" s="210"/>
      <c r="F13" s="211"/>
    </row>
    <row r="14" spans="1:14">
      <c r="E14" s="210"/>
      <c r="F14" s="210"/>
    </row>
    <row r="15" spans="1:14">
      <c r="E15" s="210"/>
      <c r="F15" s="210"/>
    </row>
    <row r="16" spans="1:14">
      <c r="E16" s="210"/>
      <c r="F16" s="210"/>
    </row>
    <row r="17" spans="5:6">
      <c r="E17" s="210"/>
      <c r="F17" s="210"/>
    </row>
    <row r="18" spans="5:6">
      <c r="E18" s="210"/>
      <c r="F18" s="210"/>
    </row>
    <row r="19" spans="5:6">
      <c r="E19" s="210"/>
      <c r="F19" s="210"/>
    </row>
    <row r="20" spans="5:6">
      <c r="E20" s="210"/>
      <c r="F20" s="210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5"/>
  <sheetViews>
    <sheetView zoomScaleNormal="100" workbookViewId="0">
      <selection activeCell="B17" sqref="B17:C17"/>
    </sheetView>
  </sheetViews>
  <sheetFormatPr baseColWidth="10" defaultColWidth="11.42578125" defaultRowHeight="12"/>
  <cols>
    <col min="1" max="1" width="7.85546875" style="99" bestFit="1" customWidth="1"/>
    <col min="2" max="2" width="13" style="99" bestFit="1" customWidth="1"/>
    <col min="3" max="3" width="24" style="99" bestFit="1" customWidth="1"/>
    <col min="4" max="4" width="19.85546875" style="99" bestFit="1" customWidth="1"/>
    <col min="5" max="5" width="20.42578125" style="99" bestFit="1" customWidth="1"/>
    <col min="6" max="6" width="32.5703125" style="99" bestFit="1" customWidth="1"/>
    <col min="7" max="7" width="24" style="99" bestFit="1" customWidth="1"/>
    <col min="8" max="8" width="19.85546875" style="99" bestFit="1" customWidth="1"/>
    <col min="9" max="9" width="20.42578125" style="99" bestFit="1" customWidth="1"/>
    <col min="10" max="11" width="28.28515625" style="99" bestFit="1" customWidth="1"/>
    <col min="12" max="12" width="24.28515625" style="99" bestFit="1" customWidth="1"/>
    <col min="13" max="13" width="24.7109375" style="99" bestFit="1" customWidth="1"/>
    <col min="14" max="14" width="32.5703125" style="99" bestFit="1" customWidth="1"/>
    <col min="15" max="33" width="19.425781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150</v>
      </c>
      <c r="B2" s="127" t="s">
        <v>205</v>
      </c>
    </row>
    <row r="4" spans="1:33" ht="15">
      <c r="A4" s="128" t="s">
        <v>59</v>
      </c>
      <c r="B4" s="282" t="s">
        <v>150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</row>
    <row r="5" spans="1:33" ht="15">
      <c r="A5" s="128" t="s">
        <v>60</v>
      </c>
      <c r="B5" s="288" t="s">
        <v>15</v>
      </c>
      <c r="C5" s="289"/>
      <c r="D5" s="289"/>
      <c r="E5" s="289"/>
      <c r="F5" s="289"/>
      <c r="G5" s="289"/>
      <c r="H5" s="289"/>
      <c r="I5" s="290"/>
      <c r="J5" s="288" t="s">
        <v>14</v>
      </c>
      <c r="K5" s="289"/>
      <c r="L5" s="289"/>
      <c r="M5" s="289"/>
      <c r="N5" s="289"/>
      <c r="O5" s="289"/>
      <c r="P5" s="289"/>
      <c r="Q5" s="290"/>
      <c r="R5" s="288" t="s">
        <v>49</v>
      </c>
      <c r="S5" s="289"/>
      <c r="T5" s="289"/>
      <c r="U5" s="289"/>
      <c r="V5" s="289"/>
      <c r="W5" s="289"/>
      <c r="X5" s="289"/>
      <c r="Y5" s="290"/>
      <c r="Z5" s="288" t="s">
        <v>50</v>
      </c>
      <c r="AA5" s="289"/>
      <c r="AB5" s="289"/>
      <c r="AC5" s="289"/>
      <c r="AD5" s="289"/>
      <c r="AE5" s="289"/>
      <c r="AF5" s="289"/>
      <c r="AG5" s="289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1">
        <v>0</v>
      </c>
      <c r="C8" s="231">
        <v>0</v>
      </c>
      <c r="D8" s="232">
        <v>0</v>
      </c>
      <c r="E8" s="231">
        <v>0</v>
      </c>
      <c r="F8" s="231">
        <v>0</v>
      </c>
      <c r="G8" s="232">
        <v>0</v>
      </c>
      <c r="H8" s="231">
        <v>0</v>
      </c>
      <c r="I8" s="232">
        <v>0</v>
      </c>
      <c r="J8" s="231">
        <v>0</v>
      </c>
      <c r="K8" s="231">
        <v>0</v>
      </c>
      <c r="L8" s="232">
        <v>0</v>
      </c>
      <c r="M8" s="231">
        <v>0</v>
      </c>
      <c r="N8" s="231">
        <v>0</v>
      </c>
      <c r="O8" s="232">
        <v>0</v>
      </c>
      <c r="P8" s="231">
        <v>0</v>
      </c>
      <c r="Q8" s="232">
        <v>0</v>
      </c>
      <c r="R8" s="231">
        <v>0</v>
      </c>
      <c r="S8" s="231">
        <v>0</v>
      </c>
      <c r="T8" s="232">
        <v>0</v>
      </c>
      <c r="U8" s="231">
        <v>0</v>
      </c>
      <c r="V8" s="231">
        <v>0</v>
      </c>
      <c r="W8" s="232">
        <v>0</v>
      </c>
      <c r="X8" s="231">
        <v>0</v>
      </c>
      <c r="Y8" s="232">
        <v>0</v>
      </c>
      <c r="Z8" s="231">
        <v>0</v>
      </c>
      <c r="AA8" s="231">
        <v>0</v>
      </c>
      <c r="AB8" s="232">
        <v>0</v>
      </c>
      <c r="AC8" s="231">
        <v>0</v>
      </c>
      <c r="AD8" s="231">
        <v>339.86099999999999</v>
      </c>
      <c r="AE8" s="232">
        <v>-1</v>
      </c>
      <c r="AF8" s="231">
        <v>0</v>
      </c>
      <c r="AG8" s="232">
        <v>-1</v>
      </c>
    </row>
    <row r="9" spans="1:33">
      <c r="A9" s="127" t="s">
        <v>11</v>
      </c>
      <c r="B9" s="231">
        <v>0</v>
      </c>
      <c r="C9" s="231">
        <v>0</v>
      </c>
      <c r="D9" s="232">
        <v>0</v>
      </c>
      <c r="E9" s="231">
        <v>0</v>
      </c>
      <c r="F9" s="231">
        <v>0</v>
      </c>
      <c r="G9" s="232">
        <v>0</v>
      </c>
      <c r="H9" s="231">
        <v>0</v>
      </c>
      <c r="I9" s="232">
        <v>0</v>
      </c>
      <c r="J9" s="231">
        <v>0</v>
      </c>
      <c r="K9" s="231">
        <v>0</v>
      </c>
      <c r="L9" s="232">
        <v>0</v>
      </c>
      <c r="M9" s="231">
        <v>0</v>
      </c>
      <c r="N9" s="231">
        <v>0</v>
      </c>
      <c r="O9" s="232">
        <v>0</v>
      </c>
      <c r="P9" s="231">
        <v>0</v>
      </c>
      <c r="Q9" s="232">
        <v>0</v>
      </c>
      <c r="R9" s="231">
        <v>0</v>
      </c>
      <c r="S9" s="231">
        <v>0</v>
      </c>
      <c r="T9" s="232">
        <v>0</v>
      </c>
      <c r="U9" s="231">
        <v>0</v>
      </c>
      <c r="V9" s="231">
        <v>95245.187999999995</v>
      </c>
      <c r="W9" s="232">
        <v>-1</v>
      </c>
      <c r="X9" s="231">
        <v>0</v>
      </c>
      <c r="Y9" s="232">
        <v>-1</v>
      </c>
      <c r="Z9" s="231">
        <v>0</v>
      </c>
      <c r="AA9" s="231">
        <v>0</v>
      </c>
      <c r="AB9" s="232">
        <v>0</v>
      </c>
      <c r="AC9" s="231">
        <v>0</v>
      </c>
      <c r="AD9" s="231">
        <v>0</v>
      </c>
      <c r="AE9" s="232">
        <v>0</v>
      </c>
      <c r="AF9" s="231">
        <v>0</v>
      </c>
      <c r="AG9" s="232">
        <v>0</v>
      </c>
    </row>
    <row r="10" spans="1:33">
      <c r="A10" s="127" t="s">
        <v>69</v>
      </c>
      <c r="B10" s="231">
        <v>14791.665999999999</v>
      </c>
      <c r="C10" s="231">
        <v>15764.476000000001</v>
      </c>
      <c r="D10" s="232">
        <v>-6.17089969E-2</v>
      </c>
      <c r="E10" s="231">
        <v>79343.122000000003</v>
      </c>
      <c r="F10" s="231">
        <v>80294.959000000003</v>
      </c>
      <c r="G10" s="232">
        <v>-1.1854256000000001E-2</v>
      </c>
      <c r="H10" s="231">
        <v>205024.628</v>
      </c>
      <c r="I10" s="232">
        <v>2.9662499799999999E-2</v>
      </c>
      <c r="J10" s="231">
        <v>15893.558999999999</v>
      </c>
      <c r="K10" s="231">
        <v>15925.374</v>
      </c>
      <c r="L10" s="232">
        <v>-1.9977553E-3</v>
      </c>
      <c r="M10" s="231">
        <v>83267.221999999994</v>
      </c>
      <c r="N10" s="231">
        <v>79446.516000000003</v>
      </c>
      <c r="O10" s="232">
        <v>4.8091548800000002E-2</v>
      </c>
      <c r="P10" s="231">
        <v>218657.212</v>
      </c>
      <c r="Q10" s="232">
        <v>5.40896316E-2</v>
      </c>
      <c r="R10" s="231">
        <v>22465.201000000001</v>
      </c>
      <c r="S10" s="231">
        <v>17616.911</v>
      </c>
      <c r="T10" s="232">
        <v>0.27520658980000001</v>
      </c>
      <c r="U10" s="231">
        <v>60545.445</v>
      </c>
      <c r="V10" s="231">
        <v>53937.692000000003</v>
      </c>
      <c r="W10" s="232">
        <v>0.1225071514</v>
      </c>
      <c r="X10" s="231">
        <v>322768.21299999999</v>
      </c>
      <c r="Y10" s="232">
        <v>0.21339611080000001</v>
      </c>
      <c r="Z10" s="231">
        <v>140311.111</v>
      </c>
      <c r="AA10" s="231">
        <v>139118.802</v>
      </c>
      <c r="AB10" s="232">
        <v>8.5704374999999999E-3</v>
      </c>
      <c r="AC10" s="231">
        <v>744764.48899999994</v>
      </c>
      <c r="AD10" s="231">
        <v>771854.39399999997</v>
      </c>
      <c r="AE10" s="232">
        <v>-3.50971702E-2</v>
      </c>
      <c r="AF10" s="231">
        <v>1781807.531</v>
      </c>
      <c r="AG10" s="232">
        <v>-5.0575836300000003E-2</v>
      </c>
    </row>
    <row r="11" spans="1:33">
      <c r="A11" s="127" t="s">
        <v>9</v>
      </c>
      <c r="B11" s="231">
        <v>84.733999999999995</v>
      </c>
      <c r="C11" s="231">
        <v>11.112</v>
      </c>
      <c r="D11" s="232">
        <v>6.6254499640000004</v>
      </c>
      <c r="E11" s="231">
        <v>117.297</v>
      </c>
      <c r="F11" s="231">
        <v>28.004000000000001</v>
      </c>
      <c r="G11" s="232">
        <v>3.1885802027999999</v>
      </c>
      <c r="H11" s="231">
        <v>272.69400000000002</v>
      </c>
      <c r="I11" s="232">
        <v>-0.50543902090000004</v>
      </c>
      <c r="J11" s="231">
        <v>2.0129999999999999</v>
      </c>
      <c r="K11" s="231">
        <v>2.637</v>
      </c>
      <c r="L11" s="232">
        <v>-0.236632537</v>
      </c>
      <c r="M11" s="231">
        <v>54.124000000000002</v>
      </c>
      <c r="N11" s="231">
        <v>17.279</v>
      </c>
      <c r="O11" s="232">
        <v>2.1323571966000001</v>
      </c>
      <c r="P11" s="231">
        <v>138.72800000000001</v>
      </c>
      <c r="Q11" s="232">
        <v>-0.27476135210000002</v>
      </c>
      <c r="R11" s="231">
        <v>36469.514999999999</v>
      </c>
      <c r="S11" s="231">
        <v>25468.106</v>
      </c>
      <c r="T11" s="232">
        <v>0.43196808590000002</v>
      </c>
      <c r="U11" s="231">
        <v>133164.44399999999</v>
      </c>
      <c r="V11" s="231">
        <v>120953.42200000001</v>
      </c>
      <c r="W11" s="232">
        <v>0.1009563996</v>
      </c>
      <c r="X11" s="231">
        <v>429657.97</v>
      </c>
      <c r="Y11" s="232">
        <v>7.2758649999999994E-2</v>
      </c>
      <c r="Z11" s="231">
        <v>21324.907999999999</v>
      </c>
      <c r="AA11" s="231">
        <v>15518.790999999999</v>
      </c>
      <c r="AB11" s="232">
        <v>0.3741346217</v>
      </c>
      <c r="AC11" s="231">
        <v>140056.78599999999</v>
      </c>
      <c r="AD11" s="231">
        <v>118345.98299999999</v>
      </c>
      <c r="AE11" s="232">
        <v>0.18345196389999999</v>
      </c>
      <c r="AF11" s="231">
        <v>291112.174</v>
      </c>
      <c r="AG11" s="232">
        <v>8.3915774400000004E-2</v>
      </c>
    </row>
    <row r="12" spans="1:33">
      <c r="A12" s="127" t="s">
        <v>8</v>
      </c>
      <c r="B12" s="231">
        <v>0</v>
      </c>
      <c r="C12" s="231">
        <v>0</v>
      </c>
      <c r="D12" s="232">
        <v>0</v>
      </c>
      <c r="E12" s="231">
        <v>0</v>
      </c>
      <c r="F12" s="231">
        <v>0</v>
      </c>
      <c r="G12" s="232">
        <v>0</v>
      </c>
      <c r="H12" s="231">
        <v>0</v>
      </c>
      <c r="I12" s="232">
        <v>0</v>
      </c>
      <c r="J12" s="231">
        <v>0</v>
      </c>
      <c r="K12" s="231">
        <v>0</v>
      </c>
      <c r="L12" s="232">
        <v>0</v>
      </c>
      <c r="M12" s="231">
        <v>0</v>
      </c>
      <c r="N12" s="231">
        <v>0</v>
      </c>
      <c r="O12" s="232">
        <v>0</v>
      </c>
      <c r="P12" s="231">
        <v>0</v>
      </c>
      <c r="Q12" s="232">
        <v>0</v>
      </c>
      <c r="R12" s="231">
        <v>0</v>
      </c>
      <c r="S12" s="231">
        <v>0</v>
      </c>
      <c r="T12" s="232">
        <v>0</v>
      </c>
      <c r="U12" s="231">
        <v>0</v>
      </c>
      <c r="V12" s="231">
        <v>0</v>
      </c>
      <c r="W12" s="232">
        <v>0</v>
      </c>
      <c r="X12" s="231">
        <v>0</v>
      </c>
      <c r="Y12" s="232">
        <v>0</v>
      </c>
      <c r="Z12" s="231">
        <v>111859.878</v>
      </c>
      <c r="AA12" s="231">
        <v>81823.025999999998</v>
      </c>
      <c r="AB12" s="232">
        <v>0.3670953455</v>
      </c>
      <c r="AC12" s="231">
        <v>511444.21600000001</v>
      </c>
      <c r="AD12" s="231">
        <v>500672.52399999998</v>
      </c>
      <c r="AE12" s="232">
        <v>2.1514446E-2</v>
      </c>
      <c r="AF12" s="231">
        <v>1249909.037</v>
      </c>
      <c r="AG12" s="232">
        <v>0.1105828492</v>
      </c>
    </row>
    <row r="13" spans="1:33">
      <c r="A13" s="127" t="s">
        <v>25</v>
      </c>
      <c r="B13" s="231">
        <v>0</v>
      </c>
      <c r="C13" s="231">
        <v>0</v>
      </c>
      <c r="D13" s="232">
        <v>0</v>
      </c>
      <c r="E13" s="231">
        <v>0</v>
      </c>
      <c r="F13" s="231">
        <v>0</v>
      </c>
      <c r="G13" s="232">
        <v>0</v>
      </c>
      <c r="H13" s="231">
        <v>0</v>
      </c>
      <c r="I13" s="232">
        <v>0</v>
      </c>
      <c r="J13" s="231">
        <v>0</v>
      </c>
      <c r="K13" s="231">
        <v>0</v>
      </c>
      <c r="L13" s="232">
        <v>0</v>
      </c>
      <c r="M13" s="231">
        <v>0</v>
      </c>
      <c r="N13" s="231">
        <v>0</v>
      </c>
      <c r="O13" s="232">
        <v>0</v>
      </c>
      <c r="P13" s="231">
        <v>0</v>
      </c>
      <c r="Q13" s="232">
        <v>0</v>
      </c>
      <c r="R13" s="231">
        <v>237472.40299999999</v>
      </c>
      <c r="S13" s="231">
        <v>244740.23199999999</v>
      </c>
      <c r="T13" s="232">
        <v>-2.96960943E-2</v>
      </c>
      <c r="U13" s="231">
        <v>1210606.237</v>
      </c>
      <c r="V13" s="231">
        <v>1168095.4010000001</v>
      </c>
      <c r="W13" s="232">
        <v>3.6393291100000003E-2</v>
      </c>
      <c r="X13" s="231">
        <v>3169516.236</v>
      </c>
      <c r="Y13" s="232">
        <v>6.1391554899999999E-2</v>
      </c>
      <c r="Z13" s="231">
        <v>302071.58100000001</v>
      </c>
      <c r="AA13" s="231">
        <v>328892.33899999998</v>
      </c>
      <c r="AB13" s="232">
        <v>-8.1548746599999999E-2</v>
      </c>
      <c r="AC13" s="231">
        <v>1487821.4669999999</v>
      </c>
      <c r="AD13" s="231">
        <v>1502367.885</v>
      </c>
      <c r="AE13" s="232">
        <v>-9.6823276000000003E-3</v>
      </c>
      <c r="AF13" s="231">
        <v>3781503.7450000001</v>
      </c>
      <c r="AG13" s="232">
        <v>1.6538614699999999E-2</v>
      </c>
    </row>
    <row r="14" spans="1:33">
      <c r="A14" s="127" t="s">
        <v>24</v>
      </c>
      <c r="B14" s="231">
        <v>0</v>
      </c>
      <c r="C14" s="231">
        <v>0</v>
      </c>
      <c r="D14" s="232">
        <v>0</v>
      </c>
      <c r="E14" s="231">
        <v>0</v>
      </c>
      <c r="F14" s="231">
        <v>0</v>
      </c>
      <c r="G14" s="232">
        <v>0</v>
      </c>
      <c r="H14" s="231">
        <v>0</v>
      </c>
      <c r="I14" s="232">
        <v>0</v>
      </c>
      <c r="J14" s="231">
        <v>0</v>
      </c>
      <c r="K14" s="231">
        <v>0</v>
      </c>
      <c r="L14" s="232">
        <v>0</v>
      </c>
      <c r="M14" s="231">
        <v>0</v>
      </c>
      <c r="N14" s="231">
        <v>0</v>
      </c>
      <c r="O14" s="232">
        <v>0</v>
      </c>
      <c r="P14" s="231">
        <v>0</v>
      </c>
      <c r="Q14" s="232">
        <v>0</v>
      </c>
      <c r="R14" s="231">
        <v>0</v>
      </c>
      <c r="S14" s="231">
        <v>0</v>
      </c>
      <c r="T14" s="232">
        <v>0</v>
      </c>
      <c r="U14" s="231">
        <v>0</v>
      </c>
      <c r="V14" s="231">
        <v>0</v>
      </c>
      <c r="W14" s="232">
        <v>0</v>
      </c>
      <c r="X14" s="231">
        <v>0</v>
      </c>
      <c r="Y14" s="232">
        <v>0</v>
      </c>
      <c r="Z14" s="231">
        <v>0</v>
      </c>
      <c r="AA14" s="231">
        <v>0</v>
      </c>
      <c r="AB14" s="232">
        <v>0</v>
      </c>
      <c r="AC14" s="231">
        <v>0</v>
      </c>
      <c r="AD14" s="231">
        <v>0</v>
      </c>
      <c r="AE14" s="232">
        <v>0</v>
      </c>
      <c r="AF14" s="231">
        <v>0</v>
      </c>
      <c r="AG14" s="232">
        <v>0</v>
      </c>
    </row>
    <row r="15" spans="1:33">
      <c r="A15" s="127" t="s">
        <v>6</v>
      </c>
      <c r="B15" s="231">
        <v>0</v>
      </c>
      <c r="C15" s="231">
        <v>0</v>
      </c>
      <c r="D15" s="232">
        <v>0</v>
      </c>
      <c r="E15" s="231">
        <v>0</v>
      </c>
      <c r="F15" s="231">
        <v>0</v>
      </c>
      <c r="G15" s="232">
        <v>0</v>
      </c>
      <c r="H15" s="231">
        <v>0</v>
      </c>
      <c r="I15" s="232">
        <v>0</v>
      </c>
      <c r="J15" s="231">
        <v>0</v>
      </c>
      <c r="K15" s="231">
        <v>0</v>
      </c>
      <c r="L15" s="232">
        <v>0</v>
      </c>
      <c r="M15" s="231">
        <v>0</v>
      </c>
      <c r="N15" s="231">
        <v>0</v>
      </c>
      <c r="O15" s="232">
        <v>0</v>
      </c>
      <c r="P15" s="231">
        <v>0</v>
      </c>
      <c r="Q15" s="232">
        <v>0</v>
      </c>
      <c r="R15" s="231">
        <v>0</v>
      </c>
      <c r="S15" s="231">
        <v>0</v>
      </c>
      <c r="T15" s="232">
        <v>0</v>
      </c>
      <c r="U15" s="231">
        <v>0</v>
      </c>
      <c r="V15" s="231">
        <v>0</v>
      </c>
      <c r="W15" s="232">
        <v>0</v>
      </c>
      <c r="X15" s="231">
        <v>0</v>
      </c>
      <c r="Y15" s="232">
        <v>0</v>
      </c>
      <c r="Z15" s="231">
        <v>1658.83</v>
      </c>
      <c r="AA15" s="231">
        <v>1701.4649999999999</v>
      </c>
      <c r="AB15" s="232">
        <v>-2.50578178E-2</v>
      </c>
      <c r="AC15" s="231">
        <v>7646.5410000000002</v>
      </c>
      <c r="AD15" s="231">
        <v>7099.14</v>
      </c>
      <c r="AE15" s="232">
        <v>7.7108072200000002E-2</v>
      </c>
      <c r="AF15" s="231">
        <v>22736.078000000001</v>
      </c>
      <c r="AG15" s="232">
        <v>-1.3911066600000001E-2</v>
      </c>
    </row>
    <row r="16" spans="1:33">
      <c r="A16" s="127" t="s">
        <v>5</v>
      </c>
      <c r="B16" s="231">
        <v>0</v>
      </c>
      <c r="C16" s="231">
        <v>0</v>
      </c>
      <c r="D16" s="232">
        <v>0</v>
      </c>
      <c r="E16" s="231">
        <v>0</v>
      </c>
      <c r="F16" s="231">
        <v>0</v>
      </c>
      <c r="G16" s="232">
        <v>0</v>
      </c>
      <c r="H16" s="231">
        <v>0</v>
      </c>
      <c r="I16" s="232">
        <v>0</v>
      </c>
      <c r="J16" s="231">
        <v>0</v>
      </c>
      <c r="K16" s="231">
        <v>0</v>
      </c>
      <c r="L16" s="232">
        <v>0</v>
      </c>
      <c r="M16" s="231">
        <v>0</v>
      </c>
      <c r="N16" s="231">
        <v>0</v>
      </c>
      <c r="O16" s="232">
        <v>0</v>
      </c>
      <c r="P16" s="231">
        <v>0</v>
      </c>
      <c r="Q16" s="232">
        <v>0</v>
      </c>
      <c r="R16" s="231">
        <v>0</v>
      </c>
      <c r="S16" s="231">
        <v>0</v>
      </c>
      <c r="T16" s="232">
        <v>0</v>
      </c>
      <c r="U16" s="231">
        <v>0</v>
      </c>
      <c r="V16" s="231">
        <v>0</v>
      </c>
      <c r="W16" s="232">
        <v>0</v>
      </c>
      <c r="X16" s="231">
        <v>0</v>
      </c>
      <c r="Y16" s="232">
        <v>0</v>
      </c>
      <c r="Z16" s="231">
        <v>90098.501000000004</v>
      </c>
      <c r="AA16" s="231">
        <v>99456.442999999999</v>
      </c>
      <c r="AB16" s="232">
        <v>-9.4090857400000005E-2</v>
      </c>
      <c r="AC16" s="231">
        <v>525392.95400000003</v>
      </c>
      <c r="AD16" s="231">
        <v>485299.30499999999</v>
      </c>
      <c r="AE16" s="232">
        <v>8.2616333E-2</v>
      </c>
      <c r="AF16" s="231">
        <v>1413279.439</v>
      </c>
      <c r="AG16" s="232">
        <v>8.6493148000000002E-3</v>
      </c>
    </row>
    <row r="17" spans="1:33">
      <c r="A17" s="127" t="s">
        <v>4</v>
      </c>
      <c r="B17" s="231">
        <v>8.9999999999999993E-3</v>
      </c>
      <c r="C17" s="231">
        <v>1.4999999999999999E-2</v>
      </c>
      <c r="D17" s="232">
        <v>-0.4</v>
      </c>
      <c r="E17" s="231">
        <v>3.1E-2</v>
      </c>
      <c r="F17" s="231">
        <v>3.7999999999999999E-2</v>
      </c>
      <c r="G17" s="232">
        <v>-0.18421052630000001</v>
      </c>
      <c r="H17" s="231">
        <v>5.8999999999999997E-2</v>
      </c>
      <c r="I17" s="232">
        <v>-0.52032520329999998</v>
      </c>
      <c r="J17" s="231">
        <v>6.1950000000000003</v>
      </c>
      <c r="K17" s="231">
        <v>8.2729999999999997</v>
      </c>
      <c r="L17" s="232">
        <v>-0.2511785326</v>
      </c>
      <c r="M17" s="231">
        <v>20.663</v>
      </c>
      <c r="N17" s="231">
        <v>28.212</v>
      </c>
      <c r="O17" s="232">
        <v>-0.26758117110000001</v>
      </c>
      <c r="P17" s="231">
        <v>59.365000000000002</v>
      </c>
      <c r="Q17" s="232">
        <v>-0.13176061080000001</v>
      </c>
      <c r="R17" s="231">
        <v>57665.290999999997</v>
      </c>
      <c r="S17" s="231">
        <v>55148.218999999997</v>
      </c>
      <c r="T17" s="232">
        <v>4.5641945400000002E-2</v>
      </c>
      <c r="U17" s="231">
        <v>224756.27499999999</v>
      </c>
      <c r="V17" s="231">
        <v>195321.20199999999</v>
      </c>
      <c r="W17" s="232">
        <v>0.1507008594</v>
      </c>
      <c r="X17" s="231">
        <v>542036.93900000001</v>
      </c>
      <c r="Y17" s="232">
        <v>8.4332523800000003E-2</v>
      </c>
      <c r="Z17" s="231">
        <v>46038.112999999998</v>
      </c>
      <c r="AA17" s="231">
        <v>44747.519999999997</v>
      </c>
      <c r="AB17" s="232">
        <v>2.8841665400000001E-2</v>
      </c>
      <c r="AC17" s="231">
        <v>193875.06</v>
      </c>
      <c r="AD17" s="231">
        <v>188339.80600000001</v>
      </c>
      <c r="AE17" s="232">
        <v>2.93897191E-2</v>
      </c>
      <c r="AF17" s="231">
        <v>466949.67200000002</v>
      </c>
      <c r="AG17" s="232">
        <v>6.4726069100000005E-2</v>
      </c>
    </row>
    <row r="18" spans="1:33">
      <c r="A18" s="127" t="s">
        <v>22</v>
      </c>
      <c r="B18" s="231">
        <v>0</v>
      </c>
      <c r="C18" s="231">
        <v>0</v>
      </c>
      <c r="D18" s="232">
        <v>0</v>
      </c>
      <c r="E18" s="231">
        <v>0</v>
      </c>
      <c r="F18" s="231">
        <v>0</v>
      </c>
      <c r="G18" s="232">
        <v>0</v>
      </c>
      <c r="H18" s="231">
        <v>0</v>
      </c>
      <c r="I18" s="232">
        <v>0</v>
      </c>
      <c r="J18" s="231">
        <v>0</v>
      </c>
      <c r="K18" s="231">
        <v>0</v>
      </c>
      <c r="L18" s="232">
        <v>0</v>
      </c>
      <c r="M18" s="231">
        <v>0</v>
      </c>
      <c r="N18" s="231">
        <v>0</v>
      </c>
      <c r="O18" s="232">
        <v>0</v>
      </c>
      <c r="P18" s="231">
        <v>0</v>
      </c>
      <c r="Q18" s="232">
        <v>0</v>
      </c>
      <c r="R18" s="231">
        <v>1776.7449999999999</v>
      </c>
      <c r="S18" s="231">
        <v>242.977</v>
      </c>
      <c r="T18" s="232">
        <v>6.3123999390999996</v>
      </c>
      <c r="U18" s="231">
        <v>6647.0150000000003</v>
      </c>
      <c r="V18" s="231">
        <v>1244.277</v>
      </c>
      <c r="W18" s="232">
        <v>4.3420701339000001</v>
      </c>
      <c r="X18" s="231">
        <v>10126.758</v>
      </c>
      <c r="Y18" s="232">
        <v>2.3627079494999998</v>
      </c>
      <c r="Z18" s="231">
        <v>1070.4100000000001</v>
      </c>
      <c r="AA18" s="231">
        <v>1455.337</v>
      </c>
      <c r="AB18" s="232">
        <v>-0.26449337849999999</v>
      </c>
      <c r="AC18" s="231">
        <v>4594.6970000000001</v>
      </c>
      <c r="AD18" s="231">
        <v>6742.6229999999996</v>
      </c>
      <c r="AE18" s="232">
        <v>-0.31855940929999998</v>
      </c>
      <c r="AF18" s="231">
        <v>10698.227999999999</v>
      </c>
      <c r="AG18" s="232">
        <v>-0.21990337160000001</v>
      </c>
    </row>
    <row r="19" spans="1:33">
      <c r="A19" s="127" t="s">
        <v>23</v>
      </c>
      <c r="B19" s="231">
        <v>0</v>
      </c>
      <c r="C19" s="231">
        <v>0</v>
      </c>
      <c r="D19" s="232">
        <v>0</v>
      </c>
      <c r="E19" s="231">
        <v>0</v>
      </c>
      <c r="F19" s="231">
        <v>0</v>
      </c>
      <c r="G19" s="232">
        <v>0</v>
      </c>
      <c r="H19" s="231">
        <v>0</v>
      </c>
      <c r="I19" s="232">
        <v>0</v>
      </c>
      <c r="J19" s="231">
        <v>0</v>
      </c>
      <c r="K19" s="231">
        <v>0</v>
      </c>
      <c r="L19" s="232">
        <v>0</v>
      </c>
      <c r="M19" s="231">
        <v>0</v>
      </c>
      <c r="N19" s="231">
        <v>0</v>
      </c>
      <c r="O19" s="232">
        <v>0</v>
      </c>
      <c r="P19" s="231">
        <v>0</v>
      </c>
      <c r="Q19" s="232">
        <v>0</v>
      </c>
      <c r="R19" s="231">
        <v>2726.223</v>
      </c>
      <c r="S19" s="231">
        <v>3266.893</v>
      </c>
      <c r="T19" s="232">
        <v>-0.1654997577</v>
      </c>
      <c r="U19" s="231">
        <v>11142.376</v>
      </c>
      <c r="V19" s="231">
        <v>15278.109</v>
      </c>
      <c r="W19" s="232">
        <v>-0.2706966549</v>
      </c>
      <c r="X19" s="231">
        <v>33680.826999999997</v>
      </c>
      <c r="Y19" s="232">
        <v>-4.7243430099999997E-2</v>
      </c>
      <c r="Z19" s="231">
        <v>0</v>
      </c>
      <c r="AA19" s="231">
        <v>0</v>
      </c>
      <c r="AB19" s="232">
        <v>0</v>
      </c>
      <c r="AC19" s="231">
        <v>0</v>
      </c>
      <c r="AD19" s="231">
        <v>0</v>
      </c>
      <c r="AE19" s="232">
        <v>0</v>
      </c>
      <c r="AF19" s="231">
        <v>0</v>
      </c>
      <c r="AG19" s="232">
        <v>0</v>
      </c>
    </row>
    <row r="20" spans="1:33">
      <c r="A20" s="127" t="s">
        <v>46</v>
      </c>
      <c r="B20" s="231">
        <v>0</v>
      </c>
      <c r="C20" s="231">
        <v>0</v>
      </c>
      <c r="D20" s="232">
        <v>0</v>
      </c>
      <c r="E20" s="231">
        <v>0</v>
      </c>
      <c r="F20" s="231">
        <v>0</v>
      </c>
      <c r="G20" s="232">
        <v>0</v>
      </c>
      <c r="H20" s="231">
        <v>0</v>
      </c>
      <c r="I20" s="232">
        <v>0</v>
      </c>
      <c r="J20" s="231">
        <v>500.1035</v>
      </c>
      <c r="K20" s="231">
        <v>609.53150000000005</v>
      </c>
      <c r="L20" s="232">
        <v>-0.1795280474</v>
      </c>
      <c r="M20" s="231">
        <v>2355.3245000000002</v>
      </c>
      <c r="N20" s="231">
        <v>2849.0680000000002</v>
      </c>
      <c r="O20" s="232">
        <v>-0.17330000549999999</v>
      </c>
      <c r="P20" s="231">
        <v>5677.5150000000003</v>
      </c>
      <c r="Q20" s="232">
        <v>-5.7082990299999997E-2</v>
      </c>
      <c r="R20" s="231">
        <v>11267.936</v>
      </c>
      <c r="S20" s="231">
        <v>10486.427</v>
      </c>
      <c r="T20" s="232">
        <v>7.4525765499999994E-2</v>
      </c>
      <c r="U20" s="231">
        <v>49321.463000000003</v>
      </c>
      <c r="V20" s="231">
        <v>52389.811999999998</v>
      </c>
      <c r="W20" s="232">
        <v>-5.8567665800000002E-2</v>
      </c>
      <c r="X20" s="231">
        <v>133472.16200000001</v>
      </c>
      <c r="Y20" s="232">
        <v>-8.2616610399999998E-2</v>
      </c>
      <c r="Z20" s="231">
        <v>0</v>
      </c>
      <c r="AA20" s="231">
        <v>0</v>
      </c>
      <c r="AB20" s="232">
        <v>0</v>
      </c>
      <c r="AC20" s="231">
        <v>0</v>
      </c>
      <c r="AD20" s="231">
        <v>0</v>
      </c>
      <c r="AE20" s="232">
        <v>0</v>
      </c>
      <c r="AF20" s="231">
        <v>0</v>
      </c>
      <c r="AG20" s="232">
        <v>0</v>
      </c>
    </row>
    <row r="21" spans="1:33">
      <c r="A21" s="127" t="s">
        <v>47</v>
      </c>
      <c r="B21" s="231">
        <v>0</v>
      </c>
      <c r="C21" s="231">
        <v>0</v>
      </c>
      <c r="D21" s="232">
        <v>0</v>
      </c>
      <c r="E21" s="231">
        <v>0</v>
      </c>
      <c r="F21" s="231">
        <v>0</v>
      </c>
      <c r="G21" s="232">
        <v>0</v>
      </c>
      <c r="H21" s="231">
        <v>0</v>
      </c>
      <c r="I21" s="232">
        <v>0</v>
      </c>
      <c r="J21" s="231">
        <v>500.1035</v>
      </c>
      <c r="K21" s="231">
        <v>609.53150000000005</v>
      </c>
      <c r="L21" s="232">
        <v>-0.1795280474</v>
      </c>
      <c r="M21" s="231">
        <v>2355.3245000000002</v>
      </c>
      <c r="N21" s="231">
        <v>2849.0680000000002</v>
      </c>
      <c r="O21" s="232">
        <v>-0.17330000549999999</v>
      </c>
      <c r="P21" s="231">
        <v>5677.5150000000003</v>
      </c>
      <c r="Q21" s="232">
        <v>-5.7082990299999997E-2</v>
      </c>
      <c r="R21" s="231">
        <v>11267.936</v>
      </c>
      <c r="S21" s="231">
        <v>10486.427</v>
      </c>
      <c r="T21" s="232">
        <v>7.4525765499999994E-2</v>
      </c>
      <c r="U21" s="231">
        <v>49321.463000000003</v>
      </c>
      <c r="V21" s="231">
        <v>52389.811999999998</v>
      </c>
      <c r="W21" s="232">
        <v>-5.8567665800000002E-2</v>
      </c>
      <c r="X21" s="231">
        <v>133472.16200000001</v>
      </c>
      <c r="Y21" s="232">
        <v>-8.2616610399999998E-2</v>
      </c>
      <c r="Z21" s="231">
        <v>0</v>
      </c>
      <c r="AA21" s="231">
        <v>0</v>
      </c>
      <c r="AB21" s="232">
        <v>0</v>
      </c>
      <c r="AC21" s="231">
        <v>0</v>
      </c>
      <c r="AD21" s="231">
        <v>0</v>
      </c>
      <c r="AE21" s="232">
        <v>0</v>
      </c>
      <c r="AF21" s="231">
        <v>0</v>
      </c>
      <c r="AG21" s="232">
        <v>0</v>
      </c>
    </row>
    <row r="22" spans="1:33">
      <c r="A22" s="131" t="s">
        <v>2</v>
      </c>
      <c r="B22" s="233">
        <v>14876.409</v>
      </c>
      <c r="C22" s="233">
        <v>15775.602999999999</v>
      </c>
      <c r="D22" s="234">
        <v>-5.6999025600000003E-2</v>
      </c>
      <c r="E22" s="233">
        <v>79460.45</v>
      </c>
      <c r="F22" s="233">
        <v>80323.001000000004</v>
      </c>
      <c r="G22" s="234">
        <v>-1.0738530499999999E-2</v>
      </c>
      <c r="H22" s="233">
        <v>205297.38099999999</v>
      </c>
      <c r="I22" s="234">
        <v>2.8184483900000001E-2</v>
      </c>
      <c r="J22" s="233">
        <v>16901.973999999998</v>
      </c>
      <c r="K22" s="233">
        <v>17155.347000000002</v>
      </c>
      <c r="L22" s="234">
        <v>-1.47693311E-2</v>
      </c>
      <c r="M22" s="233">
        <v>88052.657999999996</v>
      </c>
      <c r="N22" s="233">
        <v>85190.142999999996</v>
      </c>
      <c r="O22" s="234">
        <v>3.36014813E-2</v>
      </c>
      <c r="P22" s="233">
        <v>230210.33499999999</v>
      </c>
      <c r="Q22" s="234">
        <v>4.7652896600000001E-2</v>
      </c>
      <c r="R22" s="233">
        <v>381111.25</v>
      </c>
      <c r="S22" s="233">
        <v>367456.19199999998</v>
      </c>
      <c r="T22" s="234">
        <v>3.7161050199999997E-2</v>
      </c>
      <c r="U22" s="233">
        <v>1745504.7180000001</v>
      </c>
      <c r="V22" s="233">
        <v>1754854.915</v>
      </c>
      <c r="W22" s="234">
        <v>-5.3281880999999998E-3</v>
      </c>
      <c r="X22" s="233">
        <v>4774731.267</v>
      </c>
      <c r="Y22" s="234">
        <v>3.5715002900000001E-2</v>
      </c>
      <c r="Z22" s="233">
        <v>714433.33200000005</v>
      </c>
      <c r="AA22" s="233">
        <v>712713.723</v>
      </c>
      <c r="AB22" s="234">
        <v>2.4127625999999999E-3</v>
      </c>
      <c r="AC22" s="233">
        <v>3615596.21</v>
      </c>
      <c r="AD22" s="233">
        <v>3581061.5210000002</v>
      </c>
      <c r="AE22" s="234">
        <v>9.6437017E-3</v>
      </c>
      <c r="AF22" s="233">
        <v>9017995.9039999992</v>
      </c>
      <c r="AG22" s="234">
        <v>1.67352601E-2</v>
      </c>
    </row>
    <row r="23" spans="1:33">
      <c r="A23" s="127" t="s">
        <v>95</v>
      </c>
      <c r="B23" s="231">
        <v>0</v>
      </c>
      <c r="C23" s="231">
        <v>0</v>
      </c>
      <c r="D23" s="232">
        <v>0</v>
      </c>
      <c r="E23" s="231">
        <v>0</v>
      </c>
      <c r="F23" s="231">
        <v>0</v>
      </c>
      <c r="G23" s="232">
        <v>0</v>
      </c>
      <c r="H23" s="231">
        <v>0</v>
      </c>
      <c r="I23" s="232">
        <v>0</v>
      </c>
      <c r="J23" s="231">
        <v>0</v>
      </c>
      <c r="K23" s="231">
        <v>0</v>
      </c>
      <c r="L23" s="232">
        <v>0</v>
      </c>
      <c r="M23" s="231">
        <v>0</v>
      </c>
      <c r="N23" s="231">
        <v>0</v>
      </c>
      <c r="O23" s="232">
        <v>0</v>
      </c>
      <c r="P23" s="231">
        <v>0</v>
      </c>
      <c r="Q23" s="232">
        <v>0</v>
      </c>
      <c r="R23" s="231">
        <v>0</v>
      </c>
      <c r="S23" s="231">
        <v>8.0190000000000001</v>
      </c>
      <c r="T23" s="232">
        <v>-1</v>
      </c>
      <c r="U23" s="231">
        <v>0</v>
      </c>
      <c r="V23" s="231">
        <v>25.091999999999999</v>
      </c>
      <c r="W23" s="232">
        <v>-1</v>
      </c>
      <c r="X23" s="231">
        <v>64.399000000000001</v>
      </c>
      <c r="Y23" s="232">
        <v>-0.5833559774</v>
      </c>
      <c r="Z23" s="231">
        <v>7.093</v>
      </c>
      <c r="AA23" s="231">
        <v>0</v>
      </c>
      <c r="AB23" s="232">
        <v>0</v>
      </c>
      <c r="AC23" s="231">
        <v>44.155000000000001</v>
      </c>
      <c r="AD23" s="231">
        <v>0</v>
      </c>
      <c r="AE23" s="232">
        <v>0</v>
      </c>
      <c r="AF23" s="231">
        <v>50.469000000000001</v>
      </c>
      <c r="AG23" s="232">
        <v>0</v>
      </c>
    </row>
    <row r="24" spans="1:33">
      <c r="A24" s="127" t="s">
        <v>96</v>
      </c>
      <c r="B24" s="231">
        <v>0</v>
      </c>
      <c r="C24" s="231">
        <v>0</v>
      </c>
      <c r="D24" s="232">
        <v>0</v>
      </c>
      <c r="E24" s="231">
        <v>0</v>
      </c>
      <c r="F24" s="231">
        <v>0</v>
      </c>
      <c r="G24" s="232">
        <v>0</v>
      </c>
      <c r="H24" s="231">
        <v>0</v>
      </c>
      <c r="I24" s="232">
        <v>0</v>
      </c>
      <c r="J24" s="231">
        <v>0</v>
      </c>
      <c r="K24" s="231">
        <v>0</v>
      </c>
      <c r="L24" s="232">
        <v>0</v>
      </c>
      <c r="M24" s="231">
        <v>0</v>
      </c>
      <c r="N24" s="231">
        <v>0</v>
      </c>
      <c r="O24" s="232">
        <v>0</v>
      </c>
      <c r="P24" s="231">
        <v>0</v>
      </c>
      <c r="Q24" s="232">
        <v>0</v>
      </c>
      <c r="R24" s="231">
        <v>0</v>
      </c>
      <c r="S24" s="231">
        <v>-27.414000000000001</v>
      </c>
      <c r="T24" s="232">
        <v>-1</v>
      </c>
      <c r="U24" s="231">
        <v>-0.38700000000000001</v>
      </c>
      <c r="V24" s="231">
        <v>-80.066000000000003</v>
      </c>
      <c r="W24" s="232">
        <v>-0.99516648760000004</v>
      </c>
      <c r="X24" s="231">
        <v>-179.42</v>
      </c>
      <c r="Y24" s="232">
        <v>-0.54515609750000005</v>
      </c>
      <c r="Z24" s="231">
        <v>-22.401</v>
      </c>
      <c r="AA24" s="231">
        <v>0</v>
      </c>
      <c r="AB24" s="232">
        <v>0</v>
      </c>
      <c r="AC24" s="231">
        <v>-128.32599999999999</v>
      </c>
      <c r="AD24" s="231">
        <v>0</v>
      </c>
      <c r="AE24" s="232">
        <v>0</v>
      </c>
      <c r="AF24" s="231">
        <v>-190.22</v>
      </c>
      <c r="AG24" s="232">
        <v>0</v>
      </c>
    </row>
    <row r="25" spans="1:33">
      <c r="A25" s="127" t="s">
        <v>21</v>
      </c>
      <c r="B25" s="231">
        <v>0</v>
      </c>
      <c r="C25" s="231">
        <v>0</v>
      </c>
      <c r="D25" s="232">
        <v>0</v>
      </c>
      <c r="E25" s="231">
        <v>0</v>
      </c>
      <c r="F25" s="231">
        <v>0</v>
      </c>
      <c r="G25" s="232">
        <v>0</v>
      </c>
      <c r="H25" s="231">
        <v>0</v>
      </c>
      <c r="I25" s="232">
        <v>0</v>
      </c>
      <c r="J25" s="231">
        <v>0</v>
      </c>
      <c r="K25" s="231">
        <v>0</v>
      </c>
      <c r="L25" s="232">
        <v>0</v>
      </c>
      <c r="M25" s="231">
        <v>0</v>
      </c>
      <c r="N25" s="231">
        <v>0</v>
      </c>
      <c r="O25" s="232">
        <v>0</v>
      </c>
      <c r="P25" s="231">
        <v>0</v>
      </c>
      <c r="Q25" s="232">
        <v>0</v>
      </c>
      <c r="R25" s="231">
        <v>113973.48</v>
      </c>
      <c r="S25" s="231">
        <v>110447.626</v>
      </c>
      <c r="T25" s="232">
        <v>3.19233118E-2</v>
      </c>
      <c r="U25" s="231">
        <v>557567.62600000005</v>
      </c>
      <c r="V25" s="231">
        <v>485213.79200000002</v>
      </c>
      <c r="W25" s="232">
        <v>0.1491174307</v>
      </c>
      <c r="X25" s="231">
        <v>1608192.149</v>
      </c>
      <c r="Y25" s="232">
        <v>7.9524744499999994E-2</v>
      </c>
      <c r="Z25" s="231">
        <v>0</v>
      </c>
      <c r="AA25" s="231">
        <v>0</v>
      </c>
      <c r="AB25" s="232">
        <v>0</v>
      </c>
      <c r="AC25" s="231">
        <v>0</v>
      </c>
      <c r="AD25" s="231">
        <v>0</v>
      </c>
      <c r="AE25" s="232">
        <v>0</v>
      </c>
      <c r="AF25" s="231">
        <v>0</v>
      </c>
      <c r="AG25" s="232">
        <v>0</v>
      </c>
    </row>
    <row r="26" spans="1:33">
      <c r="A26" s="131" t="s">
        <v>70</v>
      </c>
      <c r="B26" s="233">
        <v>14876.409</v>
      </c>
      <c r="C26" s="233">
        <v>15775.602999999999</v>
      </c>
      <c r="D26" s="234">
        <v>-5.6999025600000003E-2</v>
      </c>
      <c r="E26" s="233">
        <v>79460.45</v>
      </c>
      <c r="F26" s="233">
        <v>80323.001000000004</v>
      </c>
      <c r="G26" s="234">
        <v>-1.0738530499999999E-2</v>
      </c>
      <c r="H26" s="233">
        <v>205297.38099999999</v>
      </c>
      <c r="I26" s="234">
        <v>2.8184483900000001E-2</v>
      </c>
      <c r="J26" s="233">
        <v>16901.973999999998</v>
      </c>
      <c r="K26" s="233">
        <v>17155.347000000002</v>
      </c>
      <c r="L26" s="234">
        <v>-1.47693311E-2</v>
      </c>
      <c r="M26" s="233">
        <v>88052.657999999996</v>
      </c>
      <c r="N26" s="233">
        <v>85190.142999999996</v>
      </c>
      <c r="O26" s="234">
        <v>3.36014813E-2</v>
      </c>
      <c r="P26" s="233">
        <v>230210.33499999999</v>
      </c>
      <c r="Q26" s="234">
        <v>4.7652896600000001E-2</v>
      </c>
      <c r="R26" s="233">
        <v>495084.73</v>
      </c>
      <c r="S26" s="233">
        <v>477884.42300000001</v>
      </c>
      <c r="T26" s="234">
        <v>3.5992608600000003E-2</v>
      </c>
      <c r="U26" s="233">
        <v>2303071.9569999999</v>
      </c>
      <c r="V26" s="233">
        <v>2240013.733</v>
      </c>
      <c r="W26" s="234">
        <v>2.8150820300000001E-2</v>
      </c>
      <c r="X26" s="233">
        <v>6382808.3949999996</v>
      </c>
      <c r="Y26" s="234">
        <v>4.6436718600000003E-2</v>
      </c>
      <c r="Z26" s="233">
        <v>714418.02399999998</v>
      </c>
      <c r="AA26" s="233">
        <v>712713.723</v>
      </c>
      <c r="AB26" s="234">
        <v>2.3912841000000001E-3</v>
      </c>
      <c r="AC26" s="233">
        <v>3615512.0389999999</v>
      </c>
      <c r="AD26" s="233">
        <v>3581061.5210000002</v>
      </c>
      <c r="AE26" s="234">
        <v>9.6201971999999997E-3</v>
      </c>
      <c r="AF26" s="233">
        <v>9017856.1530000009</v>
      </c>
      <c r="AG26" s="234">
        <v>1.67195038E-2</v>
      </c>
    </row>
    <row r="27" spans="1:33" ht="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82" t="str">
        <f>A2</f>
        <v>Mayo 2026</v>
      </c>
      <c r="C29" s="283"/>
    </row>
    <row r="30" spans="1:33" ht="15">
      <c r="A30" s="128" t="s">
        <v>61</v>
      </c>
      <c r="B30" s="280" t="s">
        <v>64</v>
      </c>
      <c r="C30" s="281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591.6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677.43499999999995</v>
      </c>
      <c r="D41" s="156"/>
    </row>
    <row r="42" spans="1:6">
      <c r="A42" s="127" t="s">
        <v>4</v>
      </c>
      <c r="B42" s="157">
        <v>439.57309500000002</v>
      </c>
      <c r="C42" s="157">
        <v>345.60493500000001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 ht="15">
      <c r="A47" s="127" t="s">
        <v>121</v>
      </c>
      <c r="B47" s="99">
        <v>1.2</v>
      </c>
      <c r="C47" s="99">
        <v>5.08</v>
      </c>
      <c r="D47" s="202">
        <f>+C47</f>
        <v>5.08</v>
      </c>
      <c r="E47" s="99" t="str">
        <f>CONCATENATE(A47," ",TEXT(C47,"0,0")," MW")</f>
        <v>Baterías 5,1 MW</v>
      </c>
      <c r="F47" s="172">
        <f>+D47/C47</f>
        <v>1</v>
      </c>
    </row>
    <row r="48" spans="1:6" ht="15">
      <c r="A48" s="131" t="s">
        <v>2</v>
      </c>
      <c r="B48" s="158">
        <f>SUM(B33:B47)</f>
        <v>2332.6695950000003</v>
      </c>
      <c r="C48" s="158">
        <f>SUM(C33:C47)</f>
        <v>3443.6389349999999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10.345406198616972</v>
      </c>
      <c r="D52" s="155"/>
      <c r="F52" s="102" t="s">
        <v>10</v>
      </c>
      <c r="G52" s="103">
        <f>C35</f>
        <v>487.64</v>
      </c>
      <c r="H52" s="104">
        <f>G52/$G$62*100</f>
        <v>14.181522237018166</v>
      </c>
      <c r="J52" s="174" t="s">
        <v>111</v>
      </c>
      <c r="K52" s="177">
        <f>SUM(C52:C58)</f>
        <v>79.049840664981971</v>
      </c>
      <c r="L52" s="177">
        <f>SUM(H52:H56)</f>
        <v>69.640510611169731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5.9790614597313674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15.144425610957285</v>
      </c>
      <c r="J53" s="178" t="s">
        <v>112</v>
      </c>
      <c r="K53" s="179">
        <f>SUM(C59:C62)</f>
        <v>20.950159335018046</v>
      </c>
      <c r="L53" s="179">
        <f>SUM(H57:H61)</f>
        <v>30.359489388830269</v>
      </c>
    </row>
    <row r="54" spans="1:12">
      <c r="A54" s="102" t="s">
        <v>9</v>
      </c>
      <c r="B54" s="103">
        <f t="shared" si="1"/>
        <v>591.6</v>
      </c>
      <c r="C54" s="104">
        <f t="shared" si="0"/>
        <v>25.374553512030683</v>
      </c>
      <c r="D54" s="155"/>
      <c r="F54" s="102" t="s">
        <v>8</v>
      </c>
      <c r="G54" s="103">
        <f>C37</f>
        <v>482.64</v>
      </c>
      <c r="H54" s="104">
        <f t="shared" si="2"/>
        <v>14.036112485592749</v>
      </c>
    </row>
    <row r="55" spans="1:12">
      <c r="A55" s="102" t="s">
        <v>25</v>
      </c>
      <c r="B55" s="103">
        <f>B38</f>
        <v>822.9</v>
      </c>
      <c r="C55" s="104">
        <f t="shared" si="0"/>
        <v>35.295334829361138</v>
      </c>
      <c r="D55" s="155"/>
      <c r="F55" s="102" t="s">
        <v>25</v>
      </c>
      <c r="G55" s="103">
        <f>C38</f>
        <v>865.4</v>
      </c>
      <c r="H55" s="104">
        <f t="shared" si="2"/>
        <v>25.167519776711352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1.1109305008901937</v>
      </c>
    </row>
    <row r="57" spans="1:12">
      <c r="A57" s="102" t="s">
        <v>23</v>
      </c>
      <c r="B57" s="103">
        <f>B44</f>
        <v>10.523</v>
      </c>
      <c r="C57" s="104">
        <f t="shared" si="0"/>
        <v>0.4513462248260629</v>
      </c>
      <c r="D57" s="155"/>
      <c r="F57" s="102" t="s">
        <v>12</v>
      </c>
      <c r="G57" s="104">
        <f>C33</f>
        <v>0.76300000000000001</v>
      </c>
      <c r="H57" s="104">
        <f t="shared" si="2"/>
        <v>2.2189528067518786E-2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1.6041384404157328</v>
      </c>
      <c r="D58" s="155"/>
      <c r="F58" s="102" t="s">
        <v>6</v>
      </c>
      <c r="G58" s="103">
        <f>C40</f>
        <v>11.32</v>
      </c>
      <c r="H58" s="104">
        <f t="shared" si="2"/>
        <v>0.32920767722714633</v>
      </c>
    </row>
    <row r="59" spans="1:12">
      <c r="A59" s="102" t="s">
        <v>46</v>
      </c>
      <c r="B59" s="103">
        <f>B45</f>
        <v>37.4</v>
      </c>
      <c r="C59" s="104">
        <f t="shared" si="3"/>
        <v>1.6041384404157328</v>
      </c>
      <c r="D59" s="155"/>
      <c r="F59" s="102" t="s">
        <v>5</v>
      </c>
      <c r="G59" s="103">
        <f>C41</f>
        <v>677.43499999999995</v>
      </c>
      <c r="H59" s="104">
        <f t="shared" si="2"/>
        <v>19.701130991375607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0.15258616314917031</v>
      </c>
      <c r="D60" s="155"/>
      <c r="F60" s="102" t="s">
        <v>4</v>
      </c>
      <c r="G60" s="103">
        <f>C42</f>
        <v>345.60493500000001</v>
      </c>
      <c r="H60" s="104">
        <f t="shared" si="2"/>
        <v>10.05086553794955</v>
      </c>
    </row>
    <row r="61" spans="1:12">
      <c r="A61" s="102" t="s">
        <v>4</v>
      </c>
      <c r="B61" s="103">
        <f>B42</f>
        <v>439.57309500000002</v>
      </c>
      <c r="C61" s="104">
        <f t="shared" si="3"/>
        <v>18.853906392032531</v>
      </c>
      <c r="D61" s="155"/>
      <c r="F61" s="102" t="s">
        <v>22</v>
      </c>
      <c r="G61" s="103">
        <f>C43</f>
        <v>8.8059999999999992</v>
      </c>
      <c r="H61" s="104">
        <f t="shared" si="2"/>
        <v>0.25609565421044617</v>
      </c>
    </row>
    <row r="62" spans="1:12">
      <c r="A62" s="102" t="s">
        <v>22</v>
      </c>
      <c r="B62" s="103">
        <f>B43</f>
        <v>7.9160000000000004</v>
      </c>
      <c r="C62" s="104">
        <f>B62/$B$63*100</f>
        <v>0.33952833942061339</v>
      </c>
      <c r="D62" s="155"/>
      <c r="F62" s="105" t="s">
        <v>20</v>
      </c>
      <c r="G62" s="106">
        <f>SUM(G52:G61)</f>
        <v>3438.5589349999996</v>
      </c>
      <c r="H62" s="107">
        <f>SUM(H52:H61)</f>
        <v>99.999999999999986</v>
      </c>
    </row>
    <row r="63" spans="1:12">
      <c r="A63" s="105" t="s">
        <v>20</v>
      </c>
      <c r="B63" s="106">
        <f>SUM(B52:B62)</f>
        <v>2331.469595</v>
      </c>
      <c r="C63" s="107">
        <f>SUM(C52:C62)</f>
        <v>100.00000000000001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239"/>
      <c r="K67" s="235" t="s">
        <v>113</v>
      </c>
      <c r="L67" s="235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19.639496747332611</v>
      </c>
      <c r="H68" s="103">
        <f>Z10</f>
        <v>140311.111</v>
      </c>
      <c r="J68" s="240" t="s">
        <v>111</v>
      </c>
      <c r="K68" s="12">
        <f>SUM(C68:C74)</f>
        <v>81.446369793597015</v>
      </c>
      <c r="L68" s="12">
        <f>SUM(G68:G72)</f>
        <v>80.562797425582602</v>
      </c>
    </row>
    <row r="69" spans="1:15">
      <c r="A69" s="102" t="s">
        <v>10</v>
      </c>
      <c r="B69" s="104">
        <f t="shared" si="4"/>
        <v>4.5376477274910103</v>
      </c>
      <c r="C69" s="104">
        <f>(D69/SUM($D$68:$D$78))*100</f>
        <v>5.8946570063203332</v>
      </c>
      <c r="D69" s="103">
        <f>R10</f>
        <v>22465.201000000001</v>
      </c>
      <c r="F69" s="102" t="s">
        <v>9</v>
      </c>
      <c r="G69" s="104">
        <f>Z11/Z$22*100</f>
        <v>2.9848702523862642</v>
      </c>
      <c r="H69" s="103">
        <f>Z11</f>
        <v>21324.907999999999</v>
      </c>
      <c r="J69" s="241" t="s">
        <v>112</v>
      </c>
      <c r="K69" s="242">
        <f>SUM(C75:C78)</f>
        <v>18.553630206402985</v>
      </c>
      <c r="L69" s="242">
        <f>SUM(G73:G77)</f>
        <v>19.437202574417398</v>
      </c>
    </row>
    <row r="70" spans="1:15">
      <c r="A70" s="102" t="s">
        <v>9</v>
      </c>
      <c r="B70" s="104">
        <f t="shared" si="4"/>
        <v>7.366317882597591</v>
      </c>
      <c r="C70" s="104">
        <f>(D70/SUM($D$68:$D$78))*100</f>
        <v>9.5692570082882629</v>
      </c>
      <c r="D70" s="103">
        <f>R11</f>
        <v>36469.514999999999</v>
      </c>
      <c r="F70" s="102" t="s">
        <v>8</v>
      </c>
      <c r="G70" s="104">
        <f>Z12/Z$22*100</f>
        <v>15.657147138817983</v>
      </c>
      <c r="H70" s="103">
        <f>Z12</f>
        <v>111859.878</v>
      </c>
    </row>
    <row r="71" spans="1:15">
      <c r="A71" s="102" t="s">
        <v>25</v>
      </c>
      <c r="B71" s="104">
        <f t="shared" si="4"/>
        <v>47.966012403573828</v>
      </c>
      <c r="C71" s="104">
        <f>(D71/SUM($D$68:$D$78))*100</f>
        <v>62.31052035330891</v>
      </c>
      <c r="D71" s="103">
        <f>R13</f>
        <v>237472.40299999999</v>
      </c>
      <c r="F71" s="102" t="s">
        <v>25</v>
      </c>
      <c r="G71" s="104">
        <f>Z13/Z$22*100</f>
        <v>42.281283287045731</v>
      </c>
      <c r="H71" s="103">
        <f>Z13</f>
        <v>302071.58100000001</v>
      </c>
      <c r="J71" s="213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3">
        <f>Z19</f>
        <v>0</v>
      </c>
      <c r="J72" s="235"/>
      <c r="K72" s="235" t="s">
        <v>105</v>
      </c>
      <c r="L72" s="235" t="s">
        <v>93</v>
      </c>
    </row>
    <row r="73" spans="1:15" ht="12.75">
      <c r="A73" s="102" t="s">
        <v>23</v>
      </c>
      <c r="B73" s="104">
        <f t="shared" si="4"/>
        <v>0.55065786415993889</v>
      </c>
      <c r="C73" s="104">
        <f t="shared" ref="C73:C77" si="5">(D73/SUM($D$68:$D$78))*100</f>
        <v>0.71533522035888475</v>
      </c>
      <c r="D73" s="103">
        <f>R19</f>
        <v>2726.223</v>
      </c>
      <c r="F73" s="102" t="s">
        <v>12</v>
      </c>
      <c r="G73" s="104">
        <f>Z8/Z$22*100</f>
        <v>0</v>
      </c>
      <c r="H73" s="103">
        <f>Z8</f>
        <v>0</v>
      </c>
      <c r="J73" s="236" t="s">
        <v>128</v>
      </c>
      <c r="K73" s="237">
        <f>IF(L73=0,0,L73/L73)</f>
        <v>0</v>
      </c>
      <c r="L73" s="238">
        <f>R23</f>
        <v>0</v>
      </c>
      <c r="M73" s="214" t="str">
        <f>CONCATENATE(J73," ",TEXT(L73,"0,00")," MWh")</f>
        <v>Entrega baterías 0,00 MWh</v>
      </c>
      <c r="N73" s="215">
        <f>1-K73</f>
        <v>1</v>
      </c>
      <c r="O73" s="220">
        <f>1-N73</f>
        <v>0</v>
      </c>
    </row>
    <row r="74" spans="1:15" ht="12.75">
      <c r="A74" s="102" t="s">
        <v>47</v>
      </c>
      <c r="B74" s="104">
        <f t="shared" si="4"/>
        <v>2.2759611268964002</v>
      </c>
      <c r="C74" s="104">
        <f t="shared" si="5"/>
        <v>2.9566002053206248</v>
      </c>
      <c r="D74" s="103">
        <f>R21</f>
        <v>11267.936</v>
      </c>
      <c r="F74" s="102" t="s">
        <v>6</v>
      </c>
      <c r="G74" s="104">
        <f>Z15/Z$22*100</f>
        <v>0.2321882148690117</v>
      </c>
      <c r="H74" s="103">
        <f>Z15</f>
        <v>1658.83</v>
      </c>
      <c r="J74" s="236" t="s">
        <v>132</v>
      </c>
      <c r="K74" s="237">
        <f>IF(L74=0,0,L74/L74)</f>
        <v>0</v>
      </c>
      <c r="L74" s="238">
        <f>R24</f>
        <v>0</v>
      </c>
      <c r="M74" s="214" t="str">
        <f>CONCATENATE(J74," ",TEXT(L74,"0,00")," MWh")</f>
        <v>Carga baterías 0,00 MWh</v>
      </c>
      <c r="N74" s="215">
        <f>1-K74</f>
        <v>1</v>
      </c>
      <c r="O74" s="220">
        <f>1-N74</f>
        <v>0</v>
      </c>
    </row>
    <row r="75" spans="1:15">
      <c r="A75" s="102" t="s">
        <v>46</v>
      </c>
      <c r="B75" s="104">
        <f t="shared" si="4"/>
        <v>2.2759611268964002</v>
      </c>
      <c r="C75" s="104">
        <f t="shared" si="5"/>
        <v>2.9566002053206248</v>
      </c>
      <c r="D75" s="103">
        <f>R20</f>
        <v>11267.936</v>
      </c>
      <c r="F75" s="102" t="s">
        <v>5</v>
      </c>
      <c r="G75" s="104">
        <f>Z16/Z$22*100</f>
        <v>12.611183852211418</v>
      </c>
      <c r="H75" s="103">
        <f>Z16</f>
        <v>90098.501000000004</v>
      </c>
      <c r="L75" s="219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6.4440040711874289</v>
      </c>
      <c r="H76" s="103">
        <f>Z17</f>
        <v>46038.112999999998</v>
      </c>
    </row>
    <row r="77" spans="1:15">
      <c r="A77" s="102" t="s">
        <v>4</v>
      </c>
      <c r="B77" s="104">
        <f t="shared" si="4"/>
        <v>11.647560004526902</v>
      </c>
      <c r="C77" s="104">
        <f t="shared" si="5"/>
        <v>15.130828859027384</v>
      </c>
      <c r="D77" s="103">
        <f>R17</f>
        <v>57665.290999999997</v>
      </c>
      <c r="F77" s="102" t="s">
        <v>22</v>
      </c>
      <c r="G77" s="104">
        <f>Z18/Z$22*100</f>
        <v>0.14982643614953844</v>
      </c>
      <c r="H77" s="103">
        <f>Z18</f>
        <v>1070.4100000000001</v>
      </c>
      <c r="J77" s="213" t="s">
        <v>136</v>
      </c>
    </row>
    <row r="78" spans="1:15">
      <c r="A78" s="102" t="s">
        <v>22</v>
      </c>
      <c r="B78" s="104">
        <f t="shared" si="4"/>
        <v>0.35887695425387084</v>
      </c>
      <c r="C78" s="104">
        <f>(D78/SUM($D$68:$D$78))*100</f>
        <v>0.46620114205497737</v>
      </c>
      <c r="D78" s="103">
        <f>R18</f>
        <v>1776.7449999999999</v>
      </c>
      <c r="F78" s="105" t="s">
        <v>20</v>
      </c>
      <c r="G78" s="107">
        <f>SUM(G68:G77)</f>
        <v>100</v>
      </c>
      <c r="H78" s="106">
        <f>SUM(H68:H77)</f>
        <v>714433.33200000005</v>
      </c>
      <c r="J78" s="235"/>
      <c r="K78" s="235" t="s">
        <v>105</v>
      </c>
      <c r="L78" s="235" t="s">
        <v>93</v>
      </c>
    </row>
    <row r="79" spans="1:15" ht="12.75">
      <c r="A79" s="102" t="s">
        <v>21</v>
      </c>
      <c r="B79" s="104">
        <f t="shared" si="4"/>
        <v>23.021004909604059</v>
      </c>
      <c r="C79" s="104"/>
      <c r="D79" s="103">
        <f>R25</f>
        <v>113973.48</v>
      </c>
      <c r="J79" s="236" t="s">
        <v>128</v>
      </c>
      <c r="K79" s="237">
        <f>IF(L79=0,0,L79/L79)</f>
        <v>1</v>
      </c>
      <c r="L79" s="238">
        <f>Z23</f>
        <v>7.093</v>
      </c>
      <c r="M79" s="214" t="str">
        <f>CONCATENATE(J79," ",TEXT(L79,"0,00")," MWh")</f>
        <v>Entrega baterías 7,09 MWh</v>
      </c>
      <c r="N79" s="215">
        <f>1-K79</f>
        <v>0</v>
      </c>
      <c r="O79" s="220">
        <f>1-N79</f>
        <v>1</v>
      </c>
    </row>
    <row r="80" spans="1:15" ht="12.75">
      <c r="A80" s="105" t="s">
        <v>20</v>
      </c>
      <c r="B80" s="107">
        <f>SUM(B68:B79)</f>
        <v>100.00000000000001</v>
      </c>
      <c r="C80" s="107">
        <f>SUM(C68:C79)</f>
        <v>100</v>
      </c>
      <c r="D80" s="106">
        <f>SUM(D68:D79)</f>
        <v>495084.73</v>
      </c>
      <c r="J80" s="236" t="s">
        <v>132</v>
      </c>
      <c r="K80" s="237">
        <f>IF(L80=0,0,L80/L80)</f>
        <v>1</v>
      </c>
      <c r="L80" s="238">
        <f>Z24</f>
        <v>-22.401</v>
      </c>
      <c r="M80" s="214" t="str">
        <f>CONCATENATE(J80," ",TEXT(L80,"0,00")," MWh")</f>
        <v>Carga baterías -22,40 MWh</v>
      </c>
      <c r="N80" s="215">
        <f>1-K80</f>
        <v>0</v>
      </c>
      <c r="O80" s="220">
        <f>1-N80</f>
        <v>1</v>
      </c>
    </row>
    <row r="85" spans="1:26" ht="15">
      <c r="A85" s="128"/>
      <c r="B85" s="128" t="s">
        <v>61</v>
      </c>
      <c r="C85" s="286" t="s">
        <v>13</v>
      </c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130</v>
      </c>
      <c r="I86" s="181" t="s">
        <v>131</v>
      </c>
      <c r="J86" s="181" t="s">
        <v>133</v>
      </c>
      <c r="K86" s="181" t="s">
        <v>134</v>
      </c>
      <c r="L86" s="181" t="s">
        <v>135</v>
      </c>
      <c r="M86" s="181" t="s">
        <v>145</v>
      </c>
      <c r="N86" s="181" t="s">
        <v>146</v>
      </c>
      <c r="O86" s="181" t="s">
        <v>147</v>
      </c>
      <c r="P86" s="181" t="s">
        <v>148</v>
      </c>
      <c r="Q86" s="181" t="s">
        <v>149</v>
      </c>
      <c r="R86" s="181" t="s">
        <v>144</v>
      </c>
      <c r="S86" s="181" t="s">
        <v>150</v>
      </c>
      <c r="T86" s="181" t="s">
        <v>209</v>
      </c>
      <c r="U86"/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/>
      <c r="V87"/>
      <c r="W87"/>
      <c r="X87"/>
      <c r="Y87"/>
      <c r="Z87"/>
    </row>
    <row r="88" spans="1:26" ht="15">
      <c r="A88" s="277" t="s">
        <v>49</v>
      </c>
      <c r="B88" s="127" t="s">
        <v>11</v>
      </c>
      <c r="C88" s="243">
        <v>4.6319679999999996</v>
      </c>
      <c r="D88" s="243">
        <v>61.004249999999999</v>
      </c>
      <c r="E88" s="243">
        <v>29.608969999999999</v>
      </c>
      <c r="F88" s="243">
        <v>0</v>
      </c>
      <c r="G88" s="243">
        <v>0</v>
      </c>
      <c r="H88" s="243">
        <v>0</v>
      </c>
      <c r="I88" s="243">
        <v>0</v>
      </c>
      <c r="J88" s="243">
        <v>0</v>
      </c>
      <c r="K88" s="243">
        <v>0</v>
      </c>
      <c r="L88" s="243">
        <v>0</v>
      </c>
      <c r="M88" s="243">
        <v>0</v>
      </c>
      <c r="N88" s="243">
        <v>0</v>
      </c>
      <c r="O88" s="243">
        <v>0</v>
      </c>
      <c r="P88" s="243">
        <v>0</v>
      </c>
      <c r="Q88" s="243">
        <v>0</v>
      </c>
      <c r="R88" s="243">
        <v>0</v>
      </c>
      <c r="S88" s="243">
        <v>0</v>
      </c>
      <c r="T88" s="243">
        <v>0</v>
      </c>
      <c r="U88"/>
      <c r="V88"/>
      <c r="W88"/>
      <c r="X88"/>
      <c r="Y88"/>
      <c r="Z88"/>
    </row>
    <row r="89" spans="1:26" ht="15">
      <c r="A89" s="278"/>
      <c r="B89" s="127" t="s">
        <v>69</v>
      </c>
      <c r="C89" s="243">
        <v>8.5854890000000008</v>
      </c>
      <c r="D89" s="243">
        <v>6.4758909999999998</v>
      </c>
      <c r="E89" s="243">
        <v>7.3957850000000001</v>
      </c>
      <c r="F89" s="243">
        <v>13.863616</v>
      </c>
      <c r="G89" s="243">
        <v>17.616911000000002</v>
      </c>
      <c r="H89" s="243">
        <v>36.758597999999999</v>
      </c>
      <c r="I89" s="243">
        <v>62.363782</v>
      </c>
      <c r="J89" s="243">
        <v>66.467855</v>
      </c>
      <c r="K89" s="243">
        <v>45.454340000000002</v>
      </c>
      <c r="L89" s="243">
        <v>22.456917000000001</v>
      </c>
      <c r="M89" s="243">
        <v>17.069234000000002</v>
      </c>
      <c r="N89" s="243">
        <v>11.652042</v>
      </c>
      <c r="O89" s="243">
        <v>14.892018999999999</v>
      </c>
      <c r="P89" s="243">
        <v>6.0359920000000002</v>
      </c>
      <c r="Q89" s="243">
        <v>8.5326330000000006</v>
      </c>
      <c r="R89" s="243">
        <v>8.6196000000000002</v>
      </c>
      <c r="S89" s="243">
        <v>22.465201</v>
      </c>
      <c r="T89" s="243">
        <v>8.2210970000000003</v>
      </c>
      <c r="U89"/>
      <c r="V89"/>
      <c r="W89"/>
      <c r="X89"/>
      <c r="Y89"/>
      <c r="Z89"/>
    </row>
    <row r="90" spans="1:26" ht="15">
      <c r="A90" s="278"/>
      <c r="B90" s="127" t="s">
        <v>9</v>
      </c>
      <c r="C90" s="243">
        <v>23.827804</v>
      </c>
      <c r="D90" s="243">
        <v>22.326347999999999</v>
      </c>
      <c r="E90" s="243">
        <v>24.290578</v>
      </c>
      <c r="F90" s="243">
        <v>25.040586000000001</v>
      </c>
      <c r="G90" s="243">
        <v>25.468105999999999</v>
      </c>
      <c r="H90" s="243">
        <v>46.078491</v>
      </c>
      <c r="I90" s="243">
        <v>58.218541000000002</v>
      </c>
      <c r="J90" s="243">
        <v>51.241262999999996</v>
      </c>
      <c r="K90" s="243">
        <v>39.777388999999999</v>
      </c>
      <c r="L90" s="243">
        <v>43.751629999999999</v>
      </c>
      <c r="M90" s="243">
        <v>32.383879</v>
      </c>
      <c r="N90" s="243">
        <v>25.042332999999999</v>
      </c>
      <c r="O90" s="243">
        <v>28.074463000000002</v>
      </c>
      <c r="P90" s="243">
        <v>21.743562000000001</v>
      </c>
      <c r="Q90" s="243">
        <v>24.257366999999999</v>
      </c>
      <c r="R90" s="243">
        <v>22.619537000000001</v>
      </c>
      <c r="S90" s="243">
        <v>36.469515000000001</v>
      </c>
      <c r="T90" s="243">
        <v>8.3388150000000003</v>
      </c>
      <c r="U90"/>
      <c r="V90"/>
      <c r="W90"/>
      <c r="X90"/>
      <c r="Y90"/>
      <c r="Z90"/>
    </row>
    <row r="91" spans="1:26" ht="15">
      <c r="A91" s="278"/>
      <c r="B91" s="127" t="s">
        <v>25</v>
      </c>
      <c r="C91" s="243">
        <v>284.762474</v>
      </c>
      <c r="D91" s="243">
        <v>188.665806</v>
      </c>
      <c r="E91" s="243">
        <v>223.33681300000001</v>
      </c>
      <c r="F91" s="243">
        <v>226.59007600000001</v>
      </c>
      <c r="G91" s="243">
        <v>244.74023199999999</v>
      </c>
      <c r="H91" s="243">
        <v>274.475863</v>
      </c>
      <c r="I91" s="243">
        <v>334.267562</v>
      </c>
      <c r="J91" s="243">
        <v>319.07413400000002</v>
      </c>
      <c r="K91" s="243">
        <v>274.82982800000002</v>
      </c>
      <c r="L91" s="243">
        <v>257.021049</v>
      </c>
      <c r="M91" s="243">
        <v>234.20941099999999</v>
      </c>
      <c r="N91" s="243">
        <v>265.032152</v>
      </c>
      <c r="O91" s="243">
        <v>271.90836200000001</v>
      </c>
      <c r="P91" s="243">
        <v>219.728983</v>
      </c>
      <c r="Q91" s="243">
        <v>263.66985</v>
      </c>
      <c r="R91" s="243">
        <v>217.826639</v>
      </c>
      <c r="S91" s="243">
        <v>237.47240300000001</v>
      </c>
      <c r="T91" s="243">
        <v>71.081069999999997</v>
      </c>
      <c r="U91"/>
      <c r="V91"/>
      <c r="W91"/>
      <c r="X91"/>
      <c r="Y91"/>
      <c r="Z91"/>
    </row>
    <row r="92" spans="1:26" ht="15">
      <c r="A92" s="278"/>
      <c r="B92" s="127" t="s">
        <v>24</v>
      </c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 s="243">
        <v>0</v>
      </c>
      <c r="T92" s="243">
        <v>0</v>
      </c>
      <c r="U92"/>
      <c r="V92"/>
      <c r="W92"/>
      <c r="X92"/>
      <c r="Y92"/>
      <c r="Z92"/>
    </row>
    <row r="93" spans="1:26" ht="15">
      <c r="A93" s="278"/>
      <c r="B93" s="127" t="s">
        <v>5</v>
      </c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0</v>
      </c>
      <c r="P93" s="243">
        <v>0</v>
      </c>
      <c r="Q93" s="243">
        <v>0</v>
      </c>
      <c r="R93" s="243">
        <v>0</v>
      </c>
      <c r="S93" s="243">
        <v>0</v>
      </c>
      <c r="T93" s="243">
        <v>0</v>
      </c>
      <c r="U93"/>
      <c r="V93"/>
      <c r="W93"/>
      <c r="X93"/>
      <c r="Y93"/>
      <c r="Z93"/>
    </row>
    <row r="94" spans="1:26" ht="15">
      <c r="A94" s="278"/>
      <c r="B94" s="127" t="s">
        <v>4</v>
      </c>
      <c r="C94" s="243">
        <v>27.366243000000001</v>
      </c>
      <c r="D94" s="243">
        <v>29.824808999999998</v>
      </c>
      <c r="E94" s="243">
        <v>33.932969999999997</v>
      </c>
      <c r="F94" s="243">
        <v>49.048960999999998</v>
      </c>
      <c r="G94" s="243">
        <v>55.148218999999997</v>
      </c>
      <c r="H94" s="243">
        <v>64.616387000000003</v>
      </c>
      <c r="I94" s="243">
        <v>58.301254</v>
      </c>
      <c r="J94" s="243">
        <v>58.388308000000002</v>
      </c>
      <c r="K94" s="243">
        <v>48.070135000000001</v>
      </c>
      <c r="L94" s="243">
        <v>38.159438000000002</v>
      </c>
      <c r="M94" s="243">
        <v>28.287680999999999</v>
      </c>
      <c r="N94" s="243">
        <v>21.457460999999999</v>
      </c>
      <c r="O94" s="243">
        <v>26.531222</v>
      </c>
      <c r="P94" s="243">
        <v>38.510109999999997</v>
      </c>
      <c r="Q94" s="243">
        <v>42.581280999999997</v>
      </c>
      <c r="R94" s="243">
        <v>59.468370999999998</v>
      </c>
      <c r="S94" s="243">
        <v>57.665291000000003</v>
      </c>
      <c r="T94" s="243">
        <v>19.755873000000001</v>
      </c>
      <c r="U94"/>
      <c r="V94"/>
      <c r="W94"/>
      <c r="X94"/>
      <c r="Y94"/>
      <c r="Z94"/>
    </row>
    <row r="95" spans="1:26" ht="15">
      <c r="A95" s="278"/>
      <c r="B95" s="127" t="s">
        <v>22</v>
      </c>
      <c r="C95" s="243">
        <v>0.256185</v>
      </c>
      <c r="D95" s="243">
        <v>0.25728499999999999</v>
      </c>
      <c r="E95" s="243">
        <v>0.27165699999999998</v>
      </c>
      <c r="F95" s="243">
        <v>0.216173</v>
      </c>
      <c r="G95" s="243">
        <v>0.242977</v>
      </c>
      <c r="H95" s="243">
        <v>0.25375799999999998</v>
      </c>
      <c r="I95" s="243">
        <v>0.13533500000000001</v>
      </c>
      <c r="J95" s="243">
        <v>6.2700000000000006E-2</v>
      </c>
      <c r="K95" s="243">
        <v>0.16319</v>
      </c>
      <c r="L95" s="243">
        <v>0.72397699999999998</v>
      </c>
      <c r="M95" s="243">
        <v>1.328557</v>
      </c>
      <c r="N95" s="243">
        <v>0.812226</v>
      </c>
      <c r="O95" s="243">
        <v>0.97993699999999995</v>
      </c>
      <c r="P95" s="243">
        <v>0.94255900000000004</v>
      </c>
      <c r="Q95" s="243">
        <v>1.3661909999999999</v>
      </c>
      <c r="R95" s="243">
        <v>1.581583</v>
      </c>
      <c r="S95" s="243">
        <v>1.776745</v>
      </c>
      <c r="T95" s="243">
        <v>0.61922299999999997</v>
      </c>
      <c r="U95"/>
      <c r="V95"/>
      <c r="W95"/>
      <c r="X95"/>
      <c r="Y95"/>
      <c r="Z95"/>
    </row>
    <row r="96" spans="1:26" ht="15">
      <c r="A96" s="278"/>
      <c r="B96" s="127" t="s">
        <v>23</v>
      </c>
      <c r="C96" s="243">
        <v>3.6863090000000001</v>
      </c>
      <c r="D96" s="243">
        <v>3.272465</v>
      </c>
      <c r="E96" s="243">
        <v>2.6087359999999999</v>
      </c>
      <c r="F96" s="243">
        <v>2.4437060000000002</v>
      </c>
      <c r="G96" s="243">
        <v>3.266893</v>
      </c>
      <c r="H96" s="243">
        <v>4.1208809999999998</v>
      </c>
      <c r="I96" s="243">
        <v>3.573118</v>
      </c>
      <c r="J96" s="243">
        <v>3.1659009999999999</v>
      </c>
      <c r="K96" s="243">
        <v>2.336195</v>
      </c>
      <c r="L96" s="243">
        <v>3.0284080000000002</v>
      </c>
      <c r="M96" s="243">
        <v>2.5220250000000002</v>
      </c>
      <c r="N96" s="243">
        <v>3.7919230000000002</v>
      </c>
      <c r="O96" s="243">
        <v>3.4251860000000001</v>
      </c>
      <c r="P96" s="243">
        <v>1.3775310000000001</v>
      </c>
      <c r="Q96" s="243">
        <v>0.98716599999999999</v>
      </c>
      <c r="R96" s="243">
        <v>2.6262699999999999</v>
      </c>
      <c r="S96" s="243">
        <v>2.7262230000000001</v>
      </c>
      <c r="T96" s="243">
        <v>0.67539499999999997</v>
      </c>
      <c r="U96"/>
      <c r="V96"/>
      <c r="W96"/>
      <c r="X96"/>
      <c r="Y96"/>
      <c r="Z96"/>
    </row>
    <row r="97" spans="1:26" ht="15">
      <c r="A97" s="278"/>
      <c r="B97" s="127" t="s">
        <v>46</v>
      </c>
      <c r="C97" s="243">
        <v>10.134332000000001</v>
      </c>
      <c r="D97" s="243">
        <v>8.8925330000000002</v>
      </c>
      <c r="E97" s="243">
        <v>9.8915330000000008</v>
      </c>
      <c r="F97" s="243">
        <v>12.984987</v>
      </c>
      <c r="G97" s="243">
        <v>10.486427000000001</v>
      </c>
      <c r="H97" s="243">
        <v>14.345347</v>
      </c>
      <c r="I97" s="243">
        <v>13.9802175</v>
      </c>
      <c r="J97" s="243">
        <v>11.851319</v>
      </c>
      <c r="K97" s="243">
        <v>13.92998</v>
      </c>
      <c r="L97" s="243">
        <v>8.0829000000000004</v>
      </c>
      <c r="M97" s="243">
        <v>12.386824499999999</v>
      </c>
      <c r="N97" s="243">
        <v>9.5741110000000003</v>
      </c>
      <c r="O97" s="243">
        <v>8.3717509999999997</v>
      </c>
      <c r="P97" s="243">
        <v>4.8198524999999997</v>
      </c>
      <c r="Q97" s="243">
        <v>9.7177954999999994</v>
      </c>
      <c r="R97" s="243">
        <v>15.144128</v>
      </c>
      <c r="S97" s="243">
        <v>11.267936000000001</v>
      </c>
      <c r="T97" s="243">
        <v>4.2216950000000004</v>
      </c>
      <c r="U97"/>
      <c r="V97"/>
      <c r="W97"/>
      <c r="X97"/>
      <c r="Y97"/>
      <c r="Z97"/>
    </row>
    <row r="98" spans="1:26" ht="15">
      <c r="A98" s="278"/>
      <c r="B98" s="127" t="s">
        <v>47</v>
      </c>
      <c r="C98" s="243">
        <v>10.134332000000001</v>
      </c>
      <c r="D98" s="243">
        <v>8.8925330000000002</v>
      </c>
      <c r="E98" s="243">
        <v>9.8915330000000008</v>
      </c>
      <c r="F98" s="243">
        <v>12.984987</v>
      </c>
      <c r="G98" s="243">
        <v>10.486427000000001</v>
      </c>
      <c r="H98" s="243">
        <v>14.345347</v>
      </c>
      <c r="I98" s="243">
        <v>13.9802175</v>
      </c>
      <c r="J98" s="243">
        <v>11.851319</v>
      </c>
      <c r="K98" s="243">
        <v>13.92998</v>
      </c>
      <c r="L98" s="243">
        <v>8.0829000000000004</v>
      </c>
      <c r="M98" s="243">
        <v>12.386824499999999</v>
      </c>
      <c r="N98" s="243">
        <v>9.5741110000000003</v>
      </c>
      <c r="O98" s="243">
        <v>8.3717509999999997</v>
      </c>
      <c r="P98" s="243">
        <v>4.8198524999999997</v>
      </c>
      <c r="Q98" s="243">
        <v>9.7177954999999994</v>
      </c>
      <c r="R98" s="243">
        <v>15.144128</v>
      </c>
      <c r="S98" s="243">
        <v>11.267936000000001</v>
      </c>
      <c r="T98" s="243">
        <v>4.2216950000000004</v>
      </c>
      <c r="U98"/>
      <c r="V98"/>
      <c r="W98"/>
      <c r="X98"/>
      <c r="Y98"/>
      <c r="Z98"/>
    </row>
    <row r="99" spans="1:26" ht="15">
      <c r="A99" s="278"/>
      <c r="B99" s="131" t="s">
        <v>2</v>
      </c>
      <c r="C99" s="244">
        <v>373.38513599999999</v>
      </c>
      <c r="D99" s="244">
        <v>329.61192</v>
      </c>
      <c r="E99" s="244">
        <v>341.22857499999998</v>
      </c>
      <c r="F99" s="244">
        <v>343.173092</v>
      </c>
      <c r="G99" s="244">
        <v>367.45619199999999</v>
      </c>
      <c r="H99" s="244">
        <v>454.99467199999998</v>
      </c>
      <c r="I99" s="244">
        <v>544.82002699999998</v>
      </c>
      <c r="J99" s="244">
        <v>522.102799</v>
      </c>
      <c r="K99" s="244">
        <v>438.49103700000001</v>
      </c>
      <c r="L99" s="244">
        <v>381.30721899999998</v>
      </c>
      <c r="M99" s="244">
        <v>340.57443599999999</v>
      </c>
      <c r="N99" s="244">
        <v>346.93635899999998</v>
      </c>
      <c r="O99" s="244">
        <v>362.55469099999999</v>
      </c>
      <c r="P99" s="244">
        <v>297.97844199999997</v>
      </c>
      <c r="Q99" s="244">
        <v>360.83007900000001</v>
      </c>
      <c r="R99" s="244">
        <v>343.03025600000001</v>
      </c>
      <c r="S99" s="244">
        <v>381.11124999999998</v>
      </c>
      <c r="T99" s="244">
        <v>117.134863</v>
      </c>
      <c r="U99"/>
      <c r="V99"/>
      <c r="W99"/>
      <c r="X99"/>
      <c r="Y99"/>
      <c r="Z99"/>
    </row>
    <row r="100" spans="1:26" ht="15">
      <c r="A100" s="278"/>
      <c r="B100" s="127" t="s">
        <v>95</v>
      </c>
      <c r="C100" s="243">
        <v>5.3210000000000002E-3</v>
      </c>
      <c r="D100" s="243">
        <v>9.2090000000000002E-3</v>
      </c>
      <c r="E100" s="243">
        <v>1.562E-3</v>
      </c>
      <c r="F100" s="243">
        <v>9.810000000000001E-4</v>
      </c>
      <c r="G100" s="243">
        <v>8.0190000000000001E-3</v>
      </c>
      <c r="H100" s="243">
        <v>3.3307000000000003E-2</v>
      </c>
      <c r="I100" s="243">
        <v>2.5804000000000001E-2</v>
      </c>
      <c r="J100" s="243">
        <v>0</v>
      </c>
      <c r="K100" s="243">
        <v>2.65E-3</v>
      </c>
      <c r="L100" s="243">
        <v>1.1019999999999999E-3</v>
      </c>
      <c r="M100" s="243">
        <v>1.536E-3</v>
      </c>
      <c r="N100" s="243">
        <v>0</v>
      </c>
      <c r="O100" s="243">
        <v>0</v>
      </c>
      <c r="P100" s="243">
        <v>0</v>
      </c>
      <c r="Q100" s="243">
        <v>0</v>
      </c>
      <c r="R100" s="243">
        <v>0</v>
      </c>
      <c r="S100" s="243">
        <v>0</v>
      </c>
      <c r="T100" s="243">
        <v>0</v>
      </c>
      <c r="U100"/>
      <c r="V100"/>
      <c r="W100"/>
      <c r="X100"/>
      <c r="Y100"/>
      <c r="Z100"/>
    </row>
    <row r="101" spans="1:26" ht="15">
      <c r="A101" s="278"/>
      <c r="B101" s="127" t="s">
        <v>96</v>
      </c>
      <c r="C101" s="243">
        <v>-2.0024E-2</v>
      </c>
      <c r="D101" s="243">
        <v>-1.9650000000000001E-2</v>
      </c>
      <c r="E101" s="243">
        <v>-6.5550000000000001E-3</v>
      </c>
      <c r="F101" s="243">
        <v>-6.4229999999999999E-3</v>
      </c>
      <c r="G101" s="243">
        <v>-2.7414000000000001E-2</v>
      </c>
      <c r="H101" s="243">
        <v>-6.6456000000000001E-2</v>
      </c>
      <c r="I101" s="243">
        <v>-8.4402000000000005E-2</v>
      </c>
      <c r="J101" s="243">
        <v>-3.7090000000000001E-3</v>
      </c>
      <c r="K101" s="243">
        <v>-8.4089999999999998E-3</v>
      </c>
      <c r="L101" s="243">
        <v>-6.4120000000000002E-3</v>
      </c>
      <c r="M101" s="243">
        <v>-5.6010000000000001E-3</v>
      </c>
      <c r="N101" s="243">
        <v>-4.0439999999999999E-3</v>
      </c>
      <c r="O101" s="243">
        <v>-3.8699999999999997E-4</v>
      </c>
      <c r="P101" s="243">
        <v>0</v>
      </c>
      <c r="Q101" s="243">
        <v>0</v>
      </c>
      <c r="R101" s="243">
        <v>0</v>
      </c>
      <c r="S101" s="243">
        <v>0</v>
      </c>
      <c r="T101" s="243">
        <v>0</v>
      </c>
      <c r="U101"/>
      <c r="V101"/>
      <c r="W101"/>
      <c r="X101"/>
      <c r="Y101"/>
      <c r="Z101"/>
    </row>
    <row r="102" spans="1:26" ht="15">
      <c r="A102" s="278"/>
      <c r="B102" s="127" t="s">
        <v>21</v>
      </c>
      <c r="C102" s="243">
        <v>85.443509000000006</v>
      </c>
      <c r="D102" s="243">
        <v>90.795297000000005</v>
      </c>
      <c r="E102" s="243">
        <v>113.220591</v>
      </c>
      <c r="F102" s="243">
        <v>85.306769000000003</v>
      </c>
      <c r="G102" s="243">
        <v>110.447626</v>
      </c>
      <c r="H102" s="243">
        <v>171.035324</v>
      </c>
      <c r="I102" s="243">
        <v>188.42781500000001</v>
      </c>
      <c r="J102" s="243">
        <v>208.61120199999999</v>
      </c>
      <c r="K102" s="243">
        <v>166.21217300000001</v>
      </c>
      <c r="L102" s="243">
        <v>119.248762</v>
      </c>
      <c r="M102" s="243">
        <v>76.900411000000005</v>
      </c>
      <c r="N102" s="243">
        <v>120.18883599999999</v>
      </c>
      <c r="O102" s="243">
        <v>138.53626600000001</v>
      </c>
      <c r="P102" s="243">
        <v>102.627172</v>
      </c>
      <c r="Q102" s="243">
        <v>104.897592</v>
      </c>
      <c r="R102" s="243">
        <v>97.533116000000007</v>
      </c>
      <c r="S102" s="243">
        <v>113.97348</v>
      </c>
      <c r="T102" s="243">
        <v>51.780900000000003</v>
      </c>
      <c r="U102"/>
      <c r="V102"/>
      <c r="W102"/>
      <c r="X102"/>
      <c r="Y102"/>
      <c r="Z102"/>
    </row>
    <row r="103" spans="1:26" ht="15">
      <c r="A103" s="279"/>
      <c r="B103" s="131" t="s">
        <v>70</v>
      </c>
      <c r="C103" s="244">
        <v>458.813942</v>
      </c>
      <c r="D103" s="244">
        <v>420.39677599999999</v>
      </c>
      <c r="E103" s="244">
        <v>454.44417299999998</v>
      </c>
      <c r="F103" s="244">
        <v>428.47441900000001</v>
      </c>
      <c r="G103" s="244">
        <v>477.88442300000003</v>
      </c>
      <c r="H103" s="244">
        <v>625.996847</v>
      </c>
      <c r="I103" s="244">
        <v>733.18924400000003</v>
      </c>
      <c r="J103" s="244">
        <v>730.71029199999998</v>
      </c>
      <c r="K103" s="244">
        <v>604.697451</v>
      </c>
      <c r="L103" s="244">
        <v>500.55067100000002</v>
      </c>
      <c r="M103" s="244">
        <v>417.47078199999999</v>
      </c>
      <c r="N103" s="244">
        <v>467.121151</v>
      </c>
      <c r="O103" s="244">
        <v>501.09057000000001</v>
      </c>
      <c r="P103" s="244">
        <v>400.605614</v>
      </c>
      <c r="Q103" s="244">
        <v>465.72767099999999</v>
      </c>
      <c r="R103" s="244">
        <v>440.56337200000002</v>
      </c>
      <c r="S103" s="244">
        <v>495.08472999999998</v>
      </c>
      <c r="T103" s="244">
        <v>168.915763</v>
      </c>
      <c r="U103"/>
      <c r="V103"/>
      <c r="W103"/>
      <c r="X103"/>
      <c r="Y103"/>
      <c r="Z103"/>
    </row>
    <row r="104" spans="1:26" ht="15">
      <c r="A104" s="285" t="s">
        <v>50</v>
      </c>
      <c r="B104" s="127" t="s">
        <v>12</v>
      </c>
      <c r="C104" s="243">
        <v>0.285242</v>
      </c>
      <c r="D104" s="243">
        <v>5.4619000000000001E-2</v>
      </c>
      <c r="E104" s="243">
        <v>0</v>
      </c>
      <c r="F104" s="243">
        <v>0</v>
      </c>
      <c r="G104" s="243">
        <v>0</v>
      </c>
      <c r="H104" s="243">
        <v>0</v>
      </c>
      <c r="I104" s="243">
        <v>0</v>
      </c>
      <c r="J104" s="243">
        <v>0</v>
      </c>
      <c r="K104" s="243">
        <v>0</v>
      </c>
      <c r="L104" s="243">
        <v>0</v>
      </c>
      <c r="M104" s="243">
        <v>0</v>
      </c>
      <c r="N104" s="243">
        <v>0</v>
      </c>
      <c r="O104" s="243">
        <v>0</v>
      </c>
      <c r="P104" s="243">
        <v>0</v>
      </c>
      <c r="Q104" s="243">
        <v>0</v>
      </c>
      <c r="R104" s="243">
        <v>0</v>
      </c>
      <c r="S104" s="243">
        <v>0</v>
      </c>
      <c r="T104" s="243">
        <v>0</v>
      </c>
      <c r="U104"/>
      <c r="V104"/>
      <c r="W104"/>
      <c r="X104"/>
      <c r="Y104"/>
      <c r="Z104"/>
    </row>
    <row r="105" spans="1:26" ht="15">
      <c r="A105" s="278"/>
      <c r="B105" s="127" t="s">
        <v>69</v>
      </c>
      <c r="C105" s="243">
        <v>164.446281</v>
      </c>
      <c r="D105" s="243">
        <v>147.685913</v>
      </c>
      <c r="E105" s="243">
        <v>173.83343199999999</v>
      </c>
      <c r="F105" s="243">
        <v>146.76996600000001</v>
      </c>
      <c r="G105" s="243">
        <v>139.11880199999999</v>
      </c>
      <c r="H105" s="243">
        <v>133.454463</v>
      </c>
      <c r="I105" s="243">
        <v>138.95366799999999</v>
      </c>
      <c r="J105" s="243">
        <v>156.429901</v>
      </c>
      <c r="K105" s="243">
        <v>146.533942</v>
      </c>
      <c r="L105" s="243">
        <v>159.05462600000001</v>
      </c>
      <c r="M105" s="243">
        <v>144.58958999999999</v>
      </c>
      <c r="N105" s="243">
        <v>158.02685199999999</v>
      </c>
      <c r="O105" s="243">
        <v>158.381069</v>
      </c>
      <c r="P105" s="243">
        <v>143.06514300000001</v>
      </c>
      <c r="Q105" s="243">
        <v>149.59031300000001</v>
      </c>
      <c r="R105" s="243">
        <v>153.416853</v>
      </c>
      <c r="S105" s="243">
        <v>140.31111100000001</v>
      </c>
      <c r="T105" s="243">
        <v>34.431325000000001</v>
      </c>
      <c r="U105"/>
      <c r="V105"/>
      <c r="W105"/>
      <c r="X105"/>
      <c r="Y105"/>
      <c r="Z105"/>
    </row>
    <row r="106" spans="1:26" ht="15">
      <c r="A106" s="278"/>
      <c r="B106" s="127" t="s">
        <v>9</v>
      </c>
      <c r="C106" s="243">
        <v>37.045735999999998</v>
      </c>
      <c r="D106" s="243">
        <v>22.268398999999999</v>
      </c>
      <c r="E106" s="243">
        <v>28.510366000000001</v>
      </c>
      <c r="F106" s="243">
        <v>15.002691</v>
      </c>
      <c r="G106" s="243">
        <v>15.518791</v>
      </c>
      <c r="H106" s="243">
        <v>14.439681999999999</v>
      </c>
      <c r="I106" s="243">
        <v>17.277450000000002</v>
      </c>
      <c r="J106" s="243">
        <v>21.905804</v>
      </c>
      <c r="K106" s="243">
        <v>21.204673</v>
      </c>
      <c r="L106" s="243">
        <v>28.975633999999999</v>
      </c>
      <c r="M106" s="243">
        <v>21.440819999999999</v>
      </c>
      <c r="N106" s="243">
        <v>25.811325</v>
      </c>
      <c r="O106" s="243">
        <v>28.873301000000001</v>
      </c>
      <c r="P106" s="243">
        <v>25.555015999999998</v>
      </c>
      <c r="Q106" s="243">
        <v>29.612995000000002</v>
      </c>
      <c r="R106" s="243">
        <v>34.690565999999997</v>
      </c>
      <c r="S106" s="243">
        <v>21.324908000000001</v>
      </c>
      <c r="T106" s="243">
        <v>3.1109559999999998</v>
      </c>
      <c r="U106"/>
      <c r="V106"/>
      <c r="W106"/>
      <c r="X106"/>
      <c r="Y106"/>
      <c r="Z106"/>
    </row>
    <row r="107" spans="1:26" ht="15">
      <c r="A107" s="278"/>
      <c r="B107" s="127" t="s">
        <v>8</v>
      </c>
      <c r="C107" s="243">
        <v>82.867552000000003</v>
      </c>
      <c r="D107" s="243">
        <v>111.33840600000001</v>
      </c>
      <c r="E107" s="243">
        <v>126.580506</v>
      </c>
      <c r="F107" s="243">
        <v>98.063034000000002</v>
      </c>
      <c r="G107" s="243">
        <v>81.823025999999999</v>
      </c>
      <c r="H107" s="243">
        <v>84.304407999999995</v>
      </c>
      <c r="I107" s="243">
        <v>97.398498000000004</v>
      </c>
      <c r="J107" s="243">
        <v>100.21077</v>
      </c>
      <c r="K107" s="243">
        <v>99.346721000000002</v>
      </c>
      <c r="L107" s="243">
        <v>125.06728200000001</v>
      </c>
      <c r="M107" s="243">
        <v>112.30573</v>
      </c>
      <c r="N107" s="243">
        <v>119.831412</v>
      </c>
      <c r="O107" s="243">
        <v>117.60937199999999</v>
      </c>
      <c r="P107" s="243">
        <v>92.890253999999999</v>
      </c>
      <c r="Q107" s="243">
        <v>82.571079999999995</v>
      </c>
      <c r="R107" s="243">
        <v>106.513632</v>
      </c>
      <c r="S107" s="243">
        <v>111.85987799999999</v>
      </c>
      <c r="T107" s="243">
        <v>24.915679999999998</v>
      </c>
      <c r="U107"/>
      <c r="V107"/>
      <c r="W107"/>
      <c r="X107"/>
      <c r="Y107"/>
      <c r="Z107"/>
    </row>
    <row r="108" spans="1:26" ht="15">
      <c r="A108" s="278"/>
      <c r="B108" s="127" t="s">
        <v>25</v>
      </c>
      <c r="C108" s="243">
        <v>342.56568199999998</v>
      </c>
      <c r="D108" s="243">
        <v>249.83534599999999</v>
      </c>
      <c r="E108" s="243">
        <v>290.37200899999999</v>
      </c>
      <c r="F108" s="243">
        <v>290.70250900000002</v>
      </c>
      <c r="G108" s="243">
        <v>328.89233899999999</v>
      </c>
      <c r="H108" s="243">
        <v>284.16690399999999</v>
      </c>
      <c r="I108" s="243">
        <v>316.70403900000002</v>
      </c>
      <c r="J108" s="243">
        <v>340.02993600000002</v>
      </c>
      <c r="K108" s="243">
        <v>307.60187999999999</v>
      </c>
      <c r="L108" s="243">
        <v>357.47449</v>
      </c>
      <c r="M108" s="243">
        <v>343.63677799999999</v>
      </c>
      <c r="N108" s="243">
        <v>344.06825099999998</v>
      </c>
      <c r="O108" s="243">
        <v>331.93350299999997</v>
      </c>
      <c r="P108" s="243">
        <v>287.05643500000002</v>
      </c>
      <c r="Q108" s="243">
        <v>282.06847599999998</v>
      </c>
      <c r="R108" s="243">
        <v>284.69147199999998</v>
      </c>
      <c r="S108" s="243">
        <v>302.07158099999998</v>
      </c>
      <c r="T108" s="243">
        <v>78.394701999999995</v>
      </c>
      <c r="U108"/>
      <c r="V108"/>
      <c r="W108"/>
      <c r="X108"/>
      <c r="Y108"/>
      <c r="Z108"/>
    </row>
    <row r="109" spans="1:26" ht="15">
      <c r="A109" s="278"/>
      <c r="B109" s="127" t="s">
        <v>6</v>
      </c>
      <c r="C109" s="243">
        <v>1.249555</v>
      </c>
      <c r="D109" s="243">
        <v>1.142978</v>
      </c>
      <c r="E109" s="243">
        <v>1.2419039999999999</v>
      </c>
      <c r="F109" s="243">
        <v>1.7632380000000001</v>
      </c>
      <c r="G109" s="243">
        <v>1.701465</v>
      </c>
      <c r="H109" s="243">
        <v>2.9528669999999999</v>
      </c>
      <c r="I109" s="243">
        <v>3.2914970000000001</v>
      </c>
      <c r="J109" s="243">
        <v>2.7481429999999998</v>
      </c>
      <c r="K109" s="243">
        <v>2.5908169999999999</v>
      </c>
      <c r="L109" s="243">
        <v>1.167157</v>
      </c>
      <c r="M109" s="243">
        <v>0.94978899999999999</v>
      </c>
      <c r="N109" s="243">
        <v>1.389267</v>
      </c>
      <c r="O109" s="243">
        <v>1.2355400000000001</v>
      </c>
      <c r="P109" s="243">
        <v>1.2530779999999999</v>
      </c>
      <c r="Q109" s="243">
        <v>2.036778</v>
      </c>
      <c r="R109" s="243">
        <v>1.462315</v>
      </c>
      <c r="S109" s="243">
        <v>1.65883</v>
      </c>
      <c r="T109" s="243">
        <v>0</v>
      </c>
      <c r="U109"/>
      <c r="V109"/>
      <c r="W109"/>
      <c r="X109"/>
      <c r="Y109"/>
      <c r="Z109"/>
    </row>
    <row r="110" spans="1:26" ht="15">
      <c r="A110" s="278"/>
      <c r="B110" s="127" t="s">
        <v>5</v>
      </c>
      <c r="C110" s="243">
        <v>94.891767999999999</v>
      </c>
      <c r="D110" s="243">
        <v>107.781023</v>
      </c>
      <c r="E110" s="243">
        <v>77.912910999999994</v>
      </c>
      <c r="F110" s="243">
        <v>105.25716</v>
      </c>
      <c r="G110" s="243">
        <v>99.456442999999993</v>
      </c>
      <c r="H110" s="243">
        <v>143.551423</v>
      </c>
      <c r="I110" s="243">
        <v>166.964561</v>
      </c>
      <c r="J110" s="243">
        <v>149.445853</v>
      </c>
      <c r="K110" s="243">
        <v>165.43614400000001</v>
      </c>
      <c r="L110" s="243">
        <v>84.341824000000003</v>
      </c>
      <c r="M110" s="243">
        <v>95.968860000000006</v>
      </c>
      <c r="N110" s="243">
        <v>82.177819999999997</v>
      </c>
      <c r="O110" s="243">
        <v>97.153379000000001</v>
      </c>
      <c r="P110" s="243">
        <v>91.083347000000003</v>
      </c>
      <c r="Q110" s="243">
        <v>165.14311699999999</v>
      </c>
      <c r="R110" s="243">
        <v>81.914609999999996</v>
      </c>
      <c r="S110" s="243">
        <v>90.098500999999999</v>
      </c>
      <c r="T110" s="243">
        <v>71.243262999999999</v>
      </c>
      <c r="U110"/>
      <c r="V110"/>
      <c r="W110"/>
      <c r="X110"/>
      <c r="Y110"/>
      <c r="Z110"/>
    </row>
    <row r="111" spans="1:26" ht="15">
      <c r="A111" s="278"/>
      <c r="B111" s="127" t="s">
        <v>4</v>
      </c>
      <c r="C111" s="243">
        <v>32.201141</v>
      </c>
      <c r="D111" s="243">
        <v>35.576335999999998</v>
      </c>
      <c r="E111" s="243">
        <v>37.483338000000003</v>
      </c>
      <c r="F111" s="243">
        <v>38.331471000000001</v>
      </c>
      <c r="G111" s="243">
        <v>44.747520000000002</v>
      </c>
      <c r="H111" s="243">
        <v>42.657446</v>
      </c>
      <c r="I111" s="243">
        <v>44.683625999999997</v>
      </c>
      <c r="J111" s="243">
        <v>46.097631</v>
      </c>
      <c r="K111" s="243">
        <v>39.592024000000002</v>
      </c>
      <c r="L111" s="243">
        <v>35.989100999999998</v>
      </c>
      <c r="M111" s="243">
        <v>32.078172000000002</v>
      </c>
      <c r="N111" s="243">
        <v>31.976611999999999</v>
      </c>
      <c r="O111" s="243">
        <v>33.762532</v>
      </c>
      <c r="P111" s="243">
        <v>36.724344000000002</v>
      </c>
      <c r="Q111" s="243">
        <v>36.337868999999998</v>
      </c>
      <c r="R111" s="243">
        <v>41.012202000000002</v>
      </c>
      <c r="S111" s="243">
        <v>46.038113000000003</v>
      </c>
      <c r="T111" s="243">
        <v>14.965142</v>
      </c>
      <c r="U111"/>
      <c r="V111"/>
      <c r="W111"/>
      <c r="X111"/>
      <c r="Y111"/>
      <c r="Z111"/>
    </row>
    <row r="112" spans="1:26" ht="15">
      <c r="A112" s="278"/>
      <c r="B112" s="127" t="s">
        <v>22</v>
      </c>
      <c r="C112" s="243">
        <v>1.1695549999999999</v>
      </c>
      <c r="D112" s="243">
        <v>1.2032910000000001</v>
      </c>
      <c r="E112" s="243">
        <v>1.447702</v>
      </c>
      <c r="F112" s="243">
        <v>1.4667380000000001</v>
      </c>
      <c r="G112" s="243">
        <v>1.4553370000000001</v>
      </c>
      <c r="H112" s="243">
        <v>1.2805299999999999</v>
      </c>
      <c r="I112" s="243">
        <v>1.163958</v>
      </c>
      <c r="J112" s="243">
        <v>0.98014500000000004</v>
      </c>
      <c r="K112" s="243">
        <v>0.36074600000000001</v>
      </c>
      <c r="L112" s="243">
        <v>0.77339199999999997</v>
      </c>
      <c r="M112" s="243">
        <v>0.74605500000000002</v>
      </c>
      <c r="N112" s="243">
        <v>0.798705</v>
      </c>
      <c r="O112" s="243">
        <v>0.99824000000000002</v>
      </c>
      <c r="P112" s="243">
        <v>0.82315300000000002</v>
      </c>
      <c r="Q112" s="243">
        <v>0.86323799999999995</v>
      </c>
      <c r="R112" s="243">
        <v>0.83965599999999996</v>
      </c>
      <c r="S112" s="243">
        <v>1.0704100000000001</v>
      </c>
      <c r="T112" s="243">
        <v>0</v>
      </c>
      <c r="U112"/>
      <c r="V112"/>
      <c r="W112"/>
      <c r="X112"/>
      <c r="Y112"/>
      <c r="Z112"/>
    </row>
    <row r="113" spans="1:26" ht="15">
      <c r="A113" s="278"/>
      <c r="B113" s="131" t="s">
        <v>2</v>
      </c>
      <c r="C113" s="244">
        <v>756.72251200000005</v>
      </c>
      <c r="D113" s="244">
        <v>676.88631099999998</v>
      </c>
      <c r="E113" s="244">
        <v>737.38216799999998</v>
      </c>
      <c r="F113" s="244">
        <v>697.356807</v>
      </c>
      <c r="G113" s="244">
        <v>712.71372299999996</v>
      </c>
      <c r="H113" s="244">
        <v>706.80772300000001</v>
      </c>
      <c r="I113" s="244">
        <v>786.43729699999994</v>
      </c>
      <c r="J113" s="244">
        <v>817.84818299999995</v>
      </c>
      <c r="K113" s="244">
        <v>782.66694700000005</v>
      </c>
      <c r="L113" s="244">
        <v>792.84350600000005</v>
      </c>
      <c r="M113" s="244">
        <v>751.71579399999996</v>
      </c>
      <c r="N113" s="244">
        <v>764.08024399999999</v>
      </c>
      <c r="O113" s="244">
        <v>769.94693600000005</v>
      </c>
      <c r="P113" s="244">
        <v>678.45077000000003</v>
      </c>
      <c r="Q113" s="244">
        <v>748.22386600000004</v>
      </c>
      <c r="R113" s="244">
        <v>704.54130599999996</v>
      </c>
      <c r="S113" s="244">
        <v>714.43333199999995</v>
      </c>
      <c r="T113" s="244">
        <v>227.06106800000001</v>
      </c>
      <c r="U113"/>
      <c r="V113"/>
      <c r="W113"/>
      <c r="X113"/>
      <c r="Y113"/>
      <c r="Z113"/>
    </row>
    <row r="114" spans="1:26" ht="15">
      <c r="A114" s="278"/>
      <c r="B114" s="127" t="s">
        <v>95</v>
      </c>
      <c r="C114" s="243">
        <v>0</v>
      </c>
      <c r="D114" s="243">
        <v>0</v>
      </c>
      <c r="E114" s="243">
        <v>0</v>
      </c>
      <c r="F114" s="243">
        <v>0</v>
      </c>
      <c r="G114" s="243">
        <v>0</v>
      </c>
      <c r="H114" s="243">
        <v>0</v>
      </c>
      <c r="I114" s="243">
        <v>0</v>
      </c>
      <c r="J114" s="243">
        <v>0</v>
      </c>
      <c r="K114" s="243">
        <v>0</v>
      </c>
      <c r="L114" s="243">
        <v>6.3000000000000003E-4</v>
      </c>
      <c r="M114" s="243">
        <v>5.5779999999999996E-3</v>
      </c>
      <c r="N114" s="243">
        <v>1.06E-4</v>
      </c>
      <c r="O114" s="243">
        <v>9.9999999999999995E-7</v>
      </c>
      <c r="P114" s="243">
        <v>3.7019000000000003E-2</v>
      </c>
      <c r="Q114" s="243">
        <v>4.1999999999999998E-5</v>
      </c>
      <c r="R114" s="243">
        <v>0</v>
      </c>
      <c r="S114" s="243">
        <v>7.0930000000000003E-3</v>
      </c>
      <c r="T114" s="243">
        <v>0</v>
      </c>
      <c r="U114"/>
      <c r="V114"/>
      <c r="W114"/>
      <c r="X114"/>
      <c r="Y114"/>
      <c r="Z114"/>
    </row>
    <row r="115" spans="1:26" ht="15">
      <c r="A115" s="278"/>
      <c r="B115" s="127" t="s">
        <v>96</v>
      </c>
      <c r="C115" s="243">
        <v>0</v>
      </c>
      <c r="D115" s="243">
        <v>0</v>
      </c>
      <c r="E115" s="243">
        <v>0</v>
      </c>
      <c r="F115" s="243">
        <v>0</v>
      </c>
      <c r="G115" s="243">
        <v>0</v>
      </c>
      <c r="H115" s="243">
        <v>0</v>
      </c>
      <c r="I115" s="243">
        <v>-1.4660000000000001E-3</v>
      </c>
      <c r="J115" s="243">
        <v>-3.5109999999999998E-3</v>
      </c>
      <c r="K115" s="243">
        <v>-8.7720000000000003E-3</v>
      </c>
      <c r="L115" s="243">
        <v>-1.4031E-2</v>
      </c>
      <c r="M115" s="243">
        <v>-1.7222999999999999E-2</v>
      </c>
      <c r="N115" s="243">
        <v>-1.6891E-2</v>
      </c>
      <c r="O115" s="243">
        <v>-1.1672999999999999E-2</v>
      </c>
      <c r="P115" s="243">
        <v>-5.8445999999999998E-2</v>
      </c>
      <c r="Q115" s="243">
        <v>-1.3491E-2</v>
      </c>
      <c r="R115" s="243">
        <v>-2.2315000000000002E-2</v>
      </c>
      <c r="S115" s="243">
        <v>-2.2401000000000001E-2</v>
      </c>
      <c r="T115" s="243">
        <v>0</v>
      </c>
      <c r="U115"/>
      <c r="V115"/>
      <c r="W115"/>
      <c r="X115"/>
      <c r="Y115"/>
      <c r="Z115"/>
    </row>
    <row r="116" spans="1:26" ht="15">
      <c r="A116" s="278"/>
      <c r="B116" s="131" t="s">
        <v>70</v>
      </c>
      <c r="C116" s="244">
        <v>756.72251200000005</v>
      </c>
      <c r="D116" s="244">
        <v>676.88631099999998</v>
      </c>
      <c r="E116" s="244">
        <v>737.38216799999998</v>
      </c>
      <c r="F116" s="244">
        <v>697.356807</v>
      </c>
      <c r="G116" s="244">
        <v>712.71372299999996</v>
      </c>
      <c r="H116" s="244">
        <v>706.80772300000001</v>
      </c>
      <c r="I116" s="244">
        <v>786.43583100000001</v>
      </c>
      <c r="J116" s="244">
        <v>817.84467199999995</v>
      </c>
      <c r="K116" s="244">
        <v>782.65817500000003</v>
      </c>
      <c r="L116" s="244">
        <v>792.830105</v>
      </c>
      <c r="M116" s="244">
        <v>751.70414900000003</v>
      </c>
      <c r="N116" s="244">
        <v>764.06345899999997</v>
      </c>
      <c r="O116" s="244">
        <v>769.93526399999996</v>
      </c>
      <c r="P116" s="244">
        <v>678.42934300000002</v>
      </c>
      <c r="Q116" s="244">
        <v>748.21041700000001</v>
      </c>
      <c r="R116" s="244">
        <v>704.51899100000003</v>
      </c>
      <c r="S116" s="244">
        <v>714.41802399999995</v>
      </c>
      <c r="T116" s="244">
        <v>227.06106800000001</v>
      </c>
      <c r="U116"/>
      <c r="V116"/>
      <c r="W116"/>
      <c r="X116"/>
      <c r="Y116"/>
      <c r="Z116"/>
    </row>
    <row r="117" spans="1:26" ht="15">
      <c r="A117" s="279"/>
      <c r="B117" s="127" t="s">
        <v>208</v>
      </c>
      <c r="C117" s="243">
        <v>0</v>
      </c>
      <c r="D117" s="243">
        <v>0</v>
      </c>
      <c r="E117" s="243">
        <v>0</v>
      </c>
      <c r="F117" s="243">
        <v>0</v>
      </c>
      <c r="G117" s="243">
        <v>0</v>
      </c>
      <c r="H117" s="243">
        <v>0</v>
      </c>
      <c r="I117" s="243">
        <v>0</v>
      </c>
      <c r="J117" s="243">
        <v>0</v>
      </c>
      <c r="K117" s="243">
        <v>0</v>
      </c>
      <c r="L117" s="243">
        <v>0</v>
      </c>
      <c r="M117" s="243">
        <v>0</v>
      </c>
      <c r="N117" s="243">
        <v>0</v>
      </c>
      <c r="O117" s="243">
        <v>0</v>
      </c>
      <c r="P117" s="243">
        <v>0</v>
      </c>
      <c r="Q117" s="243">
        <v>0</v>
      </c>
      <c r="R117" s="243">
        <v>0</v>
      </c>
      <c r="S117" s="243">
        <v>0</v>
      </c>
      <c r="T117" s="243">
        <v>1.26E-2</v>
      </c>
      <c r="U117"/>
      <c r="V117"/>
      <c r="W117"/>
      <c r="X117"/>
      <c r="Y117"/>
      <c r="Z117"/>
    </row>
    <row r="118" spans="1:26" ht="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ht="12" customHeight="1">
      <c r="A119"/>
      <c r="B119" s="99" t="s">
        <v>137</v>
      </c>
      <c r="C119" s="201">
        <f t="shared" ref="C119:O119" si="6">+C135+C136</f>
        <v>-1.9395000000000003E-2</v>
      </c>
      <c r="D119" s="201">
        <f t="shared" si="6"/>
        <v>-3.3148999999999998E-2</v>
      </c>
      <c r="E119" s="201">
        <f t="shared" si="6"/>
        <v>-5.8598000000000004E-2</v>
      </c>
      <c r="F119" s="201">
        <f t="shared" si="6"/>
        <v>-3.7090000000000001E-3</v>
      </c>
      <c r="G119" s="201">
        <f t="shared" si="6"/>
        <v>-5.7590000000000002E-3</v>
      </c>
      <c r="H119" s="201">
        <f t="shared" si="6"/>
        <v>-5.3100000000000005E-3</v>
      </c>
      <c r="I119" s="201">
        <f t="shared" si="6"/>
        <v>-4.065E-3</v>
      </c>
      <c r="J119" s="201">
        <f t="shared" si="6"/>
        <v>-4.0439999999999999E-3</v>
      </c>
      <c r="K119" s="201">
        <f t="shared" si="6"/>
        <v>-3.8699999999999997E-4</v>
      </c>
      <c r="L119" s="201">
        <f t="shared" si="6"/>
        <v>0</v>
      </c>
      <c r="M119" s="201">
        <f t="shared" si="6"/>
        <v>0</v>
      </c>
      <c r="N119" s="201">
        <f t="shared" si="6"/>
        <v>0</v>
      </c>
      <c r="O119" s="201">
        <f t="shared" si="6"/>
        <v>0</v>
      </c>
      <c r="P119"/>
      <c r="Q119"/>
      <c r="R119"/>
      <c r="S119"/>
    </row>
    <row r="120" spans="1:26">
      <c r="B120" s="99" t="s">
        <v>138</v>
      </c>
      <c r="C120" s="201">
        <f>+C151+C152</f>
        <v>0</v>
      </c>
      <c r="D120" s="201">
        <f t="shared" ref="D120:N120" si="7">+D151+D152</f>
        <v>0</v>
      </c>
      <c r="E120" s="201">
        <f t="shared" si="7"/>
        <v>-1.4660000000000001E-3</v>
      </c>
      <c r="F120" s="201">
        <f t="shared" si="7"/>
        <v>-3.5109999999999998E-3</v>
      </c>
      <c r="G120" s="201">
        <f t="shared" si="7"/>
        <v>-8.7720000000000003E-3</v>
      </c>
      <c r="H120" s="201">
        <f t="shared" si="7"/>
        <v>-1.3401E-2</v>
      </c>
      <c r="I120" s="201">
        <f t="shared" si="7"/>
        <v>-1.1644999999999999E-2</v>
      </c>
      <c r="J120" s="201">
        <f t="shared" si="7"/>
        <v>-1.6785000000000001E-2</v>
      </c>
      <c r="K120" s="201">
        <f t="shared" si="7"/>
        <v>-1.1672E-2</v>
      </c>
      <c r="L120" s="201">
        <f t="shared" si="7"/>
        <v>-2.1426999999999995E-2</v>
      </c>
      <c r="M120" s="201">
        <f t="shared" si="7"/>
        <v>-1.3448999999999999E-2</v>
      </c>
      <c r="N120" s="201">
        <f t="shared" si="7"/>
        <v>-2.2315000000000002E-2</v>
      </c>
      <c r="O120" s="201">
        <f>+O151+O152</f>
        <v>-1.5308E-2</v>
      </c>
    </row>
    <row r="121" spans="1:26">
      <c r="B121" s="275" t="s">
        <v>65</v>
      </c>
      <c r="C121" s="108" t="str">
        <f>TEXT(EDATE(D121,-1),"mmmm aaaa")</f>
        <v>mayo 2025</v>
      </c>
      <c r="D121" s="108" t="str">
        <f t="shared" ref="D121:M121" si="8">TEXT(EDATE(E121,-1),"mmmm aaaa")</f>
        <v>junio 2025</v>
      </c>
      <c r="E121" s="108" t="str">
        <f t="shared" si="8"/>
        <v>julio 2025</v>
      </c>
      <c r="F121" s="108" t="str">
        <f t="shared" si="8"/>
        <v>agosto 2025</v>
      </c>
      <c r="G121" s="108" t="str">
        <f t="shared" si="8"/>
        <v>septiembre 2025</v>
      </c>
      <c r="H121" s="108" t="str">
        <f t="shared" si="8"/>
        <v>octubre 2025</v>
      </c>
      <c r="I121" s="108" t="str">
        <f t="shared" si="8"/>
        <v>noviembre 2025</v>
      </c>
      <c r="J121" s="108" t="str">
        <f t="shared" si="8"/>
        <v>diciembre 2025</v>
      </c>
      <c r="K121" s="108" t="str">
        <f t="shared" si="8"/>
        <v>enero 2026</v>
      </c>
      <c r="L121" s="108" t="str">
        <f t="shared" si="8"/>
        <v>febrero 2026</v>
      </c>
      <c r="M121" s="108" t="str">
        <f t="shared" si="8"/>
        <v>marzo 2026</v>
      </c>
      <c r="N121" s="108" t="str">
        <f>TEXT(EDATE(O121,-1),"mmmm aaaa")</f>
        <v>abril 2026</v>
      </c>
      <c r="O121" s="109" t="str">
        <f>A2</f>
        <v>Mayo 2026</v>
      </c>
    </row>
    <row r="122" spans="1:26">
      <c r="B122" s="276"/>
      <c r="C122" s="116" t="str">
        <f>TEXT(EDATE($A$2,-12),"mmm")&amp;".-"&amp;TEXT(EDATE($A$2,-12),"aa")</f>
        <v>may.-25</v>
      </c>
      <c r="D122" s="116" t="str">
        <f>TEXT(EDATE($A$2,-11),"mmm")&amp;".-"&amp;TEXT(EDATE($A$2,-11),"aa")</f>
        <v>jun.-25</v>
      </c>
      <c r="E122" s="116" t="str">
        <f>TEXT(EDATE($A$2,-10),"mmm")&amp;".-"&amp;TEXT(EDATE($A$2,-10),"aa")</f>
        <v>jul.-25</v>
      </c>
      <c r="F122" s="116" t="str">
        <f>TEXT(EDATE($A$2,-9),"mmm")&amp;".-"&amp;TEXT(EDATE($A$2,-9),"aa")</f>
        <v>ago.-25</v>
      </c>
      <c r="G122" s="116" t="str">
        <f>TEXT(EDATE($A$2,-8),"mmm")&amp;".-"&amp;TEXT(EDATE($A$2,-8),"aa")</f>
        <v>sep.-25</v>
      </c>
      <c r="H122" s="116" t="str">
        <f>TEXT(EDATE($A$2,-7),"mmm")&amp;".-"&amp;TEXT(EDATE($A$2,-7),"aa")</f>
        <v>oct.-25</v>
      </c>
      <c r="I122" s="116" t="str">
        <f>TEXT(EDATE($A$2,-6),"mmm")&amp;".-"&amp;TEXT(EDATE($A$2,-6),"aa")</f>
        <v>nov.-25</v>
      </c>
      <c r="J122" s="116" t="str">
        <f>TEXT(EDATE($A$2,-5),"mmm")&amp;".-"&amp;TEXT(EDATE($A$2,-5),"aa")</f>
        <v>dic.-25</v>
      </c>
      <c r="K122" s="116" t="str">
        <f>TEXT(EDATE($A$2,-4),"mmm")&amp;".-"&amp;TEXT(EDATE($A$2,-4),"aa")</f>
        <v>ene.-26</v>
      </c>
      <c r="L122" s="116" t="str">
        <f>TEXT(EDATE($A$2,-3),"mmm")&amp;".-"&amp;TEXT(EDATE($A$2,-3),"aa")</f>
        <v>feb.-26</v>
      </c>
      <c r="M122" s="116" t="str">
        <f>TEXT(EDATE($A$2,-2),"mmm")&amp;".-"&amp;TEXT(EDATE($A$2,-2),"aa")</f>
        <v>mar.-26</v>
      </c>
      <c r="N122" s="116" t="str">
        <f>TEXT(EDATE($A$2,-1),"mmm")&amp;".-"&amp;TEXT(EDATE($A$2,-1),"aa")</f>
        <v>abr.-26</v>
      </c>
      <c r="O122" s="136" t="str">
        <f>TEXT($A$2,"mmm")&amp;".-"&amp;TEXT($A$2,"aa")</f>
        <v>may.-26</v>
      </c>
    </row>
    <row r="123" spans="1:26">
      <c r="A123" s="272" t="s">
        <v>67</v>
      </c>
      <c r="B123" s="117" t="s">
        <v>11</v>
      </c>
      <c r="C123" s="118">
        <f t="shared" ref="C123:O123" si="9">HLOOKUP(C$121,$86:$103,3,FALSE)</f>
        <v>0</v>
      </c>
      <c r="D123" s="118">
        <f t="shared" si="9"/>
        <v>0</v>
      </c>
      <c r="E123" s="118">
        <f t="shared" si="9"/>
        <v>0</v>
      </c>
      <c r="F123" s="118">
        <f t="shared" si="9"/>
        <v>0</v>
      </c>
      <c r="G123" s="118">
        <f t="shared" si="9"/>
        <v>0</v>
      </c>
      <c r="H123" s="118">
        <f t="shared" si="9"/>
        <v>0</v>
      </c>
      <c r="I123" s="118">
        <f t="shared" si="9"/>
        <v>0</v>
      </c>
      <c r="J123" s="118">
        <f t="shared" si="9"/>
        <v>0</v>
      </c>
      <c r="K123" s="118">
        <f t="shared" si="9"/>
        <v>0</v>
      </c>
      <c r="L123" s="118">
        <f t="shared" si="9"/>
        <v>0</v>
      </c>
      <c r="M123" s="118">
        <f t="shared" si="9"/>
        <v>0</v>
      </c>
      <c r="N123" s="118">
        <f t="shared" si="9"/>
        <v>0</v>
      </c>
      <c r="O123" s="119">
        <f t="shared" si="9"/>
        <v>0</v>
      </c>
    </row>
    <row r="124" spans="1:26">
      <c r="A124" s="273"/>
      <c r="B124" s="102" t="s">
        <v>10</v>
      </c>
      <c r="C124" s="104">
        <f t="shared" ref="C124:O124" si="10">HLOOKUP(C$121,$86:$103,4,FALSE)</f>
        <v>17.616911000000002</v>
      </c>
      <c r="D124" s="104">
        <f t="shared" si="10"/>
        <v>36.758597999999999</v>
      </c>
      <c r="E124" s="104">
        <f t="shared" si="10"/>
        <v>62.363782</v>
      </c>
      <c r="F124" s="104">
        <f t="shared" si="10"/>
        <v>66.467855</v>
      </c>
      <c r="G124" s="104">
        <f t="shared" si="10"/>
        <v>45.454340000000002</v>
      </c>
      <c r="H124" s="104">
        <f t="shared" si="10"/>
        <v>22.456917000000001</v>
      </c>
      <c r="I124" s="104">
        <f t="shared" si="10"/>
        <v>17.069234000000002</v>
      </c>
      <c r="J124" s="104">
        <f t="shared" si="10"/>
        <v>11.652042</v>
      </c>
      <c r="K124" s="104">
        <f t="shared" si="10"/>
        <v>14.892018999999999</v>
      </c>
      <c r="L124" s="104">
        <f t="shared" si="10"/>
        <v>6.0359920000000002</v>
      </c>
      <c r="M124" s="104">
        <f t="shared" si="10"/>
        <v>8.5326330000000006</v>
      </c>
      <c r="N124" s="104">
        <f t="shared" si="10"/>
        <v>8.6196000000000002</v>
      </c>
      <c r="O124" s="119">
        <f t="shared" si="10"/>
        <v>22.465201</v>
      </c>
    </row>
    <row r="125" spans="1:26">
      <c r="A125" s="273"/>
      <c r="B125" s="102" t="s">
        <v>9</v>
      </c>
      <c r="C125" s="104">
        <f t="shared" ref="C125:O125" si="11">HLOOKUP(C$121,$86:$103,5,FALSE)</f>
        <v>25.468105999999999</v>
      </c>
      <c r="D125" s="104">
        <f t="shared" si="11"/>
        <v>46.078491</v>
      </c>
      <c r="E125" s="104">
        <f t="shared" si="11"/>
        <v>58.218541000000002</v>
      </c>
      <c r="F125" s="104">
        <f t="shared" si="11"/>
        <v>51.241262999999996</v>
      </c>
      <c r="G125" s="104">
        <f t="shared" si="11"/>
        <v>39.777388999999999</v>
      </c>
      <c r="H125" s="104">
        <f t="shared" si="11"/>
        <v>43.751629999999999</v>
      </c>
      <c r="I125" s="104">
        <f t="shared" si="11"/>
        <v>32.383879</v>
      </c>
      <c r="J125" s="104">
        <f t="shared" si="11"/>
        <v>25.042332999999999</v>
      </c>
      <c r="K125" s="104">
        <f t="shared" si="11"/>
        <v>28.074463000000002</v>
      </c>
      <c r="L125" s="104">
        <f t="shared" si="11"/>
        <v>21.743562000000001</v>
      </c>
      <c r="M125" s="104">
        <f t="shared" si="11"/>
        <v>24.257366999999999</v>
      </c>
      <c r="N125" s="104">
        <f t="shared" si="11"/>
        <v>22.619537000000001</v>
      </c>
      <c r="O125" s="119">
        <f t="shared" si="11"/>
        <v>36.469515000000001</v>
      </c>
    </row>
    <row r="126" spans="1:26" ht="14.25">
      <c r="A126" s="273"/>
      <c r="B126" s="102" t="s">
        <v>116</v>
      </c>
      <c r="C126" s="104">
        <f t="shared" ref="C126:O126" si="12">HLOOKUP(C$121,$86:$103,6,FALSE)</f>
        <v>244.74023199999999</v>
      </c>
      <c r="D126" s="104">
        <f t="shared" si="12"/>
        <v>274.475863</v>
      </c>
      <c r="E126" s="104">
        <f t="shared" si="12"/>
        <v>334.267562</v>
      </c>
      <c r="F126" s="104">
        <f t="shared" si="12"/>
        <v>319.07413400000002</v>
      </c>
      <c r="G126" s="104">
        <f t="shared" si="12"/>
        <v>274.82982800000002</v>
      </c>
      <c r="H126" s="104">
        <f t="shared" si="12"/>
        <v>257.021049</v>
      </c>
      <c r="I126" s="104">
        <f t="shared" si="12"/>
        <v>234.20941099999999</v>
      </c>
      <c r="J126" s="104">
        <f t="shared" si="12"/>
        <v>265.032152</v>
      </c>
      <c r="K126" s="104">
        <f t="shared" si="12"/>
        <v>271.90836200000001</v>
      </c>
      <c r="L126" s="104">
        <f t="shared" si="12"/>
        <v>219.728983</v>
      </c>
      <c r="M126" s="104">
        <f t="shared" si="12"/>
        <v>263.66985</v>
      </c>
      <c r="N126" s="104">
        <f t="shared" si="12"/>
        <v>217.826639</v>
      </c>
      <c r="O126" s="119">
        <f t="shared" si="12"/>
        <v>237.47240300000001</v>
      </c>
    </row>
    <row r="127" spans="1:26">
      <c r="A127" s="273"/>
      <c r="B127" s="102" t="s">
        <v>24</v>
      </c>
      <c r="C127" s="104">
        <f t="shared" ref="C127:O127" si="13">HLOOKUP(C$121,$86:$103,7,FALSE)</f>
        <v>0</v>
      </c>
      <c r="D127" s="104">
        <f t="shared" si="13"/>
        <v>0</v>
      </c>
      <c r="E127" s="104">
        <f t="shared" si="13"/>
        <v>0</v>
      </c>
      <c r="F127" s="104">
        <f t="shared" si="13"/>
        <v>0</v>
      </c>
      <c r="G127" s="104">
        <f t="shared" si="13"/>
        <v>0</v>
      </c>
      <c r="H127" s="104">
        <f t="shared" si="13"/>
        <v>0</v>
      </c>
      <c r="I127" s="104">
        <f t="shared" si="13"/>
        <v>0</v>
      </c>
      <c r="J127" s="104">
        <f t="shared" si="13"/>
        <v>0</v>
      </c>
      <c r="K127" s="104">
        <f t="shared" si="13"/>
        <v>0</v>
      </c>
      <c r="L127" s="104">
        <f t="shared" si="13"/>
        <v>0</v>
      </c>
      <c r="M127" s="104">
        <f t="shared" si="13"/>
        <v>0</v>
      </c>
      <c r="N127" s="104">
        <f t="shared" si="13"/>
        <v>0</v>
      </c>
      <c r="O127" s="119">
        <f t="shared" si="13"/>
        <v>0</v>
      </c>
    </row>
    <row r="128" spans="1:26">
      <c r="A128" s="273"/>
      <c r="B128" s="102" t="s">
        <v>5</v>
      </c>
      <c r="C128" s="104">
        <f t="shared" ref="C128:O128" si="14">HLOOKUP(C$121,$86:$104,8,FALSE)</f>
        <v>0</v>
      </c>
      <c r="D128" s="104">
        <f t="shared" si="14"/>
        <v>0</v>
      </c>
      <c r="E128" s="104">
        <f t="shared" si="14"/>
        <v>0</v>
      </c>
      <c r="F128" s="104">
        <f t="shared" si="14"/>
        <v>0</v>
      </c>
      <c r="G128" s="104">
        <f t="shared" si="14"/>
        <v>0</v>
      </c>
      <c r="H128" s="104">
        <f t="shared" si="14"/>
        <v>0</v>
      </c>
      <c r="I128" s="104">
        <f t="shared" si="14"/>
        <v>0</v>
      </c>
      <c r="J128" s="104">
        <f t="shared" si="14"/>
        <v>0</v>
      </c>
      <c r="K128" s="104">
        <f t="shared" si="14"/>
        <v>0</v>
      </c>
      <c r="L128" s="104">
        <f t="shared" si="14"/>
        <v>0</v>
      </c>
      <c r="M128" s="104">
        <f t="shared" si="14"/>
        <v>0</v>
      </c>
      <c r="N128" s="104">
        <f t="shared" si="14"/>
        <v>0</v>
      </c>
      <c r="O128" s="119">
        <f t="shared" si="14"/>
        <v>0</v>
      </c>
    </row>
    <row r="129" spans="1:15">
      <c r="A129" s="273"/>
      <c r="B129" s="102" t="s">
        <v>4</v>
      </c>
      <c r="C129" s="104">
        <f t="shared" ref="C129:O129" si="15">HLOOKUP(C$121,$86:$104,9,FALSE)</f>
        <v>55.148218999999997</v>
      </c>
      <c r="D129" s="104">
        <f t="shared" si="15"/>
        <v>64.616387000000003</v>
      </c>
      <c r="E129" s="104">
        <f t="shared" si="15"/>
        <v>58.301254</v>
      </c>
      <c r="F129" s="104">
        <f t="shared" si="15"/>
        <v>58.388308000000002</v>
      </c>
      <c r="G129" s="104">
        <f t="shared" si="15"/>
        <v>48.070135000000001</v>
      </c>
      <c r="H129" s="104">
        <f t="shared" si="15"/>
        <v>38.159438000000002</v>
      </c>
      <c r="I129" s="104">
        <f t="shared" si="15"/>
        <v>28.287680999999999</v>
      </c>
      <c r="J129" s="104">
        <f t="shared" si="15"/>
        <v>21.457460999999999</v>
      </c>
      <c r="K129" s="104">
        <f t="shared" si="15"/>
        <v>26.531222</v>
      </c>
      <c r="L129" s="104">
        <f t="shared" si="15"/>
        <v>38.510109999999997</v>
      </c>
      <c r="M129" s="104">
        <f t="shared" si="15"/>
        <v>42.581280999999997</v>
      </c>
      <c r="N129" s="104">
        <f t="shared" si="15"/>
        <v>59.468370999999998</v>
      </c>
      <c r="O129" s="119">
        <f t="shared" si="15"/>
        <v>57.665291000000003</v>
      </c>
    </row>
    <row r="130" spans="1:15">
      <c r="A130" s="273"/>
      <c r="B130" s="110" t="s">
        <v>22</v>
      </c>
      <c r="C130" s="104">
        <f t="shared" ref="C130:O130" si="16">HLOOKUP(C$121,$86:$104,10,FALSE)</f>
        <v>0.242977</v>
      </c>
      <c r="D130" s="104">
        <f t="shared" si="16"/>
        <v>0.25375799999999998</v>
      </c>
      <c r="E130" s="104">
        <f t="shared" si="16"/>
        <v>0.13533500000000001</v>
      </c>
      <c r="F130" s="104">
        <f t="shared" si="16"/>
        <v>6.2700000000000006E-2</v>
      </c>
      <c r="G130" s="104">
        <f t="shared" si="16"/>
        <v>0.16319</v>
      </c>
      <c r="H130" s="104">
        <f t="shared" si="16"/>
        <v>0.72397699999999998</v>
      </c>
      <c r="I130" s="104">
        <f t="shared" si="16"/>
        <v>1.328557</v>
      </c>
      <c r="J130" s="104">
        <f t="shared" si="16"/>
        <v>0.812226</v>
      </c>
      <c r="K130" s="104">
        <f t="shared" si="16"/>
        <v>0.97993699999999995</v>
      </c>
      <c r="L130" s="104">
        <f t="shared" si="16"/>
        <v>0.94255900000000004</v>
      </c>
      <c r="M130" s="104">
        <f t="shared" si="16"/>
        <v>1.3661909999999999</v>
      </c>
      <c r="N130" s="104">
        <f t="shared" si="16"/>
        <v>1.581583</v>
      </c>
      <c r="O130" s="119">
        <f t="shared" si="16"/>
        <v>1.776745</v>
      </c>
    </row>
    <row r="131" spans="1:15">
      <c r="A131" s="273"/>
      <c r="B131" s="110" t="s">
        <v>23</v>
      </c>
      <c r="C131" s="104">
        <f t="shared" ref="C131:O131" si="17">HLOOKUP(C$121,$86:$104,11,FALSE)</f>
        <v>3.266893</v>
      </c>
      <c r="D131" s="104">
        <f t="shared" si="17"/>
        <v>4.1208809999999998</v>
      </c>
      <c r="E131" s="104">
        <f t="shared" si="17"/>
        <v>3.573118</v>
      </c>
      <c r="F131" s="104">
        <f t="shared" si="17"/>
        <v>3.1659009999999999</v>
      </c>
      <c r="G131" s="104">
        <f t="shared" si="17"/>
        <v>2.336195</v>
      </c>
      <c r="H131" s="104">
        <f t="shared" si="17"/>
        <v>3.0284080000000002</v>
      </c>
      <c r="I131" s="104">
        <f t="shared" si="17"/>
        <v>2.5220250000000002</v>
      </c>
      <c r="J131" s="104">
        <f t="shared" si="17"/>
        <v>3.7919230000000002</v>
      </c>
      <c r="K131" s="104">
        <f t="shared" si="17"/>
        <v>3.4251860000000001</v>
      </c>
      <c r="L131" s="104">
        <f t="shared" si="17"/>
        <v>1.3775310000000001</v>
      </c>
      <c r="M131" s="104">
        <f t="shared" si="17"/>
        <v>0.98716599999999999</v>
      </c>
      <c r="N131" s="104">
        <f t="shared" si="17"/>
        <v>2.6262699999999999</v>
      </c>
      <c r="O131" s="119">
        <f t="shared" si="17"/>
        <v>2.7262230000000001</v>
      </c>
    </row>
    <row r="132" spans="1:15">
      <c r="A132" s="273"/>
      <c r="B132" s="102" t="s">
        <v>47</v>
      </c>
      <c r="C132" s="104">
        <f t="shared" ref="C132:O132" si="18">HLOOKUP(C$121,$86:$104,13,FALSE)</f>
        <v>10.486427000000001</v>
      </c>
      <c r="D132" s="104">
        <f t="shared" si="18"/>
        <v>14.345347</v>
      </c>
      <c r="E132" s="104">
        <f t="shared" si="18"/>
        <v>13.9802175</v>
      </c>
      <c r="F132" s="104">
        <f t="shared" si="18"/>
        <v>11.851319</v>
      </c>
      <c r="G132" s="104">
        <f t="shared" si="18"/>
        <v>13.92998</v>
      </c>
      <c r="H132" s="104">
        <f t="shared" si="18"/>
        <v>8.0829000000000004</v>
      </c>
      <c r="I132" s="104">
        <f t="shared" si="18"/>
        <v>12.386824499999999</v>
      </c>
      <c r="J132" s="104">
        <f t="shared" si="18"/>
        <v>9.5741110000000003</v>
      </c>
      <c r="K132" s="104">
        <f t="shared" si="18"/>
        <v>8.3717509999999997</v>
      </c>
      <c r="L132" s="104">
        <f t="shared" si="18"/>
        <v>4.8198524999999997</v>
      </c>
      <c r="M132" s="104">
        <f t="shared" si="18"/>
        <v>9.7177954999999994</v>
      </c>
      <c r="N132" s="104">
        <f t="shared" si="18"/>
        <v>15.144128</v>
      </c>
      <c r="O132" s="119">
        <f t="shared" si="18"/>
        <v>11.267936000000001</v>
      </c>
    </row>
    <row r="133" spans="1:15">
      <c r="A133" s="273"/>
      <c r="B133" s="102" t="s">
        <v>46</v>
      </c>
      <c r="C133" s="104">
        <f t="shared" ref="C133:O133" si="19">HLOOKUP(C$121,$86:$104,12,FALSE)</f>
        <v>10.486427000000001</v>
      </c>
      <c r="D133" s="104">
        <f t="shared" si="19"/>
        <v>14.345347</v>
      </c>
      <c r="E133" s="104">
        <f t="shared" si="19"/>
        <v>13.9802175</v>
      </c>
      <c r="F133" s="104">
        <f t="shared" si="19"/>
        <v>11.851319</v>
      </c>
      <c r="G133" s="104">
        <f t="shared" si="19"/>
        <v>13.92998</v>
      </c>
      <c r="H133" s="104">
        <f t="shared" si="19"/>
        <v>8.0829000000000004</v>
      </c>
      <c r="I133" s="104">
        <f t="shared" si="19"/>
        <v>12.386824499999999</v>
      </c>
      <c r="J133" s="104">
        <f t="shared" si="19"/>
        <v>9.5741110000000003</v>
      </c>
      <c r="K133" s="104">
        <f t="shared" si="19"/>
        <v>8.3717509999999997</v>
      </c>
      <c r="L133" s="104">
        <f t="shared" si="19"/>
        <v>4.8198524999999997</v>
      </c>
      <c r="M133" s="104">
        <f t="shared" si="19"/>
        <v>9.7177954999999994</v>
      </c>
      <c r="N133" s="104">
        <f t="shared" si="19"/>
        <v>15.144128</v>
      </c>
      <c r="O133" s="119">
        <f t="shared" si="19"/>
        <v>11.267936000000001</v>
      </c>
    </row>
    <row r="134" spans="1:15">
      <c r="A134" s="273"/>
      <c r="B134" s="111" t="s">
        <v>2</v>
      </c>
      <c r="C134" s="159">
        <f>HLOOKUP(C$121,$86:$104,14,FALSE)</f>
        <v>367.45619199999999</v>
      </c>
      <c r="D134" s="159">
        <f t="shared" ref="D134:O134" si="20">HLOOKUP(D$121,$86:$104,14,FALSE)</f>
        <v>454.99467199999998</v>
      </c>
      <c r="E134" s="159">
        <f t="shared" si="20"/>
        <v>544.82002699999998</v>
      </c>
      <c r="F134" s="159">
        <f t="shared" si="20"/>
        <v>522.102799</v>
      </c>
      <c r="G134" s="159">
        <f t="shared" si="20"/>
        <v>438.49103700000001</v>
      </c>
      <c r="H134" s="159">
        <f t="shared" si="20"/>
        <v>381.30721899999998</v>
      </c>
      <c r="I134" s="159">
        <f t="shared" si="20"/>
        <v>340.57443599999999</v>
      </c>
      <c r="J134" s="159">
        <f t="shared" si="20"/>
        <v>346.93635899999998</v>
      </c>
      <c r="K134" s="159">
        <f t="shared" si="20"/>
        <v>362.55469099999999</v>
      </c>
      <c r="L134" s="159">
        <f t="shared" si="20"/>
        <v>297.97844199999997</v>
      </c>
      <c r="M134" s="159">
        <f t="shared" si="20"/>
        <v>360.83007900000001</v>
      </c>
      <c r="N134" s="159">
        <f t="shared" si="20"/>
        <v>343.03025600000001</v>
      </c>
      <c r="O134" s="160">
        <f t="shared" si="20"/>
        <v>381.11124999999998</v>
      </c>
    </row>
    <row r="135" spans="1:15">
      <c r="A135" s="273"/>
      <c r="B135" s="102" t="s">
        <v>95</v>
      </c>
      <c r="C135" s="104">
        <f>HLOOKUP(C$121,$86:$104,15,FALSE)</f>
        <v>8.0190000000000001E-3</v>
      </c>
      <c r="D135" s="104">
        <f t="shared" ref="D135:O135" si="21">HLOOKUP(D$121,$86:$104,15,FALSE)</f>
        <v>3.3307000000000003E-2</v>
      </c>
      <c r="E135" s="104">
        <f t="shared" si="21"/>
        <v>2.5804000000000001E-2</v>
      </c>
      <c r="F135" s="104">
        <f t="shared" si="21"/>
        <v>0</v>
      </c>
      <c r="G135" s="104">
        <f t="shared" si="21"/>
        <v>2.65E-3</v>
      </c>
      <c r="H135" s="104">
        <f t="shared" si="21"/>
        <v>1.1019999999999999E-3</v>
      </c>
      <c r="I135" s="104">
        <f t="shared" si="21"/>
        <v>1.536E-3</v>
      </c>
      <c r="J135" s="104">
        <f t="shared" si="21"/>
        <v>0</v>
      </c>
      <c r="K135" s="104">
        <f t="shared" si="21"/>
        <v>0</v>
      </c>
      <c r="L135" s="104">
        <f t="shared" si="21"/>
        <v>0</v>
      </c>
      <c r="M135" s="104">
        <f t="shared" si="21"/>
        <v>0</v>
      </c>
      <c r="N135" s="104">
        <f t="shared" si="21"/>
        <v>0</v>
      </c>
      <c r="O135" s="162">
        <f t="shared" si="21"/>
        <v>0</v>
      </c>
    </row>
    <row r="136" spans="1:15">
      <c r="A136" s="273"/>
      <c r="B136" s="102" t="s">
        <v>96</v>
      </c>
      <c r="C136" s="104">
        <f>HLOOKUP(C$121,$86:$104,16,FALSE)</f>
        <v>-2.7414000000000001E-2</v>
      </c>
      <c r="D136" s="104">
        <f t="shared" ref="D136:O136" si="22">HLOOKUP(D$121,$86:$104,16,FALSE)</f>
        <v>-6.6456000000000001E-2</v>
      </c>
      <c r="E136" s="104">
        <f t="shared" si="22"/>
        <v>-8.4402000000000005E-2</v>
      </c>
      <c r="F136" s="104">
        <f t="shared" si="22"/>
        <v>-3.7090000000000001E-3</v>
      </c>
      <c r="G136" s="104">
        <f t="shared" si="22"/>
        <v>-8.4089999999999998E-3</v>
      </c>
      <c r="H136" s="104">
        <f t="shared" si="22"/>
        <v>-6.4120000000000002E-3</v>
      </c>
      <c r="I136" s="104">
        <f t="shared" si="22"/>
        <v>-5.6010000000000001E-3</v>
      </c>
      <c r="J136" s="104">
        <f t="shared" si="22"/>
        <v>-4.0439999999999999E-3</v>
      </c>
      <c r="K136" s="104">
        <f t="shared" si="22"/>
        <v>-3.8699999999999997E-4</v>
      </c>
      <c r="L136" s="104">
        <f t="shared" si="22"/>
        <v>0</v>
      </c>
      <c r="M136" s="104">
        <f t="shared" si="22"/>
        <v>0</v>
      </c>
      <c r="N136" s="104">
        <f t="shared" si="22"/>
        <v>0</v>
      </c>
      <c r="O136" s="163">
        <f t="shared" si="22"/>
        <v>0</v>
      </c>
    </row>
    <row r="137" spans="1:15">
      <c r="A137" s="273"/>
      <c r="B137" s="102" t="s">
        <v>21</v>
      </c>
      <c r="C137" s="161">
        <f>HLOOKUP(C$121,$86:$104,17,FALSE)</f>
        <v>110.447626</v>
      </c>
      <c r="D137" s="161">
        <f t="shared" ref="D137:O137" si="23">HLOOKUP(D$121,$86:$104,17,FALSE)</f>
        <v>171.035324</v>
      </c>
      <c r="E137" s="161">
        <f t="shared" si="23"/>
        <v>188.42781500000001</v>
      </c>
      <c r="F137" s="161">
        <f t="shared" si="23"/>
        <v>208.61120199999999</v>
      </c>
      <c r="G137" s="161">
        <f t="shared" si="23"/>
        <v>166.21217300000001</v>
      </c>
      <c r="H137" s="161">
        <f t="shared" si="23"/>
        <v>119.248762</v>
      </c>
      <c r="I137" s="161">
        <f t="shared" si="23"/>
        <v>76.900411000000005</v>
      </c>
      <c r="J137" s="161">
        <f t="shared" si="23"/>
        <v>120.18883599999999</v>
      </c>
      <c r="K137" s="161">
        <f t="shared" si="23"/>
        <v>138.53626600000001</v>
      </c>
      <c r="L137" s="161">
        <f t="shared" si="23"/>
        <v>102.627172</v>
      </c>
      <c r="M137" s="161">
        <f t="shared" si="23"/>
        <v>104.897592</v>
      </c>
      <c r="N137" s="161">
        <f t="shared" si="23"/>
        <v>97.533116000000007</v>
      </c>
      <c r="O137" s="164">
        <f t="shared" si="23"/>
        <v>113.97348</v>
      </c>
    </row>
    <row r="138" spans="1:15">
      <c r="A138" s="273"/>
      <c r="B138" s="112" t="s">
        <v>1</v>
      </c>
      <c r="C138" s="113">
        <f>HLOOKUP(C$121,$86:$104,18,FALSE)</f>
        <v>477.88442300000003</v>
      </c>
      <c r="D138" s="113">
        <f t="shared" ref="D138:O138" si="24">HLOOKUP(D$121,$86:$104,18,FALSE)</f>
        <v>625.996847</v>
      </c>
      <c r="E138" s="113">
        <f t="shared" si="24"/>
        <v>733.18924400000003</v>
      </c>
      <c r="F138" s="113">
        <f t="shared" si="24"/>
        <v>730.71029199999998</v>
      </c>
      <c r="G138" s="113">
        <f t="shared" si="24"/>
        <v>604.697451</v>
      </c>
      <c r="H138" s="113">
        <f t="shared" si="24"/>
        <v>500.55067100000002</v>
      </c>
      <c r="I138" s="113">
        <f t="shared" si="24"/>
        <v>417.47078199999999</v>
      </c>
      <c r="J138" s="113">
        <f t="shared" si="24"/>
        <v>467.121151</v>
      </c>
      <c r="K138" s="113">
        <f t="shared" si="24"/>
        <v>501.09057000000001</v>
      </c>
      <c r="L138" s="113">
        <f t="shared" si="24"/>
        <v>400.605614</v>
      </c>
      <c r="M138" s="113">
        <f t="shared" si="24"/>
        <v>465.72767099999999</v>
      </c>
      <c r="N138" s="113">
        <f t="shared" si="24"/>
        <v>440.56337200000002</v>
      </c>
      <c r="O138" s="165">
        <f t="shared" si="24"/>
        <v>495.08472999999998</v>
      </c>
    </row>
    <row r="139" spans="1:15" ht="14.25">
      <c r="A139" s="274"/>
      <c r="B139" s="120" t="s">
        <v>66</v>
      </c>
      <c r="C139" s="121">
        <f>C124+C125+C127</f>
        <v>43.085017000000001</v>
      </c>
      <c r="D139" s="121">
        <f>D124+D125+D127</f>
        <v>82.837088999999992</v>
      </c>
      <c r="E139" s="121">
        <f t="shared" ref="E139:O139" si="25">E124+E125+E127</f>
        <v>120.582323</v>
      </c>
      <c r="F139" s="121">
        <f t="shared" si="25"/>
        <v>117.70911799999999</v>
      </c>
      <c r="G139" s="121">
        <f t="shared" si="25"/>
        <v>85.231729000000001</v>
      </c>
      <c r="H139" s="121">
        <f t="shared" si="25"/>
        <v>66.208546999999996</v>
      </c>
      <c r="I139" s="121">
        <f t="shared" si="25"/>
        <v>49.453113000000002</v>
      </c>
      <c r="J139" s="121">
        <f t="shared" si="25"/>
        <v>36.694375000000001</v>
      </c>
      <c r="K139" s="121">
        <f t="shared" si="25"/>
        <v>42.966481999999999</v>
      </c>
      <c r="L139" s="121">
        <f t="shared" si="25"/>
        <v>27.779554000000001</v>
      </c>
      <c r="M139" s="121">
        <f t="shared" si="25"/>
        <v>32.79</v>
      </c>
      <c r="N139" s="121">
        <f t="shared" si="25"/>
        <v>31.239136999999999</v>
      </c>
      <c r="O139" s="121">
        <f t="shared" si="25"/>
        <v>58.934716000000002</v>
      </c>
    </row>
    <row r="140" spans="1:15" ht="14.1" customHeight="1">
      <c r="A140" s="269" t="s">
        <v>68</v>
      </c>
      <c r="B140" s="122" t="s">
        <v>65</v>
      </c>
      <c r="C140" s="108" t="str">
        <f>TEXT(EDATE($A$2,-12),"mmm")&amp;".-"&amp;TEXT(EDATE($A$2,-12),"aa")</f>
        <v>may.-25</v>
      </c>
      <c r="D140" s="108" t="str">
        <f>TEXT(EDATE($A$2,-11),"mmm")&amp;".-"&amp;TEXT(EDATE($A$2,-11),"aa")</f>
        <v>jun.-25</v>
      </c>
      <c r="E140" s="108" t="str">
        <f>TEXT(EDATE($A$2,-10),"mmm")&amp;".-"&amp;TEXT(EDATE($A$2,-10),"aa")</f>
        <v>jul.-25</v>
      </c>
      <c r="F140" s="108" t="str">
        <f>TEXT(EDATE($A$2,-9),"mmm")&amp;".-"&amp;TEXT(EDATE($A$2,-9),"aa")</f>
        <v>ago.-25</v>
      </c>
      <c r="G140" s="108" t="str">
        <f>TEXT(EDATE($A$2,-8),"mmm")&amp;".-"&amp;TEXT(EDATE($A$2,-8),"aa")</f>
        <v>sep.-25</v>
      </c>
      <c r="H140" s="108" t="str">
        <f>TEXT(EDATE($A$2,-7),"mmm")&amp;".-"&amp;TEXT(EDATE($A$2,-7),"aa")</f>
        <v>oct.-25</v>
      </c>
      <c r="I140" s="108" t="str">
        <f>TEXT(EDATE($A$2,-6),"mmm")&amp;".-"&amp;TEXT(EDATE($A$2,-6),"aa")</f>
        <v>nov.-25</v>
      </c>
      <c r="J140" s="108" t="str">
        <f>TEXT(EDATE($A$2,-5),"mmm")&amp;".-"&amp;TEXT(EDATE($A$2,-5),"aa")</f>
        <v>dic.-25</v>
      </c>
      <c r="K140" s="108" t="str">
        <f>TEXT(EDATE($A$2,-4),"mmm")&amp;".-"&amp;TEXT(EDATE($A$2,-4),"aa")</f>
        <v>ene.-26</v>
      </c>
      <c r="L140" s="108" t="str">
        <f>TEXT(EDATE($A$2,-3),"mmm")&amp;".-"&amp;TEXT(EDATE($A$2,-3),"aa")</f>
        <v>feb.-26</v>
      </c>
      <c r="M140" s="108" t="str">
        <f>TEXT(EDATE($A$2,-2),"mmm")&amp;".-"&amp;TEXT(EDATE($A$2,-2),"aa")</f>
        <v>mar.-26</v>
      </c>
      <c r="N140" s="108" t="str">
        <f>TEXT(EDATE($A$2,-1),"mmm")&amp;".-"&amp;TEXT(EDATE($A$2,-1),"aa")</f>
        <v>abr.-26</v>
      </c>
      <c r="O140" s="109" t="str">
        <f>TEXT($A$2,"mmm")&amp;".-"&amp;TEXT($A$2,"aa")</f>
        <v>may.-26</v>
      </c>
    </row>
    <row r="141" spans="1:15" ht="15" customHeight="1">
      <c r="A141" s="270"/>
      <c r="B141" s="102" t="s">
        <v>12</v>
      </c>
      <c r="C141" s="104">
        <f>HLOOKUP(C$121,$86:$119,19,FALSE)</f>
        <v>0</v>
      </c>
      <c r="D141" s="104">
        <f t="shared" ref="D141:O141" si="26">HLOOKUP(D$121,$86:$119,19,FALSE)</f>
        <v>0</v>
      </c>
      <c r="E141" s="104">
        <f t="shared" si="26"/>
        <v>0</v>
      </c>
      <c r="F141" s="104">
        <f t="shared" si="26"/>
        <v>0</v>
      </c>
      <c r="G141" s="104">
        <f t="shared" si="26"/>
        <v>0</v>
      </c>
      <c r="H141" s="104">
        <f t="shared" si="26"/>
        <v>0</v>
      </c>
      <c r="I141" s="104">
        <f t="shared" si="26"/>
        <v>0</v>
      </c>
      <c r="J141" s="104">
        <f t="shared" si="26"/>
        <v>0</v>
      </c>
      <c r="K141" s="104">
        <f t="shared" si="26"/>
        <v>0</v>
      </c>
      <c r="L141" s="104">
        <f t="shared" si="26"/>
        <v>0</v>
      </c>
      <c r="M141" s="104">
        <f t="shared" si="26"/>
        <v>0</v>
      </c>
      <c r="N141" s="104">
        <f t="shared" si="26"/>
        <v>0</v>
      </c>
      <c r="O141" s="137">
        <f t="shared" si="26"/>
        <v>0</v>
      </c>
    </row>
    <row r="142" spans="1:15" ht="14.1" customHeight="1">
      <c r="A142" s="270"/>
      <c r="B142" s="102" t="s">
        <v>10</v>
      </c>
      <c r="C142" s="104">
        <f>HLOOKUP(C$121,$86:$119,20,FALSE)</f>
        <v>139.11880199999999</v>
      </c>
      <c r="D142" s="104">
        <f t="shared" ref="D142:O142" si="27">HLOOKUP(D$121,$86:$119,20,FALSE)</f>
        <v>133.454463</v>
      </c>
      <c r="E142" s="104">
        <f t="shared" si="27"/>
        <v>138.95366799999999</v>
      </c>
      <c r="F142" s="104">
        <f t="shared" si="27"/>
        <v>156.429901</v>
      </c>
      <c r="G142" s="104">
        <f t="shared" si="27"/>
        <v>146.533942</v>
      </c>
      <c r="H142" s="104">
        <f t="shared" si="27"/>
        <v>159.05462600000001</v>
      </c>
      <c r="I142" s="104">
        <f t="shared" si="27"/>
        <v>144.58958999999999</v>
      </c>
      <c r="J142" s="104">
        <f t="shared" si="27"/>
        <v>158.02685199999999</v>
      </c>
      <c r="K142" s="104">
        <f t="shared" si="27"/>
        <v>158.381069</v>
      </c>
      <c r="L142" s="104">
        <f t="shared" si="27"/>
        <v>143.06514300000001</v>
      </c>
      <c r="M142" s="104">
        <f t="shared" si="27"/>
        <v>149.59031300000001</v>
      </c>
      <c r="N142" s="104">
        <f t="shared" si="27"/>
        <v>153.416853</v>
      </c>
      <c r="O142" s="119">
        <f t="shared" si="27"/>
        <v>140.31111100000001</v>
      </c>
    </row>
    <row r="143" spans="1:15" ht="14.1" customHeight="1">
      <c r="A143" s="270"/>
      <c r="B143" s="102" t="s">
        <v>9</v>
      </c>
      <c r="C143" s="104">
        <f>HLOOKUP(C$121,$86:$119,21,FALSE)</f>
        <v>15.518791</v>
      </c>
      <c r="D143" s="104">
        <f t="shared" ref="D143:O143" si="28">HLOOKUP(D$121,$86:$119,21,FALSE)</f>
        <v>14.439681999999999</v>
      </c>
      <c r="E143" s="104">
        <f t="shared" si="28"/>
        <v>17.277450000000002</v>
      </c>
      <c r="F143" s="104">
        <f t="shared" si="28"/>
        <v>21.905804</v>
      </c>
      <c r="G143" s="104">
        <f t="shared" si="28"/>
        <v>21.204673</v>
      </c>
      <c r="H143" s="104">
        <f t="shared" si="28"/>
        <v>28.975633999999999</v>
      </c>
      <c r="I143" s="104">
        <f t="shared" si="28"/>
        <v>21.440819999999999</v>
      </c>
      <c r="J143" s="104">
        <f t="shared" si="28"/>
        <v>25.811325</v>
      </c>
      <c r="K143" s="104">
        <f t="shared" si="28"/>
        <v>28.873301000000001</v>
      </c>
      <c r="L143" s="104">
        <f t="shared" si="28"/>
        <v>25.555015999999998</v>
      </c>
      <c r="M143" s="104">
        <f t="shared" si="28"/>
        <v>29.612995000000002</v>
      </c>
      <c r="N143" s="104">
        <f t="shared" si="28"/>
        <v>34.690565999999997</v>
      </c>
      <c r="O143" s="119">
        <f t="shared" si="28"/>
        <v>21.324908000000001</v>
      </c>
    </row>
    <row r="144" spans="1:15" ht="14.1" customHeight="1">
      <c r="A144" s="270"/>
      <c r="B144" s="102" t="s">
        <v>8</v>
      </c>
      <c r="C144" s="104">
        <f>HLOOKUP(C$121,$86:$119,22,FALSE)</f>
        <v>81.823025999999999</v>
      </c>
      <c r="D144" s="104">
        <f t="shared" ref="D144:O144" si="29">HLOOKUP(D$121,$86:$119,22,FALSE)</f>
        <v>84.304407999999995</v>
      </c>
      <c r="E144" s="104">
        <f t="shared" si="29"/>
        <v>97.398498000000004</v>
      </c>
      <c r="F144" s="104">
        <f t="shared" si="29"/>
        <v>100.21077</v>
      </c>
      <c r="G144" s="104">
        <f t="shared" si="29"/>
        <v>99.346721000000002</v>
      </c>
      <c r="H144" s="104">
        <f t="shared" si="29"/>
        <v>125.06728200000001</v>
      </c>
      <c r="I144" s="104">
        <f t="shared" si="29"/>
        <v>112.30573</v>
      </c>
      <c r="J144" s="104">
        <f t="shared" si="29"/>
        <v>119.831412</v>
      </c>
      <c r="K144" s="104">
        <f t="shared" si="29"/>
        <v>117.60937199999999</v>
      </c>
      <c r="L144" s="104">
        <f t="shared" si="29"/>
        <v>92.890253999999999</v>
      </c>
      <c r="M144" s="104">
        <f t="shared" si="29"/>
        <v>82.571079999999995</v>
      </c>
      <c r="N144" s="104">
        <f t="shared" si="29"/>
        <v>106.513632</v>
      </c>
      <c r="O144" s="119">
        <f t="shared" si="29"/>
        <v>111.85987799999999</v>
      </c>
    </row>
    <row r="145" spans="1:26" ht="14.45" customHeight="1">
      <c r="A145" s="270"/>
      <c r="B145" s="102" t="s">
        <v>116</v>
      </c>
      <c r="C145" s="104">
        <f>HLOOKUP(C$121,$86:$119,23,FALSE)</f>
        <v>328.89233899999999</v>
      </c>
      <c r="D145" s="104">
        <f t="shared" ref="D145:O145" si="30">HLOOKUP(D$121,$86:$119,23,FALSE)</f>
        <v>284.16690399999999</v>
      </c>
      <c r="E145" s="104">
        <f t="shared" si="30"/>
        <v>316.70403900000002</v>
      </c>
      <c r="F145" s="104">
        <f t="shared" si="30"/>
        <v>340.02993600000002</v>
      </c>
      <c r="G145" s="104">
        <f t="shared" si="30"/>
        <v>307.60187999999999</v>
      </c>
      <c r="H145" s="104">
        <f t="shared" si="30"/>
        <v>357.47449</v>
      </c>
      <c r="I145" s="104">
        <f t="shared" si="30"/>
        <v>343.63677799999999</v>
      </c>
      <c r="J145" s="104">
        <f t="shared" si="30"/>
        <v>344.06825099999998</v>
      </c>
      <c r="K145" s="104">
        <f t="shared" si="30"/>
        <v>331.93350299999997</v>
      </c>
      <c r="L145" s="104">
        <f t="shared" si="30"/>
        <v>287.05643500000002</v>
      </c>
      <c r="M145" s="104">
        <f t="shared" si="30"/>
        <v>282.06847599999998</v>
      </c>
      <c r="N145" s="104">
        <f t="shared" si="30"/>
        <v>284.69147199999998</v>
      </c>
      <c r="O145" s="119">
        <f t="shared" si="30"/>
        <v>302.07158099999998</v>
      </c>
    </row>
    <row r="146" spans="1:26" ht="14.1" customHeight="1">
      <c r="A146" s="270"/>
      <c r="B146" s="102" t="s">
        <v>6</v>
      </c>
      <c r="C146" s="104">
        <f>HLOOKUP(C$121,$86:$119,24,FALSE)</f>
        <v>1.701465</v>
      </c>
      <c r="D146" s="104">
        <f t="shared" ref="D146:O146" si="31">HLOOKUP(D$121,$86:$119,24,FALSE)</f>
        <v>2.9528669999999999</v>
      </c>
      <c r="E146" s="104">
        <f t="shared" si="31"/>
        <v>3.2914970000000001</v>
      </c>
      <c r="F146" s="104">
        <f t="shared" si="31"/>
        <v>2.7481429999999998</v>
      </c>
      <c r="G146" s="104">
        <f t="shared" si="31"/>
        <v>2.5908169999999999</v>
      </c>
      <c r="H146" s="104">
        <f t="shared" si="31"/>
        <v>1.167157</v>
      </c>
      <c r="I146" s="104">
        <f t="shared" si="31"/>
        <v>0.94978899999999999</v>
      </c>
      <c r="J146" s="104">
        <f t="shared" si="31"/>
        <v>1.389267</v>
      </c>
      <c r="K146" s="104">
        <f t="shared" si="31"/>
        <v>1.2355400000000001</v>
      </c>
      <c r="L146" s="104">
        <f t="shared" si="31"/>
        <v>1.2530779999999999</v>
      </c>
      <c r="M146" s="104">
        <f t="shared" si="31"/>
        <v>2.036778</v>
      </c>
      <c r="N146" s="104">
        <f t="shared" si="31"/>
        <v>1.462315</v>
      </c>
      <c r="O146" s="119">
        <f t="shared" si="31"/>
        <v>1.65883</v>
      </c>
    </row>
    <row r="147" spans="1:26" ht="14.1" customHeight="1">
      <c r="A147" s="270"/>
      <c r="B147" s="102" t="s">
        <v>5</v>
      </c>
      <c r="C147" s="104">
        <f>HLOOKUP(C$121,$86:$119,25,FALSE)</f>
        <v>99.456442999999993</v>
      </c>
      <c r="D147" s="104">
        <f t="shared" ref="D147:O147" si="32">HLOOKUP(D$121,$86:$119,25,FALSE)</f>
        <v>143.551423</v>
      </c>
      <c r="E147" s="104">
        <f t="shared" si="32"/>
        <v>166.964561</v>
      </c>
      <c r="F147" s="104">
        <f t="shared" si="32"/>
        <v>149.445853</v>
      </c>
      <c r="G147" s="104">
        <f t="shared" si="32"/>
        <v>165.43614400000001</v>
      </c>
      <c r="H147" s="104">
        <f t="shared" si="32"/>
        <v>84.341824000000003</v>
      </c>
      <c r="I147" s="104">
        <f t="shared" si="32"/>
        <v>95.968860000000006</v>
      </c>
      <c r="J147" s="104">
        <f t="shared" si="32"/>
        <v>82.177819999999997</v>
      </c>
      <c r="K147" s="104">
        <f t="shared" si="32"/>
        <v>97.153379000000001</v>
      </c>
      <c r="L147" s="104">
        <f t="shared" si="32"/>
        <v>91.083347000000003</v>
      </c>
      <c r="M147" s="104">
        <f t="shared" si="32"/>
        <v>165.14311699999999</v>
      </c>
      <c r="N147" s="104">
        <f t="shared" si="32"/>
        <v>81.914609999999996</v>
      </c>
      <c r="O147" s="119">
        <f t="shared" si="32"/>
        <v>90.098500999999999</v>
      </c>
    </row>
    <row r="148" spans="1:26" ht="14.1" customHeight="1">
      <c r="A148" s="270"/>
      <c r="B148" s="102" t="s">
        <v>4</v>
      </c>
      <c r="C148" s="104">
        <f>HLOOKUP(C$121,$86:$119,26,FALSE)</f>
        <v>44.747520000000002</v>
      </c>
      <c r="D148" s="104">
        <f t="shared" ref="D148:O148" si="33">HLOOKUP(D$121,$86:$119,26,FALSE)</f>
        <v>42.657446</v>
      </c>
      <c r="E148" s="104">
        <f t="shared" si="33"/>
        <v>44.683625999999997</v>
      </c>
      <c r="F148" s="104">
        <f t="shared" si="33"/>
        <v>46.097631</v>
      </c>
      <c r="G148" s="104">
        <f t="shared" si="33"/>
        <v>39.592024000000002</v>
      </c>
      <c r="H148" s="104">
        <f t="shared" si="33"/>
        <v>35.989100999999998</v>
      </c>
      <c r="I148" s="104">
        <f t="shared" si="33"/>
        <v>32.078172000000002</v>
      </c>
      <c r="J148" s="104">
        <f t="shared" si="33"/>
        <v>31.976611999999999</v>
      </c>
      <c r="K148" s="104">
        <f t="shared" si="33"/>
        <v>33.762532</v>
      </c>
      <c r="L148" s="104">
        <f t="shared" si="33"/>
        <v>36.724344000000002</v>
      </c>
      <c r="M148" s="104">
        <f t="shared" si="33"/>
        <v>36.337868999999998</v>
      </c>
      <c r="N148" s="104">
        <f t="shared" si="33"/>
        <v>41.012202000000002</v>
      </c>
      <c r="O148" s="119">
        <f t="shared" si="33"/>
        <v>46.038113000000003</v>
      </c>
    </row>
    <row r="149" spans="1:26" ht="14.1" customHeight="1">
      <c r="A149" s="270"/>
      <c r="B149" s="102" t="s">
        <v>22</v>
      </c>
      <c r="C149" s="104">
        <f>HLOOKUP(C$121,$86:$119,27,FALSE)</f>
        <v>1.4553370000000001</v>
      </c>
      <c r="D149" s="104">
        <f t="shared" ref="D149:O149" si="34">HLOOKUP(D$121,$86:$119,27,FALSE)</f>
        <v>1.2805299999999999</v>
      </c>
      <c r="E149" s="104">
        <f t="shared" si="34"/>
        <v>1.163958</v>
      </c>
      <c r="F149" s="104">
        <f t="shared" si="34"/>
        <v>0.98014500000000004</v>
      </c>
      <c r="G149" s="104">
        <f t="shared" si="34"/>
        <v>0.36074600000000001</v>
      </c>
      <c r="H149" s="104">
        <f t="shared" si="34"/>
        <v>0.77339199999999997</v>
      </c>
      <c r="I149" s="104">
        <f t="shared" si="34"/>
        <v>0.74605500000000002</v>
      </c>
      <c r="J149" s="104">
        <f t="shared" si="34"/>
        <v>0.798705</v>
      </c>
      <c r="K149" s="104">
        <f t="shared" si="34"/>
        <v>0.99824000000000002</v>
      </c>
      <c r="L149" s="104">
        <f t="shared" si="34"/>
        <v>0.82315300000000002</v>
      </c>
      <c r="M149" s="104">
        <f t="shared" si="34"/>
        <v>0.86323799999999995</v>
      </c>
      <c r="N149" s="104">
        <f t="shared" si="34"/>
        <v>0.83965599999999996</v>
      </c>
      <c r="O149" s="119">
        <f t="shared" si="34"/>
        <v>1.0704100000000001</v>
      </c>
    </row>
    <row r="150" spans="1:26" ht="14.1" customHeight="1">
      <c r="A150" s="270"/>
      <c r="B150" s="111" t="s">
        <v>2</v>
      </c>
      <c r="C150" s="159">
        <f>HLOOKUP(C$121,$86:$119,28,FALSE)</f>
        <v>712.71372299999996</v>
      </c>
      <c r="D150" s="159">
        <f t="shared" ref="D150:O150" si="35">HLOOKUP(D$121,$86:$119,28,FALSE)</f>
        <v>706.80772300000001</v>
      </c>
      <c r="E150" s="159">
        <f t="shared" si="35"/>
        <v>786.43729699999994</v>
      </c>
      <c r="F150" s="159">
        <f t="shared" si="35"/>
        <v>817.84818299999995</v>
      </c>
      <c r="G150" s="159">
        <f t="shared" si="35"/>
        <v>782.66694700000005</v>
      </c>
      <c r="H150" s="159">
        <f t="shared" si="35"/>
        <v>792.84350600000005</v>
      </c>
      <c r="I150" s="159">
        <f t="shared" si="35"/>
        <v>751.71579399999996</v>
      </c>
      <c r="J150" s="159">
        <f t="shared" si="35"/>
        <v>764.08024399999999</v>
      </c>
      <c r="K150" s="159">
        <f t="shared" si="35"/>
        <v>769.94693600000005</v>
      </c>
      <c r="L150" s="159">
        <f t="shared" si="35"/>
        <v>678.45077000000003</v>
      </c>
      <c r="M150" s="159">
        <f t="shared" si="35"/>
        <v>748.22386600000004</v>
      </c>
      <c r="N150" s="159">
        <f t="shared" si="35"/>
        <v>704.54130599999996</v>
      </c>
      <c r="O150" s="160">
        <f t="shared" si="35"/>
        <v>714.43333199999995</v>
      </c>
    </row>
    <row r="151" spans="1:26" ht="14.1" customHeight="1">
      <c r="A151" s="270"/>
      <c r="B151" s="102" t="s">
        <v>95</v>
      </c>
      <c r="C151" s="104">
        <f>HLOOKUP(C$121,$86:$119,29,FALSE)</f>
        <v>0</v>
      </c>
      <c r="D151" s="104">
        <f t="shared" ref="D151:O151" si="36">HLOOKUP(D$121,$86:$119,29,FALSE)</f>
        <v>0</v>
      </c>
      <c r="E151" s="104">
        <f t="shared" si="36"/>
        <v>0</v>
      </c>
      <c r="F151" s="104">
        <f t="shared" si="36"/>
        <v>0</v>
      </c>
      <c r="G151" s="104">
        <f t="shared" si="36"/>
        <v>0</v>
      </c>
      <c r="H151" s="104">
        <f t="shared" si="36"/>
        <v>6.3000000000000003E-4</v>
      </c>
      <c r="I151" s="104">
        <f t="shared" si="36"/>
        <v>5.5779999999999996E-3</v>
      </c>
      <c r="J151" s="104">
        <f t="shared" si="36"/>
        <v>1.06E-4</v>
      </c>
      <c r="K151" s="104">
        <f t="shared" si="36"/>
        <v>9.9999999999999995E-7</v>
      </c>
      <c r="L151" s="104">
        <f t="shared" si="36"/>
        <v>3.7019000000000003E-2</v>
      </c>
      <c r="M151" s="104">
        <f t="shared" si="36"/>
        <v>4.1999999999999998E-5</v>
      </c>
      <c r="N151" s="104">
        <f t="shared" si="36"/>
        <v>0</v>
      </c>
      <c r="O151" s="119">
        <f t="shared" si="36"/>
        <v>7.0930000000000003E-3</v>
      </c>
    </row>
    <row r="152" spans="1:26" ht="14.1" customHeight="1">
      <c r="A152" s="270"/>
      <c r="B152" s="102" t="s">
        <v>96</v>
      </c>
      <c r="C152" s="104">
        <f>HLOOKUP(C$121,$86:$119,30,FALSE)</f>
        <v>0</v>
      </c>
      <c r="D152" s="104">
        <f t="shared" ref="D152:O152" si="37">HLOOKUP(D$121,$86:$119,30,FALSE)</f>
        <v>0</v>
      </c>
      <c r="E152" s="104">
        <f t="shared" si="37"/>
        <v>-1.4660000000000001E-3</v>
      </c>
      <c r="F152" s="104">
        <f t="shared" si="37"/>
        <v>-3.5109999999999998E-3</v>
      </c>
      <c r="G152" s="104">
        <f t="shared" si="37"/>
        <v>-8.7720000000000003E-3</v>
      </c>
      <c r="H152" s="104">
        <f t="shared" si="37"/>
        <v>-1.4031E-2</v>
      </c>
      <c r="I152" s="104">
        <f t="shared" si="37"/>
        <v>-1.7222999999999999E-2</v>
      </c>
      <c r="J152" s="104">
        <f t="shared" si="37"/>
        <v>-1.6891E-2</v>
      </c>
      <c r="K152" s="104">
        <f t="shared" si="37"/>
        <v>-1.1672999999999999E-2</v>
      </c>
      <c r="L152" s="104">
        <f t="shared" si="37"/>
        <v>-5.8445999999999998E-2</v>
      </c>
      <c r="M152" s="104">
        <f t="shared" si="37"/>
        <v>-1.3491E-2</v>
      </c>
      <c r="N152" s="104">
        <f t="shared" si="37"/>
        <v>-2.2315000000000002E-2</v>
      </c>
      <c r="O152" s="119">
        <f t="shared" si="37"/>
        <v>-2.2401000000000001E-2</v>
      </c>
    </row>
    <row r="153" spans="1:26" ht="14.1" customHeight="1">
      <c r="A153" s="270"/>
      <c r="B153" s="112" t="s">
        <v>1</v>
      </c>
      <c r="C153" s="113">
        <f>HLOOKUP(C$121,$86:$119,31,FALSE)</f>
        <v>712.71372299999996</v>
      </c>
      <c r="D153" s="113">
        <f t="shared" ref="D153:O153" si="38">HLOOKUP(D$121,$86:$119,31,FALSE)</f>
        <v>706.80772300000001</v>
      </c>
      <c r="E153" s="113">
        <f t="shared" si="38"/>
        <v>786.43583100000001</v>
      </c>
      <c r="F153" s="113">
        <f t="shared" si="38"/>
        <v>817.84467199999995</v>
      </c>
      <c r="G153" s="113">
        <f t="shared" si="38"/>
        <v>782.65817500000003</v>
      </c>
      <c r="H153" s="113">
        <f t="shared" si="38"/>
        <v>792.830105</v>
      </c>
      <c r="I153" s="113">
        <f t="shared" si="38"/>
        <v>751.70414900000003</v>
      </c>
      <c r="J153" s="113">
        <f t="shared" si="38"/>
        <v>764.06345899999997</v>
      </c>
      <c r="K153" s="113">
        <f t="shared" si="38"/>
        <v>769.93526399999996</v>
      </c>
      <c r="L153" s="113">
        <f t="shared" si="38"/>
        <v>678.42934300000002</v>
      </c>
      <c r="M153" s="113">
        <f t="shared" si="38"/>
        <v>748.21041700000001</v>
      </c>
      <c r="N153" s="113">
        <f t="shared" si="38"/>
        <v>704.51899100000003</v>
      </c>
      <c r="O153" s="166">
        <f t="shared" si="38"/>
        <v>714.41802399999995</v>
      </c>
    </row>
    <row r="154" spans="1:26" ht="14.1" customHeight="1">
      <c r="A154" s="270"/>
      <c r="B154" s="114"/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23"/>
    </row>
    <row r="155" spans="1:26" ht="14.1" customHeight="1">
      <c r="A155" s="271"/>
      <c r="B155" s="120" t="s">
        <v>66</v>
      </c>
      <c r="C155" s="124">
        <f>SUM(C142:C144)</f>
        <v>236.46061899999998</v>
      </c>
      <c r="D155" s="124">
        <f t="shared" ref="D155:O155" si="39">SUM(D142:D144)</f>
        <v>232.198553</v>
      </c>
      <c r="E155" s="124">
        <f t="shared" si="39"/>
        <v>253.629616</v>
      </c>
      <c r="F155" s="124">
        <f t="shared" si="39"/>
        <v>278.54647499999999</v>
      </c>
      <c r="G155" s="124">
        <f t="shared" si="39"/>
        <v>267.08533599999998</v>
      </c>
      <c r="H155" s="124">
        <f t="shared" si="39"/>
        <v>313.09754199999998</v>
      </c>
      <c r="I155" s="124">
        <f t="shared" si="39"/>
        <v>278.33614</v>
      </c>
      <c r="J155" s="124">
        <f t="shared" si="39"/>
        <v>303.66958899999997</v>
      </c>
      <c r="K155" s="124">
        <f t="shared" si="39"/>
        <v>304.863742</v>
      </c>
      <c r="L155" s="124">
        <f t="shared" si="39"/>
        <v>261.51041299999997</v>
      </c>
      <c r="M155" s="124">
        <f t="shared" si="39"/>
        <v>261.77438800000004</v>
      </c>
      <c r="N155" s="124">
        <f t="shared" si="39"/>
        <v>294.62105099999997</v>
      </c>
      <c r="O155" s="125">
        <f t="shared" si="39"/>
        <v>273.49589700000001</v>
      </c>
    </row>
    <row r="156" spans="1:26" ht="1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 s="149"/>
      <c r="B158" s="149" t="s">
        <v>60</v>
      </c>
      <c r="C158" s="284" t="s">
        <v>49</v>
      </c>
      <c r="D158" s="283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5">
      <c r="A159" s="149"/>
      <c r="B159" s="149" t="s">
        <v>61</v>
      </c>
      <c r="C159" s="182" t="s">
        <v>80</v>
      </c>
      <c r="D159" s="182" t="s">
        <v>81</v>
      </c>
      <c r="E159" s="182" t="s">
        <v>82</v>
      </c>
      <c r="F159" s="182" t="s">
        <v>83</v>
      </c>
      <c r="G159" s="182" t="s">
        <v>84</v>
      </c>
      <c r="H159" s="182" t="s">
        <v>85</v>
      </c>
      <c r="I159" s="182" t="s">
        <v>86</v>
      </c>
      <c r="J159" s="182" t="s">
        <v>87</v>
      </c>
      <c r="K159" s="182" t="s">
        <v>88</v>
      </c>
      <c r="L159" s="182" t="s">
        <v>89</v>
      </c>
      <c r="M159" s="182" t="s">
        <v>90</v>
      </c>
      <c r="N159" s="182" t="s">
        <v>91</v>
      </c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 t="s">
        <v>59</v>
      </c>
      <c r="B160" s="149" t="s">
        <v>92</v>
      </c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51" t="s">
        <v>150</v>
      </c>
      <c r="B161" s="151" t="s">
        <v>205</v>
      </c>
      <c r="C161" s="245">
        <v>3.5990000000000001E-2</v>
      </c>
      <c r="D161" s="245">
        <v>9.3000000000000005E-4</v>
      </c>
      <c r="E161" s="245">
        <v>2.3900000000000002E-3</v>
      </c>
      <c r="F161" s="245">
        <v>3.2669999999999998E-2</v>
      </c>
      <c r="G161" s="245">
        <v>2.8150000000000001E-2</v>
      </c>
      <c r="H161" s="245">
        <v>6.4999999999999997E-4</v>
      </c>
      <c r="I161" s="245">
        <v>7.8799999999999999E-3</v>
      </c>
      <c r="J161" s="245">
        <v>1.9619999999999999E-2</v>
      </c>
      <c r="K161" s="245">
        <v>4.6440000000000002E-2</v>
      </c>
      <c r="L161" s="245">
        <v>1.8400000000000001E-3</v>
      </c>
      <c r="M161" s="245">
        <v>1.6469999999999999E-2</v>
      </c>
      <c r="N161" s="245">
        <v>2.8129999999999999E-2</v>
      </c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A164" s="149"/>
      <c r="B164" s="149" t="s">
        <v>60</v>
      </c>
      <c r="C164" s="284" t="s">
        <v>50</v>
      </c>
      <c r="D164" s="283"/>
      <c r="E164" s="283"/>
      <c r="F164" s="283"/>
      <c r="G164" s="283"/>
      <c r="H164" s="283"/>
      <c r="I164" s="283"/>
      <c r="J164" s="283"/>
      <c r="K164" s="283"/>
      <c r="L164" s="283"/>
      <c r="M164" s="283"/>
      <c r="N164" s="283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5">
      <c r="A165" s="149"/>
      <c r="B165" s="149" t="s">
        <v>61</v>
      </c>
      <c r="C165" s="182" t="s">
        <v>80</v>
      </c>
      <c r="D165" s="182" t="s">
        <v>81</v>
      </c>
      <c r="E165" s="182" t="s">
        <v>82</v>
      </c>
      <c r="F165" s="182" t="s">
        <v>83</v>
      </c>
      <c r="G165" s="182" t="s">
        <v>84</v>
      </c>
      <c r="H165" s="182" t="s">
        <v>85</v>
      </c>
      <c r="I165" s="182" t="s">
        <v>86</v>
      </c>
      <c r="J165" s="182" t="s">
        <v>87</v>
      </c>
      <c r="K165" s="182" t="s">
        <v>88</v>
      </c>
      <c r="L165" s="182" t="s">
        <v>89</v>
      </c>
      <c r="M165" s="182" t="s">
        <v>90</v>
      </c>
      <c r="N165" s="182" t="s">
        <v>91</v>
      </c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5">
      <c r="A166" s="149" t="s">
        <v>59</v>
      </c>
      <c r="B166" s="149" t="s">
        <v>92</v>
      </c>
      <c r="C166" s="150"/>
      <c r="D166" s="150"/>
      <c r="E166" s="150"/>
      <c r="F166" s="150"/>
      <c r="G166" s="150"/>
      <c r="H166" s="150"/>
      <c r="I166" s="150"/>
      <c r="J166" s="150"/>
      <c r="K166" s="150"/>
      <c r="L166" s="150"/>
      <c r="M166" s="150"/>
      <c r="N166" s="150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5">
      <c r="A167" s="151" t="s">
        <v>150</v>
      </c>
      <c r="B167" s="151" t="s">
        <v>205</v>
      </c>
      <c r="C167" s="245">
        <v>2.3900000000000002E-3</v>
      </c>
      <c r="D167" s="245">
        <v>-3.7200000000000002E-3</v>
      </c>
      <c r="E167" s="245">
        <v>-1.2E-4</v>
      </c>
      <c r="F167" s="245">
        <v>6.2300000000000003E-3</v>
      </c>
      <c r="G167" s="245">
        <v>9.6200000000000001E-3</v>
      </c>
      <c r="H167" s="245">
        <v>-2.7E-4</v>
      </c>
      <c r="I167" s="245">
        <v>1.42E-3</v>
      </c>
      <c r="J167" s="245">
        <v>8.4700000000000001E-3</v>
      </c>
      <c r="K167" s="245">
        <v>1.6719999999999999E-2</v>
      </c>
      <c r="L167" s="245">
        <v>1.0000000000000001E-5</v>
      </c>
      <c r="M167" s="245">
        <v>1.82E-3</v>
      </c>
      <c r="N167" s="245">
        <v>1.489E-2</v>
      </c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1:26" ht="15">
      <c r="B169" s="218" t="s">
        <v>139</v>
      </c>
      <c r="C169"/>
      <c r="D169"/>
      <c r="E169"/>
      <c r="F169"/>
      <c r="G169"/>
      <c r="H169"/>
      <c r="I169"/>
      <c r="J169"/>
      <c r="K169"/>
      <c r="L169"/>
      <c r="M169"/>
      <c r="N169"/>
    </row>
    <row r="170" spans="1:26">
      <c r="B170" s="275" t="s">
        <v>65</v>
      </c>
      <c r="C170" s="108" t="str">
        <f>TEXT(EDATE(D121,-1),"mmmm aaaa")</f>
        <v>mayo 2025</v>
      </c>
      <c r="D170" s="108" t="str">
        <f t="shared" ref="D170:N170" si="40">TEXT(EDATE(E121,-1),"mmmm aaaa")</f>
        <v>junio 2025</v>
      </c>
      <c r="E170" s="108" t="str">
        <f t="shared" si="40"/>
        <v>julio 2025</v>
      </c>
      <c r="F170" s="108" t="str">
        <f t="shared" si="40"/>
        <v>agosto 2025</v>
      </c>
      <c r="G170" s="108" t="str">
        <f t="shared" si="40"/>
        <v>septiembre 2025</v>
      </c>
      <c r="H170" s="108" t="str">
        <f t="shared" si="40"/>
        <v>octubre 2025</v>
      </c>
      <c r="I170" s="108" t="str">
        <f t="shared" si="40"/>
        <v>noviembre 2025</v>
      </c>
      <c r="J170" s="108" t="str">
        <f t="shared" si="40"/>
        <v>diciembre 2025</v>
      </c>
      <c r="K170" s="108" t="str">
        <f t="shared" si="40"/>
        <v>enero 2026</v>
      </c>
      <c r="L170" s="108" t="str">
        <f t="shared" si="40"/>
        <v>febrero 2026</v>
      </c>
      <c r="M170" s="108" t="str">
        <f t="shared" si="40"/>
        <v>marzo 2026</v>
      </c>
      <c r="N170" s="108" t="str">
        <f t="shared" si="40"/>
        <v>abril 2026</v>
      </c>
      <c r="O170" s="108" t="str">
        <f>A2</f>
        <v>Mayo 2026</v>
      </c>
    </row>
    <row r="171" spans="1:26">
      <c r="B171" s="276"/>
      <c r="C171" s="116" t="str">
        <f>MID(UPPER(TEXT(C121,"mmm")),1,1)</f>
        <v>M</v>
      </c>
      <c r="D171" s="116" t="str">
        <f t="shared" ref="D171:N171" si="41">MID(UPPER(TEXT(D121,"mmm")),1,1)</f>
        <v>J</v>
      </c>
      <c r="E171" s="116" t="str">
        <f t="shared" si="41"/>
        <v>J</v>
      </c>
      <c r="F171" s="116" t="str">
        <f t="shared" si="41"/>
        <v>A</v>
      </c>
      <c r="G171" s="116" t="str">
        <f t="shared" si="41"/>
        <v>S</v>
      </c>
      <c r="H171" s="116" t="str">
        <f t="shared" si="41"/>
        <v>O</v>
      </c>
      <c r="I171" s="116" t="str">
        <f t="shared" si="41"/>
        <v>N</v>
      </c>
      <c r="J171" s="116" t="str">
        <f t="shared" si="41"/>
        <v>D</v>
      </c>
      <c r="K171" s="116" t="str">
        <f t="shared" si="41"/>
        <v>E</v>
      </c>
      <c r="L171" s="116" t="str">
        <f t="shared" si="41"/>
        <v>F</v>
      </c>
      <c r="M171" s="116" t="str">
        <f t="shared" si="41"/>
        <v>M</v>
      </c>
      <c r="N171" s="116" t="str">
        <f t="shared" si="41"/>
        <v>A</v>
      </c>
      <c r="O171" s="116" t="str">
        <f t="shared" ref="O171" si="42">MID(UPPER(TEXT(O121,"mmm")),1,1)</f>
        <v>M</v>
      </c>
    </row>
    <row r="172" spans="1:26" ht="14.45" customHeight="1">
      <c r="A172" s="268" t="s">
        <v>17</v>
      </c>
      <c r="B172" s="102" t="s">
        <v>95</v>
      </c>
      <c r="C172" s="216">
        <f>HLOOKUP(C$170,$86:$103,15,FALSE)*1000</f>
        <v>8.0190000000000001</v>
      </c>
      <c r="D172" s="216">
        <f t="shared" ref="D172:O172" si="43">HLOOKUP(D$170,$86:$103,15,FALSE)*1000</f>
        <v>33.307000000000002</v>
      </c>
      <c r="E172" s="216">
        <f t="shared" si="43"/>
        <v>25.804000000000002</v>
      </c>
      <c r="F172" s="216">
        <f t="shared" si="43"/>
        <v>0</v>
      </c>
      <c r="G172" s="216">
        <f t="shared" si="43"/>
        <v>2.65</v>
      </c>
      <c r="H172" s="216">
        <f t="shared" si="43"/>
        <v>1.1019999999999999</v>
      </c>
      <c r="I172" s="216">
        <f t="shared" si="43"/>
        <v>1.536</v>
      </c>
      <c r="J172" s="216">
        <f t="shared" si="43"/>
        <v>0</v>
      </c>
      <c r="K172" s="216">
        <f t="shared" si="43"/>
        <v>0</v>
      </c>
      <c r="L172" s="216">
        <f t="shared" si="43"/>
        <v>0</v>
      </c>
      <c r="M172" s="216">
        <f t="shared" si="43"/>
        <v>0</v>
      </c>
      <c r="N172" s="216">
        <f t="shared" si="43"/>
        <v>0</v>
      </c>
      <c r="O172" s="216">
        <f t="shared" si="43"/>
        <v>0</v>
      </c>
      <c r="P172" s="201"/>
    </row>
    <row r="173" spans="1:26" ht="14.45" customHeight="1">
      <c r="A173" s="268"/>
      <c r="B173" s="102" t="s">
        <v>96</v>
      </c>
      <c r="C173" s="216">
        <f>HLOOKUP(C$121,$86:$103,16,FALSE)*1000</f>
        <v>-27.414000000000001</v>
      </c>
      <c r="D173" s="216">
        <f t="shared" ref="D173:O173" si="44">HLOOKUP(D$121,$86:$103,16,FALSE)*1000</f>
        <v>-66.456000000000003</v>
      </c>
      <c r="E173" s="216">
        <f t="shared" si="44"/>
        <v>-84.402000000000001</v>
      </c>
      <c r="F173" s="216">
        <f t="shared" si="44"/>
        <v>-3.7090000000000001</v>
      </c>
      <c r="G173" s="216">
        <f t="shared" si="44"/>
        <v>-8.4089999999999989</v>
      </c>
      <c r="H173" s="216">
        <f t="shared" si="44"/>
        <v>-6.4119999999999999</v>
      </c>
      <c r="I173" s="216">
        <f t="shared" si="44"/>
        <v>-5.601</v>
      </c>
      <c r="J173" s="216">
        <f t="shared" si="44"/>
        <v>-4.0439999999999996</v>
      </c>
      <c r="K173" s="216">
        <f t="shared" si="44"/>
        <v>-0.38699999999999996</v>
      </c>
      <c r="L173" s="216">
        <f t="shared" si="44"/>
        <v>0</v>
      </c>
      <c r="M173" s="216">
        <f t="shared" si="44"/>
        <v>0</v>
      </c>
      <c r="N173" s="216">
        <f t="shared" si="44"/>
        <v>0</v>
      </c>
      <c r="O173" s="216">
        <f t="shared" si="44"/>
        <v>0</v>
      </c>
      <c r="P173" s="201"/>
    </row>
    <row r="174" spans="1:26" ht="14.45" customHeight="1">
      <c r="A174" s="268"/>
      <c r="B174" s="111" t="s">
        <v>122</v>
      </c>
      <c r="C174" s="217">
        <f>SUM(C172:C173)</f>
        <v>-19.395000000000003</v>
      </c>
      <c r="D174" s="217">
        <f t="shared" ref="D174:O174" si="45">SUM(D172:D173)</f>
        <v>-33.149000000000001</v>
      </c>
      <c r="E174" s="217">
        <f t="shared" si="45"/>
        <v>-58.597999999999999</v>
      </c>
      <c r="F174" s="217">
        <f t="shared" si="45"/>
        <v>-3.7090000000000001</v>
      </c>
      <c r="G174" s="217">
        <f t="shared" si="45"/>
        <v>-5.7589999999999986</v>
      </c>
      <c r="H174" s="217">
        <f t="shared" si="45"/>
        <v>-5.3100000000000005</v>
      </c>
      <c r="I174" s="217">
        <f t="shared" si="45"/>
        <v>-4.0649999999999995</v>
      </c>
      <c r="J174" s="217">
        <f t="shared" si="45"/>
        <v>-4.0439999999999996</v>
      </c>
      <c r="K174" s="217">
        <f t="shared" si="45"/>
        <v>-0.38699999999999996</v>
      </c>
      <c r="L174" s="217">
        <f t="shared" si="45"/>
        <v>0</v>
      </c>
      <c r="M174" s="217">
        <f t="shared" si="45"/>
        <v>0</v>
      </c>
      <c r="N174" s="217">
        <f t="shared" si="45"/>
        <v>0</v>
      </c>
      <c r="O174" s="217">
        <f t="shared" si="45"/>
        <v>0</v>
      </c>
    </row>
    <row r="175" spans="1:26">
      <c r="A175" s="268" t="s">
        <v>16</v>
      </c>
      <c r="B175" s="102" t="s">
        <v>95</v>
      </c>
      <c r="C175" s="216">
        <f>HLOOKUP(C$170,$86:$116,29,FALSE)*1000</f>
        <v>0</v>
      </c>
      <c r="D175" s="216">
        <f t="shared" ref="D175:O175" si="46">HLOOKUP(D$170,$86:$116,29,FALSE)*1000</f>
        <v>0</v>
      </c>
      <c r="E175" s="216">
        <f t="shared" si="46"/>
        <v>0</v>
      </c>
      <c r="F175" s="216">
        <f t="shared" si="46"/>
        <v>0</v>
      </c>
      <c r="G175" s="216">
        <f t="shared" si="46"/>
        <v>0</v>
      </c>
      <c r="H175" s="216">
        <f t="shared" si="46"/>
        <v>0.63</v>
      </c>
      <c r="I175" s="216">
        <f t="shared" si="46"/>
        <v>5.5779999999999994</v>
      </c>
      <c r="J175" s="216">
        <f t="shared" si="46"/>
        <v>0.106</v>
      </c>
      <c r="K175" s="216">
        <f t="shared" si="46"/>
        <v>1E-3</v>
      </c>
      <c r="L175" s="216">
        <f t="shared" si="46"/>
        <v>37.019000000000005</v>
      </c>
      <c r="M175" s="216">
        <f t="shared" si="46"/>
        <v>4.1999999999999996E-2</v>
      </c>
      <c r="N175" s="216">
        <f t="shared" si="46"/>
        <v>0</v>
      </c>
      <c r="O175" s="216">
        <f t="shared" si="46"/>
        <v>7.093</v>
      </c>
      <c r="P175" s="201"/>
    </row>
    <row r="176" spans="1:26">
      <c r="A176" s="268"/>
      <c r="B176" s="102" t="s">
        <v>96</v>
      </c>
      <c r="C176" s="216">
        <f>HLOOKUP(C$170,$86:$116,30,FALSE)*1000</f>
        <v>0</v>
      </c>
      <c r="D176" s="216">
        <f t="shared" ref="D176:O176" si="47">HLOOKUP(D$170,$86:$116,30,FALSE)*1000</f>
        <v>0</v>
      </c>
      <c r="E176" s="216">
        <f t="shared" si="47"/>
        <v>-1.466</v>
      </c>
      <c r="F176" s="216">
        <f t="shared" si="47"/>
        <v>-3.5109999999999997</v>
      </c>
      <c r="G176" s="216">
        <f t="shared" si="47"/>
        <v>-8.7720000000000002</v>
      </c>
      <c r="H176" s="216">
        <f t="shared" si="47"/>
        <v>-14.031000000000001</v>
      </c>
      <c r="I176" s="216">
        <f t="shared" si="47"/>
        <v>-17.222999999999999</v>
      </c>
      <c r="J176" s="216">
        <f t="shared" si="47"/>
        <v>-16.890999999999998</v>
      </c>
      <c r="K176" s="216">
        <f t="shared" si="47"/>
        <v>-11.673</v>
      </c>
      <c r="L176" s="216">
        <f t="shared" si="47"/>
        <v>-58.445999999999998</v>
      </c>
      <c r="M176" s="216">
        <f t="shared" si="47"/>
        <v>-13.491</v>
      </c>
      <c r="N176" s="216">
        <f t="shared" si="47"/>
        <v>-22.315000000000001</v>
      </c>
      <c r="O176" s="216">
        <f t="shared" si="47"/>
        <v>-22.401</v>
      </c>
      <c r="P176" s="201"/>
    </row>
    <row r="177" spans="1:15">
      <c r="A177" s="268"/>
      <c r="B177" s="111" t="s">
        <v>122</v>
      </c>
      <c r="C177" s="217">
        <f>SUM(C175:C176)</f>
        <v>0</v>
      </c>
      <c r="D177" s="217">
        <f t="shared" ref="D177:O177" si="48">SUM(D175:D176)</f>
        <v>0</v>
      </c>
      <c r="E177" s="217">
        <f t="shared" si="48"/>
        <v>-1.466</v>
      </c>
      <c r="F177" s="217">
        <f t="shared" si="48"/>
        <v>-3.5109999999999997</v>
      </c>
      <c r="G177" s="217">
        <f t="shared" si="48"/>
        <v>-8.7720000000000002</v>
      </c>
      <c r="H177" s="217">
        <f t="shared" si="48"/>
        <v>-13.401</v>
      </c>
      <c r="I177" s="217">
        <f t="shared" si="48"/>
        <v>-11.645</v>
      </c>
      <c r="J177" s="217">
        <f t="shared" si="48"/>
        <v>-16.784999999999997</v>
      </c>
      <c r="K177" s="217">
        <f t="shared" si="48"/>
        <v>-11.672000000000001</v>
      </c>
      <c r="L177" s="217">
        <f t="shared" si="48"/>
        <v>-21.426999999999992</v>
      </c>
      <c r="M177" s="217">
        <f t="shared" si="48"/>
        <v>-13.449</v>
      </c>
      <c r="N177" s="217">
        <f t="shared" si="48"/>
        <v>-22.315000000000001</v>
      </c>
      <c r="O177" s="217">
        <f t="shared" si="48"/>
        <v>-15.308</v>
      </c>
    </row>
    <row r="178" spans="1:15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5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ht="1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1:15" ht="1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1:15" ht="1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1:15" ht="1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1:15" ht="1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</row>
  </sheetData>
  <mergeCells count="18">
    <mergeCell ref="B4:AG4"/>
    <mergeCell ref="B5:I5"/>
    <mergeCell ref="J5:Q5"/>
    <mergeCell ref="R5:Y5"/>
    <mergeCell ref="Z5:AG5"/>
    <mergeCell ref="B30:C30"/>
    <mergeCell ref="B170:B171"/>
    <mergeCell ref="A172:A174"/>
    <mergeCell ref="B29:C29"/>
    <mergeCell ref="C158:N158"/>
    <mergeCell ref="C164:N164"/>
    <mergeCell ref="A104:A117"/>
    <mergeCell ref="C85:T85"/>
    <mergeCell ref="A175:A177"/>
    <mergeCell ref="A140:A155"/>
    <mergeCell ref="A123:A139"/>
    <mergeCell ref="B121:B122"/>
    <mergeCell ref="A88:A10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D67F-C713-496B-B28C-8C55E200B498}">
  <dimension ref="A1:O159"/>
  <sheetViews>
    <sheetView workbookViewId="0">
      <selection activeCell="C159" sqref="C159"/>
    </sheetView>
  </sheetViews>
  <sheetFormatPr baseColWidth="10" defaultRowHeight="15"/>
  <cols>
    <col min="1" max="1" width="31" bestFit="1" customWidth="1"/>
    <col min="2" max="2" width="19.28515625" bestFit="1" customWidth="1"/>
    <col min="3" max="3" width="19.5703125" bestFit="1" customWidth="1"/>
    <col min="4" max="4" width="8.5703125" bestFit="1" customWidth="1"/>
    <col min="5" max="5" width="10.5703125" bestFit="1" customWidth="1"/>
    <col min="6" max="6" width="14.140625" bestFit="1" customWidth="1"/>
    <col min="7" max="7" width="11.140625" bestFit="1" customWidth="1"/>
    <col min="8" max="8" width="13.42578125" bestFit="1" customWidth="1"/>
    <col min="9" max="9" width="12.85546875" bestFit="1" customWidth="1"/>
    <col min="10" max="10" width="9.42578125" bestFit="1" customWidth="1"/>
    <col min="11" max="11" width="11.140625" bestFit="1" customWidth="1"/>
    <col min="12" max="12" width="9.7109375" bestFit="1" customWidth="1"/>
    <col min="13" max="13" width="8.5703125" bestFit="1" customWidth="1"/>
    <col min="14" max="14" width="9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150</v>
      </c>
      <c r="B2" s="127" t="s">
        <v>205</v>
      </c>
    </row>
    <row r="4" spans="1:15">
      <c r="A4" s="246" t="s">
        <v>156</v>
      </c>
      <c r="B4" s="246" t="s">
        <v>49</v>
      </c>
    </row>
    <row r="5" spans="1:15">
      <c r="A5" s="149" t="s">
        <v>61</v>
      </c>
      <c r="B5" s="284" t="s">
        <v>157</v>
      </c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</row>
    <row r="6" spans="1:15">
      <c r="A6" s="149" t="s">
        <v>59</v>
      </c>
      <c r="B6" s="182" t="s">
        <v>158</v>
      </c>
      <c r="C6" s="182" t="s">
        <v>159</v>
      </c>
      <c r="D6" s="182" t="s">
        <v>160</v>
      </c>
      <c r="E6" s="182" t="s">
        <v>161</v>
      </c>
      <c r="F6" s="182" t="s">
        <v>162</v>
      </c>
      <c r="G6" s="182" t="s">
        <v>163</v>
      </c>
      <c r="H6" s="182" t="s">
        <v>164</v>
      </c>
      <c r="I6" s="182" t="s">
        <v>165</v>
      </c>
      <c r="J6" s="182" t="s">
        <v>166</v>
      </c>
      <c r="K6" s="182" t="s">
        <v>167</v>
      </c>
      <c r="L6" s="182" t="s">
        <v>168</v>
      </c>
      <c r="M6" s="182" t="s">
        <v>204</v>
      </c>
      <c r="N6" s="182" t="s">
        <v>214</v>
      </c>
    </row>
    <row r="7" spans="1:15">
      <c r="A7" s="149" t="s">
        <v>169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7">
        <v>3.649</v>
      </c>
      <c r="C8" s="247">
        <v>3.649</v>
      </c>
      <c r="D8" s="247">
        <v>3.649</v>
      </c>
      <c r="E8" s="247">
        <v>3.649</v>
      </c>
      <c r="F8" s="247">
        <v>3.649</v>
      </c>
      <c r="G8" s="247">
        <v>3.649</v>
      </c>
      <c r="H8" s="247">
        <v>3.649</v>
      </c>
      <c r="I8" s="247">
        <v>3.649</v>
      </c>
      <c r="J8" s="247">
        <v>3.649</v>
      </c>
      <c r="K8" s="247">
        <v>3.649</v>
      </c>
      <c r="L8" s="247">
        <v>3.649</v>
      </c>
      <c r="M8" s="247">
        <v>3.649</v>
      </c>
      <c r="N8" s="247">
        <v>3.649</v>
      </c>
    </row>
    <row r="9" spans="1:15">
      <c r="A9" s="151" t="s">
        <v>5</v>
      </c>
      <c r="B9" s="247">
        <v>5.0000000000000001E-3</v>
      </c>
      <c r="C9" s="247">
        <v>5.0000000000000001E-3</v>
      </c>
      <c r="D9" s="247">
        <v>5.0000000000000001E-3</v>
      </c>
      <c r="E9" s="247">
        <v>5.0000000000000001E-3</v>
      </c>
      <c r="F9" s="247">
        <v>5.0000000000000001E-3</v>
      </c>
      <c r="G9" s="247">
        <v>5.0000000000000001E-3</v>
      </c>
      <c r="H9" s="247">
        <v>5.0000000000000001E-3</v>
      </c>
      <c r="I9" s="247">
        <v>5.0000000000000001E-3</v>
      </c>
      <c r="J9" s="247">
        <v>5.0000000000000001E-3</v>
      </c>
      <c r="K9" s="247">
        <v>5.0000000000000001E-3</v>
      </c>
      <c r="L9" s="247">
        <v>5.0000000000000001E-3</v>
      </c>
      <c r="M9" s="247">
        <v>5.0000000000000001E-3</v>
      </c>
      <c r="N9" s="247">
        <v>5.0000000000000001E-3</v>
      </c>
    </row>
    <row r="10" spans="1:15">
      <c r="A10" s="151" t="s">
        <v>170</v>
      </c>
      <c r="B10" s="247">
        <v>3.9319999999999999</v>
      </c>
      <c r="C10" s="247">
        <v>6.0759999999999996</v>
      </c>
      <c r="D10" s="247">
        <v>6.0759999999999996</v>
      </c>
      <c r="E10" s="247">
        <v>6.0759999999999996</v>
      </c>
      <c r="F10" s="247">
        <v>6.0759999999999996</v>
      </c>
      <c r="G10" s="247">
        <v>6.0759999999999996</v>
      </c>
      <c r="H10" s="247">
        <v>6.0759999999999996</v>
      </c>
      <c r="I10" s="247">
        <v>6.0759999999999996</v>
      </c>
      <c r="J10" s="247">
        <v>6.0759999999999996</v>
      </c>
      <c r="K10" s="247">
        <v>6.0759999999999996</v>
      </c>
      <c r="L10" s="247">
        <v>6.0759999999999996</v>
      </c>
      <c r="M10" s="247">
        <v>6.0759999999999996</v>
      </c>
      <c r="N10" s="247">
        <v>6.0759999999999996</v>
      </c>
    </row>
    <row r="11" spans="1:15">
      <c r="A11" s="151" t="s">
        <v>171</v>
      </c>
      <c r="B11" s="247">
        <v>172.19525899999999</v>
      </c>
      <c r="C11" s="247">
        <v>174.44350900000001</v>
      </c>
      <c r="D11" s="247">
        <v>185.23975200000001</v>
      </c>
      <c r="E11" s="247">
        <v>186.762722</v>
      </c>
      <c r="F11" s="247">
        <v>190.86327399999999</v>
      </c>
      <c r="G11" s="247">
        <v>194.63301899999999</v>
      </c>
      <c r="H11" s="247">
        <v>196.905719</v>
      </c>
      <c r="I11" s="247">
        <v>199.123884</v>
      </c>
      <c r="J11" s="247">
        <v>201.02157399999999</v>
      </c>
      <c r="K11" s="247">
        <v>203.135954</v>
      </c>
      <c r="L11" s="247">
        <v>205.71820700000001</v>
      </c>
      <c r="M11" s="247">
        <v>208.77018200000001</v>
      </c>
      <c r="N11" s="247">
        <v>208.77018200000001</v>
      </c>
    </row>
    <row r="12" spans="1:15">
      <c r="A12" s="151" t="s">
        <v>172</v>
      </c>
      <c r="B12" s="247">
        <v>5.0000000000000001E-3</v>
      </c>
      <c r="C12" s="247">
        <v>5.0000000000000001E-3</v>
      </c>
      <c r="D12" s="247">
        <v>5.0000000000000001E-3</v>
      </c>
      <c r="E12" s="247">
        <v>5.0000000000000001E-3</v>
      </c>
      <c r="F12" s="247">
        <v>5.0000000000000001E-3</v>
      </c>
      <c r="G12" s="247">
        <v>5.0000000000000001E-3</v>
      </c>
      <c r="H12" s="247">
        <v>5.0000000000000001E-3</v>
      </c>
      <c r="I12" s="247">
        <v>5.0000000000000001E-3</v>
      </c>
      <c r="J12" s="247">
        <v>5.0000000000000001E-3</v>
      </c>
      <c r="K12" s="247">
        <v>5.0000000000000001E-3</v>
      </c>
      <c r="L12" s="247">
        <v>5.0000000000000001E-3</v>
      </c>
      <c r="M12" s="247">
        <v>5.0000000000000001E-3</v>
      </c>
      <c r="N12" s="247">
        <v>5.0000000000000001E-3</v>
      </c>
    </row>
    <row r="13" spans="1:15">
      <c r="A13" s="248" t="s">
        <v>20</v>
      </c>
      <c r="B13" s="249">
        <v>179.786259</v>
      </c>
      <c r="C13" s="249">
        <v>184.17850899999999</v>
      </c>
      <c r="D13" s="249">
        <v>194.974752</v>
      </c>
      <c r="E13" s="249">
        <v>196.49772200000001</v>
      </c>
      <c r="F13" s="249">
        <v>200.598274</v>
      </c>
      <c r="G13" s="249">
        <v>204.368019</v>
      </c>
      <c r="H13" s="249">
        <v>206.64071899999999</v>
      </c>
      <c r="I13" s="249">
        <v>208.85888399999999</v>
      </c>
      <c r="J13" s="249">
        <v>210.756574</v>
      </c>
      <c r="K13" s="249">
        <v>212.87095400000001</v>
      </c>
      <c r="L13" s="249">
        <v>215.45320699999999</v>
      </c>
      <c r="M13" s="249">
        <v>218.50518199999999</v>
      </c>
      <c r="N13" s="249">
        <v>218.50518199999999</v>
      </c>
      <c r="O13" s="225">
        <f>(+N13/B13-1)*100</f>
        <v>21.536085802864392</v>
      </c>
    </row>
    <row r="15" spans="1:15">
      <c r="A15" s="246" t="s">
        <v>156</v>
      </c>
      <c r="B15" s="246" t="s">
        <v>49</v>
      </c>
    </row>
    <row r="16" spans="1:15">
      <c r="A16" s="149" t="s">
        <v>61</v>
      </c>
      <c r="B16" s="284" t="s">
        <v>157</v>
      </c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</row>
    <row r="17" spans="1:14">
      <c r="A17" s="149" t="s">
        <v>59</v>
      </c>
      <c r="B17" s="182" t="s">
        <v>158</v>
      </c>
      <c r="C17" s="182" t="s">
        <v>159</v>
      </c>
      <c r="D17" s="182" t="s">
        <v>160</v>
      </c>
      <c r="E17" s="182" t="s">
        <v>161</v>
      </c>
      <c r="F17" s="182" t="s">
        <v>162</v>
      </c>
      <c r="G17" s="182" t="s">
        <v>163</v>
      </c>
      <c r="H17" s="182" t="s">
        <v>164</v>
      </c>
      <c r="I17" s="182" t="s">
        <v>165</v>
      </c>
      <c r="J17" s="182" t="s">
        <v>166</v>
      </c>
      <c r="K17" s="182" t="s">
        <v>167</v>
      </c>
      <c r="L17" s="182" t="s">
        <v>168</v>
      </c>
      <c r="M17" s="182" t="s">
        <v>204</v>
      </c>
      <c r="N17" s="182" t="s">
        <v>214</v>
      </c>
    </row>
    <row r="18" spans="1:14">
      <c r="A18" s="149" t="s">
        <v>169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7">
        <v>241.2</v>
      </c>
      <c r="C19" s="247">
        <v>241.2</v>
      </c>
      <c r="D19" s="247">
        <v>241.2</v>
      </c>
      <c r="E19" s="247">
        <v>241.2</v>
      </c>
      <c r="F19" s="247">
        <v>241.2</v>
      </c>
      <c r="G19" s="247">
        <v>241.2</v>
      </c>
      <c r="H19" s="247">
        <v>241.2</v>
      </c>
      <c r="I19" s="247">
        <v>241.2</v>
      </c>
      <c r="J19" s="247">
        <v>241.2</v>
      </c>
      <c r="K19" s="247">
        <v>241.2</v>
      </c>
      <c r="L19" s="247">
        <v>241.2</v>
      </c>
      <c r="M19" s="247">
        <v>241.2</v>
      </c>
      <c r="N19" s="247">
        <v>241.2</v>
      </c>
    </row>
    <row r="20" spans="1:14">
      <c r="A20" s="151" t="s">
        <v>173</v>
      </c>
      <c r="B20" s="247">
        <v>822.9</v>
      </c>
      <c r="C20" s="247">
        <v>822.9</v>
      </c>
      <c r="D20" s="247">
        <v>822.9</v>
      </c>
      <c r="E20" s="247">
        <v>822.9</v>
      </c>
      <c r="F20" s="247">
        <v>822.9</v>
      </c>
      <c r="G20" s="247">
        <v>822.9</v>
      </c>
      <c r="H20" s="247">
        <v>822.9</v>
      </c>
      <c r="I20" s="247">
        <v>822.9</v>
      </c>
      <c r="J20" s="247">
        <v>822.9</v>
      </c>
      <c r="K20" s="247">
        <v>822.9</v>
      </c>
      <c r="L20" s="247">
        <v>822.9</v>
      </c>
      <c r="M20" s="247">
        <v>822.9</v>
      </c>
      <c r="N20" s="247">
        <v>822.9</v>
      </c>
    </row>
    <row r="21" spans="1:14">
      <c r="A21" s="151" t="s">
        <v>23</v>
      </c>
      <c r="B21" s="247">
        <v>11.523</v>
      </c>
      <c r="C21" s="247">
        <v>11.523</v>
      </c>
      <c r="D21" s="247">
        <v>10.523</v>
      </c>
      <c r="E21" s="247">
        <v>10.523</v>
      </c>
      <c r="F21" s="247">
        <v>10.523</v>
      </c>
      <c r="G21" s="247">
        <v>10.523</v>
      </c>
      <c r="H21" s="247">
        <v>10.523</v>
      </c>
      <c r="I21" s="247">
        <v>10.523</v>
      </c>
      <c r="J21" s="247">
        <v>10.523</v>
      </c>
      <c r="K21" s="247">
        <v>10.523</v>
      </c>
      <c r="L21" s="247">
        <v>10.523</v>
      </c>
      <c r="M21" s="247">
        <v>10.523</v>
      </c>
      <c r="N21" s="247">
        <v>10.523</v>
      </c>
    </row>
    <row r="22" spans="1:14">
      <c r="A22" s="151" t="s">
        <v>5</v>
      </c>
      <c r="B22" s="247">
        <v>3.5625</v>
      </c>
      <c r="C22" s="247">
        <v>3.5625</v>
      </c>
      <c r="D22" s="247">
        <v>3.5625</v>
      </c>
      <c r="E22" s="247">
        <v>3.5625</v>
      </c>
      <c r="F22" s="247">
        <v>3.5625</v>
      </c>
      <c r="G22" s="247">
        <v>3.5625</v>
      </c>
      <c r="H22" s="247">
        <v>3.5625</v>
      </c>
      <c r="I22" s="247">
        <v>3.5625</v>
      </c>
      <c r="J22" s="247">
        <v>3.5625</v>
      </c>
      <c r="K22" s="247">
        <v>3.5625</v>
      </c>
      <c r="L22" s="247">
        <v>3.5625</v>
      </c>
      <c r="M22" s="247">
        <v>3.5625</v>
      </c>
      <c r="N22" s="247">
        <v>3.5625</v>
      </c>
    </row>
    <row r="23" spans="1:14">
      <c r="A23" s="151" t="s">
        <v>174</v>
      </c>
      <c r="B23" s="247">
        <v>139.4</v>
      </c>
      <c r="C23" s="247">
        <v>139.4</v>
      </c>
      <c r="D23" s="247">
        <v>139.4</v>
      </c>
      <c r="E23" s="247">
        <v>139.4</v>
      </c>
      <c r="F23" s="247">
        <v>139.4</v>
      </c>
      <c r="G23" s="247">
        <v>139.4</v>
      </c>
      <c r="H23" s="247">
        <v>139.4</v>
      </c>
      <c r="I23" s="247">
        <v>139.4</v>
      </c>
      <c r="J23" s="247">
        <v>139.4</v>
      </c>
      <c r="K23" s="247">
        <v>139.4</v>
      </c>
      <c r="L23" s="247">
        <v>139.4</v>
      </c>
      <c r="M23" s="247">
        <v>139.4</v>
      </c>
      <c r="N23" s="247">
        <v>139.4</v>
      </c>
    </row>
    <row r="24" spans="1:14">
      <c r="A24" s="151" t="s">
        <v>170</v>
      </c>
      <c r="B24" s="247">
        <v>7.9160000000000004</v>
      </c>
      <c r="C24" s="247">
        <v>7.9160000000000004</v>
      </c>
      <c r="D24" s="247">
        <v>7.9160000000000004</v>
      </c>
      <c r="E24" s="247">
        <v>7.9160000000000004</v>
      </c>
      <c r="F24" s="247">
        <v>7.9160000000000004</v>
      </c>
      <c r="G24" s="247">
        <v>7.9160000000000004</v>
      </c>
      <c r="H24" s="247">
        <v>7.9160000000000004</v>
      </c>
      <c r="I24" s="247">
        <v>7.9160000000000004</v>
      </c>
      <c r="J24" s="247">
        <v>7.9160000000000004</v>
      </c>
      <c r="K24" s="247">
        <v>7.9160000000000004</v>
      </c>
      <c r="L24" s="247">
        <v>7.9160000000000004</v>
      </c>
      <c r="M24" s="247">
        <v>7.9160000000000004</v>
      </c>
      <c r="N24" s="247">
        <v>7.9160000000000004</v>
      </c>
    </row>
    <row r="25" spans="1:14">
      <c r="A25" s="151" t="s">
        <v>175</v>
      </c>
      <c r="B25" s="247">
        <v>37.4</v>
      </c>
      <c r="C25" s="247">
        <v>37.4</v>
      </c>
      <c r="D25" s="247">
        <v>37.4</v>
      </c>
      <c r="E25" s="247">
        <v>37.4</v>
      </c>
      <c r="F25" s="247">
        <v>37.4</v>
      </c>
      <c r="G25" s="247">
        <v>37.4</v>
      </c>
      <c r="H25" s="247">
        <v>37.4</v>
      </c>
      <c r="I25" s="247">
        <v>37.4</v>
      </c>
      <c r="J25" s="247">
        <v>37.4</v>
      </c>
      <c r="K25" s="247">
        <v>37.4</v>
      </c>
      <c r="L25" s="247">
        <v>37.4</v>
      </c>
      <c r="M25" s="247">
        <v>37.4</v>
      </c>
      <c r="N25" s="247">
        <v>37.4</v>
      </c>
    </row>
    <row r="26" spans="1:14">
      <c r="A26" s="151" t="s">
        <v>176</v>
      </c>
      <c r="B26" s="247">
        <v>37.4</v>
      </c>
      <c r="C26" s="247">
        <v>37.4</v>
      </c>
      <c r="D26" s="247">
        <v>37.4</v>
      </c>
      <c r="E26" s="247">
        <v>37.4</v>
      </c>
      <c r="F26" s="247">
        <v>37.4</v>
      </c>
      <c r="G26" s="247">
        <v>37.4</v>
      </c>
      <c r="H26" s="247">
        <v>37.4</v>
      </c>
      <c r="I26" s="247">
        <v>37.4</v>
      </c>
      <c r="J26" s="247">
        <v>37.4</v>
      </c>
      <c r="K26" s="247">
        <v>37.4</v>
      </c>
      <c r="L26" s="247">
        <v>37.4</v>
      </c>
      <c r="M26" s="247">
        <v>37.4</v>
      </c>
      <c r="N26" s="247">
        <v>37.4</v>
      </c>
    </row>
    <row r="27" spans="1:14">
      <c r="A27" s="151" t="s">
        <v>171</v>
      </c>
      <c r="B27" s="247">
        <v>523.94193399999995</v>
      </c>
      <c r="C27" s="247">
        <v>526.15768400000002</v>
      </c>
      <c r="D27" s="247">
        <v>528.36648700000001</v>
      </c>
      <c r="E27" s="247">
        <v>529.88945699999999</v>
      </c>
      <c r="F27" s="247">
        <v>543.41010900000003</v>
      </c>
      <c r="G27" s="247">
        <v>547.279854</v>
      </c>
      <c r="H27" s="247">
        <v>549.45255399999996</v>
      </c>
      <c r="I27" s="247">
        <v>551.67071899999996</v>
      </c>
      <c r="J27" s="247">
        <v>553.56840899999997</v>
      </c>
      <c r="K27" s="247">
        <v>555.68278899999996</v>
      </c>
      <c r="L27" s="247">
        <v>604.76504199999999</v>
      </c>
      <c r="M27" s="247">
        <v>607.81701699999996</v>
      </c>
      <c r="N27" s="247">
        <v>624.61701700000003</v>
      </c>
    </row>
    <row r="28" spans="1:14">
      <c r="A28" s="151" t="s">
        <v>172</v>
      </c>
      <c r="B28" s="247">
        <v>5.0000000000000001E-3</v>
      </c>
      <c r="C28" s="247">
        <v>5.0000000000000001E-3</v>
      </c>
      <c r="D28" s="247">
        <v>5.0000000000000001E-3</v>
      </c>
      <c r="E28" s="247">
        <v>5.0000000000000001E-3</v>
      </c>
      <c r="F28" s="247">
        <v>5.0000000000000001E-3</v>
      </c>
      <c r="G28" s="247">
        <v>5.0000000000000001E-3</v>
      </c>
      <c r="H28" s="247">
        <v>5.0000000000000001E-3</v>
      </c>
      <c r="I28" s="247">
        <v>5.0000000000000001E-3</v>
      </c>
      <c r="J28" s="247">
        <v>5.0000000000000001E-3</v>
      </c>
      <c r="K28" s="247">
        <v>5.0000000000000001E-3</v>
      </c>
      <c r="L28" s="247">
        <v>5.0000000000000001E-3</v>
      </c>
      <c r="M28" s="247">
        <v>5.0000000000000001E-3</v>
      </c>
      <c r="N28" s="247">
        <v>5.0000000000000001E-3</v>
      </c>
    </row>
    <row r="29" spans="1:14">
      <c r="A29" s="151" t="s">
        <v>177</v>
      </c>
      <c r="B29" s="247">
        <v>603.1</v>
      </c>
      <c r="C29" s="247">
        <v>603.1</v>
      </c>
      <c r="D29" s="247">
        <v>591.6</v>
      </c>
      <c r="E29" s="247">
        <v>591.6</v>
      </c>
      <c r="F29" s="247">
        <v>591.6</v>
      </c>
      <c r="G29" s="247">
        <v>591.6</v>
      </c>
      <c r="H29" s="247">
        <v>591.6</v>
      </c>
      <c r="I29" s="247">
        <v>591.6</v>
      </c>
      <c r="J29" s="247">
        <v>591.6</v>
      </c>
      <c r="K29" s="247">
        <v>591.6</v>
      </c>
      <c r="L29" s="247">
        <v>591.6</v>
      </c>
      <c r="M29" s="247">
        <v>591.6</v>
      </c>
      <c r="N29" s="247">
        <v>591.6</v>
      </c>
    </row>
    <row r="30" spans="1:14">
      <c r="A30" s="151" t="s">
        <v>121</v>
      </c>
      <c r="B30" s="247">
        <v>1.2</v>
      </c>
      <c r="C30" s="247">
        <v>1.2</v>
      </c>
      <c r="D30" s="247">
        <v>1.2</v>
      </c>
      <c r="E30" s="247">
        <v>1.2</v>
      </c>
      <c r="F30" s="247">
        <v>1.2</v>
      </c>
      <c r="G30" s="247">
        <v>1.2</v>
      </c>
      <c r="H30" s="247">
        <v>1.2</v>
      </c>
      <c r="I30" s="247">
        <v>1.2</v>
      </c>
      <c r="J30" s="247">
        <v>1.2</v>
      </c>
      <c r="K30" s="247">
        <v>1.2</v>
      </c>
      <c r="L30" s="247">
        <v>1.2</v>
      </c>
      <c r="M30" s="247">
        <v>1.2</v>
      </c>
      <c r="N30" s="247">
        <v>1.2</v>
      </c>
    </row>
    <row r="31" spans="1:14">
      <c r="A31" s="248" t="s">
        <v>20</v>
      </c>
      <c r="B31" s="249">
        <v>2429.5484339999998</v>
      </c>
      <c r="C31" s="249">
        <v>2431.7641840000001</v>
      </c>
      <c r="D31" s="249">
        <v>2421.4729870000001</v>
      </c>
      <c r="E31" s="249">
        <v>2422.9959570000001</v>
      </c>
      <c r="F31" s="249">
        <v>2436.5166089999998</v>
      </c>
      <c r="G31" s="249">
        <v>2440.3863540000002</v>
      </c>
      <c r="H31" s="249">
        <v>2442.5590539999998</v>
      </c>
      <c r="I31" s="249">
        <v>2444.7772190000001</v>
      </c>
      <c r="J31" s="249">
        <v>2446.6749089999998</v>
      </c>
      <c r="K31" s="249">
        <v>2448.7892889999998</v>
      </c>
      <c r="L31" s="249">
        <v>2497.8715419999999</v>
      </c>
      <c r="M31" s="249">
        <v>2500.9235170000002</v>
      </c>
      <c r="N31" s="249">
        <v>2517.7235169999999</v>
      </c>
    </row>
    <row r="33" spans="1:15">
      <c r="A33" s="213" t="s">
        <v>178</v>
      </c>
    </row>
    <row r="34" spans="1:15">
      <c r="A34" s="226" t="s">
        <v>59</v>
      </c>
      <c r="B34" s="226" t="str">
        <f>MID(UPPER(TEXT(B6,"mmm")),6,1)</f>
        <v>M</v>
      </c>
      <c r="C34" s="226" t="str">
        <f t="shared" ref="C34:N34" si="0">MID(UPPER(TEXT(C6,"mmm")),6,1)</f>
        <v>J</v>
      </c>
      <c r="D34" s="226" t="str">
        <f t="shared" si="0"/>
        <v>J</v>
      </c>
      <c r="E34" s="226" t="str">
        <f t="shared" si="0"/>
        <v>A</v>
      </c>
      <c r="F34" s="226" t="str">
        <f t="shared" si="0"/>
        <v>S</v>
      </c>
      <c r="G34" s="226" t="str">
        <f t="shared" si="0"/>
        <v>O</v>
      </c>
      <c r="H34" s="226" t="str">
        <f t="shared" si="0"/>
        <v>N</v>
      </c>
      <c r="I34" s="226" t="str">
        <f t="shared" si="0"/>
        <v>D</v>
      </c>
      <c r="J34" s="226" t="str">
        <f t="shared" si="0"/>
        <v>E</v>
      </c>
      <c r="K34" s="226" t="str">
        <f t="shared" si="0"/>
        <v>F</v>
      </c>
      <c r="L34" s="226" t="str">
        <f t="shared" si="0"/>
        <v>M</v>
      </c>
      <c r="M34" s="226" t="str">
        <f t="shared" si="0"/>
        <v>A</v>
      </c>
      <c r="N34" s="226" t="str">
        <f t="shared" si="0"/>
        <v>M</v>
      </c>
    </row>
    <row r="35" spans="1:15">
      <c r="A35" s="227" t="s">
        <v>179</v>
      </c>
      <c r="B35" s="228">
        <f>B13/B31*100</f>
        <v>7.3999866182540162</v>
      </c>
      <c r="C35" s="228">
        <f t="shared" ref="C35:M35" si="1">C13/C31*100</f>
        <v>7.5738638726492553</v>
      </c>
      <c r="D35" s="228">
        <f t="shared" si="1"/>
        <v>8.0519069610418068</v>
      </c>
      <c r="E35" s="228">
        <f t="shared" si="1"/>
        <v>8.1097007790013418</v>
      </c>
      <c r="F35" s="228">
        <f t="shared" si="1"/>
        <v>8.2329943189810635</v>
      </c>
      <c r="G35" s="228">
        <f t="shared" si="1"/>
        <v>8.3744124640356024</v>
      </c>
      <c r="H35" s="228">
        <f t="shared" si="1"/>
        <v>8.460009131062753</v>
      </c>
      <c r="I35" s="228">
        <f t="shared" si="1"/>
        <v>8.543064062312828</v>
      </c>
      <c r="J35" s="228">
        <f t="shared" si="1"/>
        <v>8.6139998912295219</v>
      </c>
      <c r="K35" s="228">
        <f t="shared" si="1"/>
        <v>8.692906121250191</v>
      </c>
      <c r="L35" s="228">
        <f t="shared" si="1"/>
        <v>8.6254718618352388</v>
      </c>
      <c r="M35" s="228">
        <f t="shared" si="1"/>
        <v>8.7369797802577089</v>
      </c>
      <c r="N35" s="228">
        <f>N13/N31*100</f>
        <v>8.6786805828608387</v>
      </c>
    </row>
    <row r="37" spans="1:15">
      <c r="A37" s="246" t="s">
        <v>156</v>
      </c>
      <c r="B37" s="246" t="s">
        <v>50</v>
      </c>
    </row>
    <row r="38" spans="1:15">
      <c r="A38" s="149" t="s">
        <v>61</v>
      </c>
      <c r="B38" s="284" t="s">
        <v>157</v>
      </c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</row>
    <row r="39" spans="1:15">
      <c r="A39" s="149" t="s">
        <v>59</v>
      </c>
      <c r="B39" s="182" t="s">
        <v>158</v>
      </c>
      <c r="C39" s="182" t="s">
        <v>159</v>
      </c>
      <c r="D39" s="182" t="s">
        <v>160</v>
      </c>
      <c r="E39" s="182" t="s">
        <v>161</v>
      </c>
      <c r="F39" s="182" t="s">
        <v>162</v>
      </c>
      <c r="G39" s="182" t="s">
        <v>163</v>
      </c>
      <c r="H39" s="182" t="s">
        <v>164</v>
      </c>
      <c r="I39" s="182" t="s">
        <v>165</v>
      </c>
      <c r="J39" s="182" t="s">
        <v>166</v>
      </c>
      <c r="K39" s="182" t="s">
        <v>167</v>
      </c>
      <c r="L39" s="182" t="s">
        <v>168</v>
      </c>
      <c r="M39" s="182" t="s">
        <v>204</v>
      </c>
      <c r="N39" s="182" t="s">
        <v>214</v>
      </c>
    </row>
    <row r="40" spans="1:15">
      <c r="A40" s="149" t="s">
        <v>169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7">
        <v>13.49</v>
      </c>
      <c r="C41" s="247">
        <v>13.49</v>
      </c>
      <c r="D41" s="247">
        <v>13.49</v>
      </c>
      <c r="E41" s="247">
        <v>13.49</v>
      </c>
      <c r="F41" s="247">
        <v>13.49</v>
      </c>
      <c r="G41" s="247">
        <v>18.11</v>
      </c>
      <c r="H41" s="247">
        <v>18.11</v>
      </c>
      <c r="I41" s="247">
        <v>18.11</v>
      </c>
      <c r="J41" s="247">
        <v>18.11</v>
      </c>
      <c r="K41" s="247">
        <v>18.11</v>
      </c>
      <c r="L41" s="247">
        <v>18.11</v>
      </c>
      <c r="M41" s="247">
        <v>18.11</v>
      </c>
      <c r="N41" s="247">
        <v>18.11</v>
      </c>
    </row>
    <row r="42" spans="1:15">
      <c r="A42" s="151" t="s">
        <v>12</v>
      </c>
      <c r="B42" s="247">
        <v>1.4999999999999999E-2</v>
      </c>
      <c r="C42" s="247">
        <v>1.4999999999999999E-2</v>
      </c>
      <c r="D42" s="247">
        <v>1.4999999999999999E-2</v>
      </c>
      <c r="E42" s="247">
        <v>1.4999999999999999E-2</v>
      </c>
      <c r="F42" s="247">
        <v>1.4999999999999999E-2</v>
      </c>
      <c r="G42" s="247">
        <v>1.4999999999999999E-2</v>
      </c>
      <c r="H42" s="247">
        <v>1.4999999999999999E-2</v>
      </c>
      <c r="I42" s="247">
        <v>1.4999999999999999E-2</v>
      </c>
      <c r="J42" s="247">
        <v>1.4999999999999999E-2</v>
      </c>
      <c r="K42" s="247">
        <v>1.4999999999999999E-2</v>
      </c>
      <c r="L42" s="247">
        <v>1.4999999999999999E-2</v>
      </c>
      <c r="M42" s="247">
        <v>1.4999999999999999E-2</v>
      </c>
      <c r="N42" s="247">
        <v>1.4999999999999999E-2</v>
      </c>
    </row>
    <row r="43" spans="1:15">
      <c r="A43" s="151" t="s">
        <v>170</v>
      </c>
      <c r="B43" s="247">
        <v>5.0119999999999996</v>
      </c>
      <c r="C43" s="247">
        <v>5.0119999999999996</v>
      </c>
      <c r="D43" s="247">
        <v>5.0119999999999996</v>
      </c>
      <c r="E43" s="247">
        <v>5.0119999999999996</v>
      </c>
      <c r="F43" s="247">
        <v>5.0119999999999996</v>
      </c>
      <c r="G43" s="247">
        <v>5.0119999999999996</v>
      </c>
      <c r="H43" s="247">
        <v>5.0119999999999996</v>
      </c>
      <c r="I43" s="247">
        <v>5.0119999999999996</v>
      </c>
      <c r="J43" s="247">
        <v>5.0119999999999996</v>
      </c>
      <c r="K43" s="247">
        <v>5.0119999999999996</v>
      </c>
      <c r="L43" s="247">
        <v>5.0119999999999996</v>
      </c>
      <c r="M43" s="247">
        <v>5.0119999999999996</v>
      </c>
      <c r="N43" s="247">
        <v>5.0119999999999996</v>
      </c>
    </row>
    <row r="44" spans="1:15">
      <c r="A44" s="151" t="s">
        <v>171</v>
      </c>
      <c r="B44" s="247">
        <v>133.232336</v>
      </c>
      <c r="C44" s="247">
        <v>140.19795999999999</v>
      </c>
      <c r="D44" s="247">
        <v>142.712042</v>
      </c>
      <c r="E44" s="247">
        <v>145.051117</v>
      </c>
      <c r="F44" s="247">
        <v>148.02232699999999</v>
      </c>
      <c r="G44" s="247">
        <v>150.06443200000001</v>
      </c>
      <c r="H44" s="247">
        <v>152.31351699999999</v>
      </c>
      <c r="I44" s="247">
        <v>154.57016899999999</v>
      </c>
      <c r="J44" s="247">
        <v>156.33856900000001</v>
      </c>
      <c r="K44" s="247">
        <v>158.966759</v>
      </c>
      <c r="L44" s="247">
        <v>160.96225899999999</v>
      </c>
      <c r="M44" s="247">
        <v>162.928324</v>
      </c>
      <c r="N44" s="247">
        <v>162.928324</v>
      </c>
    </row>
    <row r="45" spans="1:15">
      <c r="A45" s="151" t="s">
        <v>172</v>
      </c>
      <c r="B45" s="247">
        <v>3.7999999999999999E-2</v>
      </c>
      <c r="C45" s="247">
        <v>4.2999999999999997E-2</v>
      </c>
      <c r="D45" s="247">
        <v>4.2999999999999997E-2</v>
      </c>
      <c r="E45" s="247">
        <v>4.2999999999999997E-2</v>
      </c>
      <c r="F45" s="247">
        <v>5.2999999999999999E-2</v>
      </c>
      <c r="G45" s="247">
        <v>5.2999999999999999E-2</v>
      </c>
      <c r="H45" s="247">
        <v>5.2999999999999999E-2</v>
      </c>
      <c r="I45" s="247">
        <v>7.2900000000000006E-2</v>
      </c>
      <c r="J45" s="247">
        <v>7.2900000000000006E-2</v>
      </c>
      <c r="K45" s="247">
        <v>7.2900000000000006E-2</v>
      </c>
      <c r="L45" s="247">
        <v>7.2900000000000006E-2</v>
      </c>
      <c r="M45" s="247">
        <v>7.2900000000000006E-2</v>
      </c>
      <c r="N45" s="247">
        <v>7.2900000000000006E-2</v>
      </c>
    </row>
    <row r="46" spans="1:15">
      <c r="A46" s="248" t="s">
        <v>20</v>
      </c>
      <c r="B46" s="249">
        <v>151.78733600000001</v>
      </c>
      <c r="C46" s="249">
        <v>158.75796</v>
      </c>
      <c r="D46" s="249">
        <v>161.272042</v>
      </c>
      <c r="E46" s="249">
        <v>163.61111700000001</v>
      </c>
      <c r="F46" s="249">
        <v>166.59232700000001</v>
      </c>
      <c r="G46" s="249">
        <v>173.25443200000001</v>
      </c>
      <c r="H46" s="249">
        <v>175.50351699999999</v>
      </c>
      <c r="I46" s="249">
        <v>177.780069</v>
      </c>
      <c r="J46" s="249">
        <v>179.54846900000001</v>
      </c>
      <c r="K46" s="249">
        <v>182.176659</v>
      </c>
      <c r="L46" s="249">
        <v>184.17215899999999</v>
      </c>
      <c r="M46" s="249">
        <v>186.13822400000001</v>
      </c>
      <c r="N46" s="249">
        <v>186.13822400000001</v>
      </c>
      <c r="O46" s="225">
        <f>(+N46/B46-1)*100</f>
        <v>22.630931476391414</v>
      </c>
    </row>
    <row r="48" spans="1:15">
      <c r="A48" s="246" t="s">
        <v>156</v>
      </c>
      <c r="B48" s="246" t="s">
        <v>50</v>
      </c>
    </row>
    <row r="49" spans="1:14">
      <c r="A49" s="149" t="s">
        <v>61</v>
      </c>
      <c r="B49" s="284" t="s">
        <v>157</v>
      </c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</row>
    <row r="50" spans="1:14">
      <c r="A50" s="149" t="s">
        <v>59</v>
      </c>
      <c r="B50" s="182" t="s">
        <v>158</v>
      </c>
      <c r="C50" s="182" t="s">
        <v>159</v>
      </c>
      <c r="D50" s="182" t="s">
        <v>160</v>
      </c>
      <c r="E50" s="182" t="s">
        <v>161</v>
      </c>
      <c r="F50" s="182" t="s">
        <v>162</v>
      </c>
      <c r="G50" s="182" t="s">
        <v>163</v>
      </c>
      <c r="H50" s="182" t="s">
        <v>164</v>
      </c>
      <c r="I50" s="182" t="s">
        <v>165</v>
      </c>
      <c r="J50" s="182" t="s">
        <v>166</v>
      </c>
      <c r="K50" s="182" t="s">
        <v>167</v>
      </c>
      <c r="L50" s="182" t="s">
        <v>168</v>
      </c>
      <c r="M50" s="182" t="s">
        <v>204</v>
      </c>
      <c r="N50" s="182" t="s">
        <v>214</v>
      </c>
    </row>
    <row r="51" spans="1:14">
      <c r="A51" s="149" t="s">
        <v>169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173</v>
      </c>
      <c r="B52" s="247">
        <v>865.4</v>
      </c>
      <c r="C52" s="247">
        <v>865.4</v>
      </c>
      <c r="D52" s="247">
        <v>865.4</v>
      </c>
      <c r="E52" s="247">
        <v>865.4</v>
      </c>
      <c r="F52" s="247">
        <v>865.4</v>
      </c>
      <c r="G52" s="247">
        <v>865.4</v>
      </c>
      <c r="H52" s="247">
        <v>865.4</v>
      </c>
      <c r="I52" s="247">
        <v>865.4</v>
      </c>
      <c r="J52" s="247">
        <v>865.4</v>
      </c>
      <c r="K52" s="247">
        <v>865.4</v>
      </c>
      <c r="L52" s="247">
        <v>865.4</v>
      </c>
      <c r="M52" s="247">
        <v>865.4</v>
      </c>
      <c r="N52" s="247">
        <v>865.4</v>
      </c>
    </row>
    <row r="53" spans="1:14">
      <c r="A53" s="151" t="s">
        <v>23</v>
      </c>
      <c r="B53" s="247">
        <v>38.200000000000003</v>
      </c>
      <c r="C53" s="247">
        <v>38.200000000000003</v>
      </c>
      <c r="D53" s="247">
        <v>38.200000000000003</v>
      </c>
      <c r="E53" s="247">
        <v>38.200000000000003</v>
      </c>
      <c r="F53" s="247">
        <v>38.200000000000003</v>
      </c>
      <c r="G53" s="247">
        <v>38.200000000000003</v>
      </c>
      <c r="H53" s="247">
        <v>38.200000000000003</v>
      </c>
      <c r="I53" s="247">
        <v>38.200000000000003</v>
      </c>
      <c r="J53" s="247">
        <v>38.200000000000003</v>
      </c>
      <c r="K53" s="247">
        <v>38.200000000000003</v>
      </c>
      <c r="L53" s="247">
        <v>38.200000000000003</v>
      </c>
      <c r="M53" s="247">
        <v>38.200000000000003</v>
      </c>
      <c r="N53" s="247">
        <v>38.200000000000003</v>
      </c>
    </row>
    <row r="54" spans="1:14">
      <c r="A54" s="151" t="s">
        <v>5</v>
      </c>
      <c r="B54" s="247">
        <v>658.98500000000001</v>
      </c>
      <c r="C54" s="247">
        <v>658.98500000000001</v>
      </c>
      <c r="D54" s="247">
        <v>657.86</v>
      </c>
      <c r="E54" s="247">
        <v>657.86</v>
      </c>
      <c r="F54" s="247">
        <v>660.21</v>
      </c>
      <c r="G54" s="247">
        <v>660.21</v>
      </c>
      <c r="H54" s="247">
        <v>660.21</v>
      </c>
      <c r="I54" s="247">
        <v>678.43499999999995</v>
      </c>
      <c r="J54" s="247">
        <v>677.53499999999997</v>
      </c>
      <c r="K54" s="247">
        <v>677.53499999999997</v>
      </c>
      <c r="L54" s="247">
        <v>677.53499999999997</v>
      </c>
      <c r="M54" s="247">
        <v>677.53499999999997</v>
      </c>
      <c r="N54" s="247">
        <v>677.53499999999997</v>
      </c>
    </row>
    <row r="55" spans="1:14">
      <c r="A55" s="151" t="s">
        <v>12</v>
      </c>
      <c r="B55" s="247">
        <v>1.5349999999999999</v>
      </c>
      <c r="C55" s="247">
        <v>1.5349999999999999</v>
      </c>
      <c r="D55" s="247">
        <v>0.77800000000000002</v>
      </c>
      <c r="E55" s="247">
        <v>0.77800000000000002</v>
      </c>
      <c r="F55" s="247">
        <v>0.77800000000000002</v>
      </c>
      <c r="G55" s="247">
        <v>0.77800000000000002</v>
      </c>
      <c r="H55" s="247">
        <v>0.77800000000000002</v>
      </c>
      <c r="I55" s="247">
        <v>0.77800000000000002</v>
      </c>
      <c r="J55" s="247">
        <v>0.77800000000000002</v>
      </c>
      <c r="K55" s="247">
        <v>0.77800000000000002</v>
      </c>
      <c r="L55" s="247">
        <v>0.77800000000000002</v>
      </c>
      <c r="M55" s="247">
        <v>0.77800000000000002</v>
      </c>
      <c r="N55" s="247">
        <v>0.77800000000000002</v>
      </c>
    </row>
    <row r="56" spans="1:14">
      <c r="A56" s="151" t="s">
        <v>6</v>
      </c>
      <c r="B56" s="247">
        <v>11.32</v>
      </c>
      <c r="C56" s="247">
        <v>11.32</v>
      </c>
      <c r="D56" s="247">
        <v>11.32</v>
      </c>
      <c r="E56" s="247">
        <v>11.32</v>
      </c>
      <c r="F56" s="247">
        <v>11.32</v>
      </c>
      <c r="G56" s="247">
        <v>11.32</v>
      </c>
      <c r="H56" s="247">
        <v>11.32</v>
      </c>
      <c r="I56" s="247">
        <v>11.32</v>
      </c>
      <c r="J56" s="247">
        <v>11.32</v>
      </c>
      <c r="K56" s="247">
        <v>11.32</v>
      </c>
      <c r="L56" s="247">
        <v>11.32</v>
      </c>
      <c r="M56" s="247">
        <v>11.32</v>
      </c>
      <c r="N56" s="247">
        <v>11.32</v>
      </c>
    </row>
    <row r="57" spans="1:14">
      <c r="A57" s="151" t="s">
        <v>174</v>
      </c>
      <c r="B57" s="247">
        <v>487.64</v>
      </c>
      <c r="C57" s="247">
        <v>487.64</v>
      </c>
      <c r="D57" s="247">
        <v>487.64</v>
      </c>
      <c r="E57" s="247">
        <v>487.64</v>
      </c>
      <c r="F57" s="247">
        <v>487.64</v>
      </c>
      <c r="G57" s="247">
        <v>487.64</v>
      </c>
      <c r="H57" s="247">
        <v>487.64</v>
      </c>
      <c r="I57" s="247">
        <v>487.64</v>
      </c>
      <c r="J57" s="247">
        <v>487.64</v>
      </c>
      <c r="K57" s="247">
        <v>487.64</v>
      </c>
      <c r="L57" s="247">
        <v>487.64</v>
      </c>
      <c r="M57" s="247">
        <v>487.64</v>
      </c>
      <c r="N57" s="247">
        <v>487.64</v>
      </c>
    </row>
    <row r="58" spans="1:14">
      <c r="A58" s="151" t="s">
        <v>170</v>
      </c>
      <c r="B58" s="247">
        <v>8.8059999999999992</v>
      </c>
      <c r="C58" s="247">
        <v>8.8059999999999992</v>
      </c>
      <c r="D58" s="247">
        <v>8.8059999999999992</v>
      </c>
      <c r="E58" s="247">
        <v>8.8059999999999992</v>
      </c>
      <c r="F58" s="247">
        <v>8.8059999999999992</v>
      </c>
      <c r="G58" s="247">
        <v>8.8059999999999992</v>
      </c>
      <c r="H58" s="247">
        <v>8.8059999999999992</v>
      </c>
      <c r="I58" s="247">
        <v>8.8059999999999992</v>
      </c>
      <c r="J58" s="247">
        <v>8.8059999999999992</v>
      </c>
      <c r="K58" s="247">
        <v>8.8059999999999992</v>
      </c>
      <c r="L58" s="247">
        <v>8.8059999999999992</v>
      </c>
      <c r="M58" s="247">
        <v>8.8059999999999992</v>
      </c>
      <c r="N58" s="247">
        <v>8.8059999999999992</v>
      </c>
    </row>
    <row r="59" spans="1:14">
      <c r="A59" s="151" t="s">
        <v>171</v>
      </c>
      <c r="B59" s="247">
        <v>445.39082100000002</v>
      </c>
      <c r="C59" s="247">
        <v>453.89917500000001</v>
      </c>
      <c r="D59" s="247">
        <v>456.318557</v>
      </c>
      <c r="E59" s="247">
        <v>460.20363200000003</v>
      </c>
      <c r="F59" s="247">
        <v>471.055342</v>
      </c>
      <c r="G59" s="247">
        <v>473.09144700000002</v>
      </c>
      <c r="H59" s="247">
        <v>486.64053200000001</v>
      </c>
      <c r="I59" s="247">
        <v>488.89718399999998</v>
      </c>
      <c r="J59" s="247">
        <v>490.65358400000002</v>
      </c>
      <c r="K59" s="247">
        <v>492.266774</v>
      </c>
      <c r="L59" s="247">
        <v>494.26227399999999</v>
      </c>
      <c r="M59" s="247">
        <v>496.22833900000001</v>
      </c>
      <c r="N59" s="247">
        <v>498.20833900000002</v>
      </c>
    </row>
    <row r="60" spans="1:14">
      <c r="A60" s="151" t="s">
        <v>172</v>
      </c>
      <c r="B60" s="247">
        <v>3.7999999999999999E-2</v>
      </c>
      <c r="C60" s="247">
        <v>4.2999999999999997E-2</v>
      </c>
      <c r="D60" s="247">
        <v>4.2999999999999997E-2</v>
      </c>
      <c r="E60" s="247">
        <v>4.2999999999999997E-2</v>
      </c>
      <c r="F60" s="247">
        <v>5.2999999999999999E-2</v>
      </c>
      <c r="G60" s="247">
        <v>5.2999999999999999E-2</v>
      </c>
      <c r="H60" s="247">
        <v>5.2999999999999999E-2</v>
      </c>
      <c r="I60" s="247">
        <v>7.2900000000000006E-2</v>
      </c>
      <c r="J60" s="247">
        <v>7.2900000000000006E-2</v>
      </c>
      <c r="K60" s="247">
        <v>7.2900000000000006E-2</v>
      </c>
      <c r="L60" s="247">
        <v>7.2900000000000006E-2</v>
      </c>
      <c r="M60" s="247">
        <v>7.2900000000000006E-2</v>
      </c>
      <c r="N60" s="247">
        <v>7.2900000000000006E-2</v>
      </c>
    </row>
    <row r="61" spans="1:14">
      <c r="A61" s="151" t="s">
        <v>177</v>
      </c>
      <c r="B61" s="247">
        <v>520.75</v>
      </c>
      <c r="C61" s="247">
        <v>520.75</v>
      </c>
      <c r="D61" s="247">
        <v>520.75</v>
      </c>
      <c r="E61" s="247">
        <v>520.75</v>
      </c>
      <c r="F61" s="247">
        <v>520.75</v>
      </c>
      <c r="G61" s="247">
        <v>520.75</v>
      </c>
      <c r="H61" s="247">
        <v>520.75</v>
      </c>
      <c r="I61" s="247">
        <v>520.75</v>
      </c>
      <c r="J61" s="247">
        <v>520.75</v>
      </c>
      <c r="K61" s="247">
        <v>520.75</v>
      </c>
      <c r="L61" s="247">
        <v>520.75</v>
      </c>
      <c r="M61" s="247">
        <v>520.75</v>
      </c>
      <c r="N61" s="247">
        <v>520.75</v>
      </c>
    </row>
    <row r="62" spans="1:14">
      <c r="A62" s="151" t="s">
        <v>180</v>
      </c>
      <c r="B62" s="247">
        <v>482.64</v>
      </c>
      <c r="C62" s="247">
        <v>482.64</v>
      </c>
      <c r="D62" s="247">
        <v>482.64</v>
      </c>
      <c r="E62" s="247">
        <v>482.64</v>
      </c>
      <c r="F62" s="247">
        <v>482.64</v>
      </c>
      <c r="G62" s="247">
        <v>482.64</v>
      </c>
      <c r="H62" s="247">
        <v>482.64</v>
      </c>
      <c r="I62" s="247">
        <v>482.64</v>
      </c>
      <c r="J62" s="247">
        <v>482.64</v>
      </c>
      <c r="K62" s="247">
        <v>482.64</v>
      </c>
      <c r="L62" s="247">
        <v>482.64</v>
      </c>
      <c r="M62" s="247">
        <v>482.64</v>
      </c>
      <c r="N62" s="247">
        <v>482.64</v>
      </c>
    </row>
    <row r="63" spans="1:14">
      <c r="A63" s="151" t="s">
        <v>121</v>
      </c>
      <c r="B63" s="247">
        <v>5.08</v>
      </c>
      <c r="C63" s="247">
        <v>5.08</v>
      </c>
      <c r="D63" s="247">
        <v>5.08</v>
      </c>
      <c r="E63" s="247">
        <v>5.08</v>
      </c>
      <c r="F63" s="247">
        <v>5.08</v>
      </c>
      <c r="G63" s="247">
        <v>5.08</v>
      </c>
      <c r="H63" s="247">
        <v>5.08</v>
      </c>
      <c r="I63" s="247">
        <v>5.08</v>
      </c>
      <c r="J63" s="247">
        <v>5.08</v>
      </c>
      <c r="K63" s="247">
        <v>5.08</v>
      </c>
      <c r="L63" s="247">
        <v>5.08</v>
      </c>
      <c r="M63" s="247">
        <v>5.08</v>
      </c>
      <c r="N63" s="247">
        <v>5.08</v>
      </c>
    </row>
    <row r="64" spans="1:14">
      <c r="A64" s="248" t="s">
        <v>20</v>
      </c>
      <c r="B64" s="249">
        <v>3525.7848210000002</v>
      </c>
      <c r="C64" s="249">
        <v>3534.2981749999999</v>
      </c>
      <c r="D64" s="249">
        <v>3534.8355569999999</v>
      </c>
      <c r="E64" s="249">
        <v>3538.720632</v>
      </c>
      <c r="F64" s="249">
        <v>3551.9323420000001</v>
      </c>
      <c r="G64" s="249">
        <v>3553.9684470000002</v>
      </c>
      <c r="H64" s="249">
        <v>3567.5175319999998</v>
      </c>
      <c r="I64" s="249">
        <v>3588.019084</v>
      </c>
      <c r="J64" s="249">
        <v>3588.8754840000001</v>
      </c>
      <c r="K64" s="249">
        <v>3590.4886740000002</v>
      </c>
      <c r="L64" s="249">
        <v>3592.4841740000002</v>
      </c>
      <c r="M64" s="249">
        <v>3594.4502389999998</v>
      </c>
      <c r="N64" s="249">
        <v>3596.4302389999998</v>
      </c>
    </row>
    <row r="66" spans="1:14">
      <c r="A66" s="213" t="s">
        <v>181</v>
      </c>
    </row>
    <row r="67" spans="1:14">
      <c r="A67" s="226" t="s">
        <v>59</v>
      </c>
      <c r="B67" s="226" t="str">
        <f>MID(UPPER(TEXT(B39,"mmm")),6,1)</f>
        <v>M</v>
      </c>
      <c r="C67" s="226" t="str">
        <f t="shared" ref="C67:N67" si="2">MID(UPPER(TEXT(C39,"mmm")),6,1)</f>
        <v>J</v>
      </c>
      <c r="D67" s="226" t="str">
        <f t="shared" si="2"/>
        <v>J</v>
      </c>
      <c r="E67" s="226" t="str">
        <f t="shared" si="2"/>
        <v>A</v>
      </c>
      <c r="F67" s="226" t="str">
        <f t="shared" si="2"/>
        <v>S</v>
      </c>
      <c r="G67" s="226" t="str">
        <f t="shared" si="2"/>
        <v>O</v>
      </c>
      <c r="H67" s="226" t="str">
        <f t="shared" si="2"/>
        <v>N</v>
      </c>
      <c r="I67" s="226" t="str">
        <f t="shared" si="2"/>
        <v>D</v>
      </c>
      <c r="J67" s="226" t="str">
        <f t="shared" si="2"/>
        <v>E</v>
      </c>
      <c r="K67" s="226" t="str">
        <f t="shared" si="2"/>
        <v>F</v>
      </c>
      <c r="L67" s="226" t="str">
        <f t="shared" si="2"/>
        <v>M</v>
      </c>
      <c r="M67" s="226" t="str">
        <f t="shared" si="2"/>
        <v>A</v>
      </c>
      <c r="N67" s="226" t="str">
        <f t="shared" si="2"/>
        <v>M</v>
      </c>
    </row>
    <row r="68" spans="1:14">
      <c r="A68" s="227" t="s">
        <v>179</v>
      </c>
      <c r="B68" s="228">
        <f>B46/B64*100</f>
        <v>4.3050652182724347</v>
      </c>
      <c r="C68" s="228">
        <f t="shared" ref="C68:N68" si="3">C46/C64*100</f>
        <v>4.4919232090540859</v>
      </c>
      <c r="D68" s="228">
        <f t="shared" si="3"/>
        <v>4.5623633518293252</v>
      </c>
      <c r="E68" s="228">
        <f t="shared" si="3"/>
        <v>4.6234538980131621</v>
      </c>
      <c r="F68" s="228">
        <f t="shared" si="3"/>
        <v>4.6901886342293402</v>
      </c>
      <c r="G68" s="228">
        <f t="shared" si="3"/>
        <v>4.8749569554070948</v>
      </c>
      <c r="H68" s="228">
        <f t="shared" si="3"/>
        <v>4.9194857607780351</v>
      </c>
      <c r="I68" s="228">
        <f t="shared" si="3"/>
        <v>4.9548250674800478</v>
      </c>
      <c r="J68" s="228">
        <f t="shared" si="3"/>
        <v>5.0029172034657305</v>
      </c>
      <c r="K68" s="228">
        <f t="shared" si="3"/>
        <v>5.0738680870714248</v>
      </c>
      <c r="L68" s="228">
        <f t="shared" si="3"/>
        <v>5.1265962514995893</v>
      </c>
      <c r="M68" s="228">
        <f t="shared" si="3"/>
        <v>5.1784893828933605</v>
      </c>
      <c r="N68" s="228">
        <f t="shared" si="3"/>
        <v>5.1756383866841356</v>
      </c>
    </row>
    <row r="70" spans="1:14">
      <c r="A70" s="213" t="s">
        <v>182</v>
      </c>
    </row>
    <row r="71" spans="1:14">
      <c r="A71" s="246" t="s">
        <v>60</v>
      </c>
      <c r="B71" s="246" t="s">
        <v>49</v>
      </c>
    </row>
    <row r="72" spans="1:14">
      <c r="A72" s="149" t="s">
        <v>59</v>
      </c>
      <c r="B72" s="284" t="s">
        <v>150</v>
      </c>
      <c r="C72" s="283"/>
    </row>
    <row r="73" spans="1:14">
      <c r="A73" s="149" t="s">
        <v>61</v>
      </c>
      <c r="B73" s="182" t="s">
        <v>183</v>
      </c>
      <c r="C73" s="182" t="s">
        <v>184</v>
      </c>
    </row>
    <row r="74" spans="1:14">
      <c r="A74" s="149" t="s">
        <v>185</v>
      </c>
      <c r="B74" s="150"/>
      <c r="C74" s="150"/>
    </row>
    <row r="75" spans="1:14">
      <c r="A75" s="151" t="s">
        <v>186</v>
      </c>
      <c r="B75" s="247">
        <v>1735.32</v>
      </c>
      <c r="C75" s="250">
        <v>868.83500000000004</v>
      </c>
    </row>
    <row r="76" spans="1:14">
      <c r="A76" s="151" t="s">
        <v>187</v>
      </c>
      <c r="B76" s="247">
        <v>0</v>
      </c>
      <c r="C76" s="250">
        <v>0</v>
      </c>
    </row>
    <row r="77" spans="1:14">
      <c r="A77" s="151" t="s">
        <v>188</v>
      </c>
      <c r="B77" s="247">
        <v>0</v>
      </c>
      <c r="C77" s="250">
        <v>0</v>
      </c>
    </row>
    <row r="78" spans="1:14">
      <c r="A78" s="151" t="s">
        <v>189</v>
      </c>
      <c r="B78" s="247">
        <v>0</v>
      </c>
      <c r="C78" s="250">
        <v>0</v>
      </c>
    </row>
    <row r="79" spans="1:14">
      <c r="A79" s="151" t="s">
        <v>190</v>
      </c>
      <c r="B79" s="247">
        <v>28071.032950000001</v>
      </c>
      <c r="C79" s="250">
        <v>25556.38895</v>
      </c>
    </row>
    <row r="80" spans="1:14">
      <c r="A80" s="151" t="s">
        <v>191</v>
      </c>
      <c r="B80" s="247">
        <v>0</v>
      </c>
      <c r="C80" s="250">
        <v>0</v>
      </c>
    </row>
    <row r="81" spans="1:7">
      <c r="A81" s="213"/>
    </row>
    <row r="82" spans="1:7">
      <c r="A82" s="213"/>
      <c r="B82" s="229" t="s">
        <v>192</v>
      </c>
      <c r="C82" t="s">
        <v>193</v>
      </c>
      <c r="D82" t="s">
        <v>194</v>
      </c>
      <c r="E82" t="s">
        <v>195</v>
      </c>
    </row>
    <row r="83" spans="1:7">
      <c r="A83" t="s">
        <v>4</v>
      </c>
      <c r="B83" s="230">
        <f>B79</f>
        <v>28071.032950000001</v>
      </c>
      <c r="C83" s="228">
        <f>B83-D83</f>
        <v>2514.6440000000002</v>
      </c>
      <c r="D83" s="230">
        <f>C79</f>
        <v>25556.38895</v>
      </c>
      <c r="E83" s="225">
        <f>B83/B$88*100</f>
        <v>94.178019689591039</v>
      </c>
    </row>
    <row r="84" spans="1:7">
      <c r="A84" t="s">
        <v>22</v>
      </c>
      <c r="B84" s="230">
        <f>B75</f>
        <v>1735.32</v>
      </c>
      <c r="C84" s="228">
        <f>B84-D84</f>
        <v>866.4849999999999</v>
      </c>
      <c r="D84" s="230">
        <f>C75</f>
        <v>868.83500000000004</v>
      </c>
      <c r="E84" s="225">
        <f t="shared" ref="E84:E85" si="4">B84/B$88*100</f>
        <v>5.8219803104089589</v>
      </c>
    </row>
    <row r="85" spans="1:7">
      <c r="A85" t="s">
        <v>23</v>
      </c>
      <c r="B85" s="230">
        <f>SUM(B77:B78)</f>
        <v>0</v>
      </c>
      <c r="C85" s="228">
        <f>B85-D85</f>
        <v>0</v>
      </c>
      <c r="D85" s="230">
        <f>SUM(C77:C78)</f>
        <v>0</v>
      </c>
      <c r="E85" s="225">
        <f t="shared" si="4"/>
        <v>0</v>
      </c>
    </row>
    <row r="86" spans="1:7">
      <c r="A86" s="213"/>
      <c r="B86" s="230"/>
      <c r="D86" s="230"/>
    </row>
    <row r="87" spans="1:7">
      <c r="A87" s="213"/>
      <c r="B87" s="230"/>
      <c r="D87" s="230"/>
    </row>
    <row r="88" spans="1:7">
      <c r="A88" t="s">
        <v>196</v>
      </c>
      <c r="B88" s="230">
        <f>SUM(B83:B87)</f>
        <v>29806.35295</v>
      </c>
      <c r="C88" s="230">
        <f>SUM(C83:C87)</f>
        <v>3381.1289999999999</v>
      </c>
      <c r="D88" s="230">
        <f>SUM(D83:D87)</f>
        <v>26425.22395</v>
      </c>
      <c r="E88" s="225">
        <f>SUM(E83:E87)</f>
        <v>100</v>
      </c>
    </row>
    <row r="89" spans="1:7">
      <c r="A89" s="213"/>
    </row>
    <row r="90" spans="1:7">
      <c r="A90" t="s">
        <v>42</v>
      </c>
      <c r="B90" t="s">
        <v>220</v>
      </c>
      <c r="C90" t="s">
        <v>220</v>
      </c>
    </row>
    <row r="91" spans="1:7">
      <c r="A91" t="s">
        <v>42</v>
      </c>
      <c r="B91" t="s">
        <v>192</v>
      </c>
      <c r="C91" t="s">
        <v>193</v>
      </c>
      <c r="D91" t="s">
        <v>194</v>
      </c>
      <c r="E91" t="s">
        <v>195</v>
      </c>
    </row>
    <row r="92" spans="1:7">
      <c r="A92" t="s">
        <v>4</v>
      </c>
      <c r="B92" s="225">
        <v>28071.03</v>
      </c>
      <c r="C92" s="225">
        <v>2514.64</v>
      </c>
      <c r="D92" s="225">
        <v>25556.39</v>
      </c>
      <c r="E92" s="225">
        <v>94.177999999999997</v>
      </c>
      <c r="F92" s="228">
        <f>(100-E92)*B$97/100</f>
        <v>1735.3256970000009</v>
      </c>
      <c r="G92" t="str">
        <f>CONCATENATE(A92," ",TEXT(B92,"0.0,0")," MWh")</f>
        <v>Solar fotovoltaica 28.071,0 MWh</v>
      </c>
    </row>
    <row r="93" spans="1:7">
      <c r="A93" t="s">
        <v>22</v>
      </c>
      <c r="B93" s="225">
        <v>1735.32</v>
      </c>
      <c r="C93" s="225">
        <v>866.49</v>
      </c>
      <c r="D93" s="225">
        <v>868.84</v>
      </c>
      <c r="E93" s="225">
        <v>5.8220000000000001</v>
      </c>
      <c r="F93" s="228">
        <f>(100-E93)*B$97/100</f>
        <v>28071.024302999998</v>
      </c>
      <c r="G93" t="str">
        <f t="shared" ref="G93:G97" si="5">CONCATENATE(A93," ",TEXT(B93,"0.0,0")," MWh")</f>
        <v>Otras renovables 1.735,3 MWh</v>
      </c>
    </row>
    <row r="94" spans="1:7">
      <c r="A94" t="s">
        <v>5</v>
      </c>
      <c r="B94" s="225">
        <v>0</v>
      </c>
      <c r="C94" s="225">
        <v>0</v>
      </c>
      <c r="D94" s="225">
        <v>0</v>
      </c>
      <c r="E94" s="225">
        <v>0</v>
      </c>
      <c r="F94" s="228"/>
    </row>
    <row r="95" spans="1:7">
      <c r="A95" t="s">
        <v>197</v>
      </c>
      <c r="B95" s="225">
        <v>0</v>
      </c>
      <c r="C95" s="225">
        <v>0</v>
      </c>
      <c r="D95" s="225">
        <v>0</v>
      </c>
      <c r="E95" s="225">
        <v>0</v>
      </c>
      <c r="F95" s="228"/>
    </row>
    <row r="96" spans="1:7">
      <c r="A96" t="s">
        <v>23</v>
      </c>
      <c r="B96" s="225">
        <v>0</v>
      </c>
      <c r="C96" s="225">
        <v>0</v>
      </c>
      <c r="D96" s="225">
        <v>0</v>
      </c>
      <c r="E96" s="225">
        <v>0</v>
      </c>
      <c r="F96" s="228"/>
    </row>
    <row r="97" spans="1:7">
      <c r="A97" t="s">
        <v>196</v>
      </c>
      <c r="B97" s="225">
        <v>29806.35</v>
      </c>
      <c r="C97" s="225">
        <v>3381.13</v>
      </c>
      <c r="D97" s="225">
        <v>26425.23</v>
      </c>
      <c r="E97" s="225">
        <v>100</v>
      </c>
      <c r="F97" s="228"/>
      <c r="G97" t="str">
        <f t="shared" si="5"/>
        <v>Generación total autoconsumo 29.806,4 MWh</v>
      </c>
    </row>
    <row r="98" spans="1:7">
      <c r="F98" s="228"/>
    </row>
    <row r="99" spans="1:7">
      <c r="A99" s="213" t="s">
        <v>198</v>
      </c>
      <c r="F99" s="228"/>
    </row>
    <row r="100" spans="1:7">
      <c r="A100" t="s">
        <v>42</v>
      </c>
      <c r="B100" t="s">
        <v>220</v>
      </c>
      <c r="C100" t="s">
        <v>220</v>
      </c>
      <c r="F100" s="228"/>
    </row>
    <row r="101" spans="1:7">
      <c r="A101" t="s">
        <v>42</v>
      </c>
      <c r="B101" t="s">
        <v>93</v>
      </c>
      <c r="C101" t="s">
        <v>26</v>
      </c>
      <c r="F101" s="228"/>
    </row>
    <row r="102" spans="1:7">
      <c r="A102" t="s">
        <v>25</v>
      </c>
      <c r="B102" s="230">
        <v>237472.40299999999</v>
      </c>
      <c r="C102" s="230">
        <v>58.146000000000001</v>
      </c>
      <c r="F102" s="228"/>
    </row>
    <row r="103" spans="1:7">
      <c r="A103" t="s">
        <v>4</v>
      </c>
      <c r="B103" s="230">
        <v>84093.460999999996</v>
      </c>
      <c r="C103" s="230">
        <v>20.591000000000001</v>
      </c>
      <c r="F103" s="228"/>
    </row>
    <row r="104" spans="1:7">
      <c r="A104" t="s">
        <v>9</v>
      </c>
      <c r="B104" s="230">
        <v>36469.514999999999</v>
      </c>
      <c r="C104" s="230">
        <v>8.93</v>
      </c>
      <c r="F104" s="228"/>
    </row>
    <row r="105" spans="1:7">
      <c r="A105" t="s">
        <v>10</v>
      </c>
      <c r="B105" s="230">
        <v>22465.201000000001</v>
      </c>
      <c r="C105" s="230">
        <v>5.5010000000000003</v>
      </c>
      <c r="F105" s="228"/>
    </row>
    <row r="106" spans="1:7">
      <c r="A106" t="s">
        <v>46</v>
      </c>
      <c r="B106" s="230">
        <v>11267.936</v>
      </c>
      <c r="C106" s="230">
        <v>2.7589999999999999</v>
      </c>
      <c r="F106" s="228"/>
    </row>
    <row r="107" spans="1:7">
      <c r="A107" t="s">
        <v>47</v>
      </c>
      <c r="B107" s="230">
        <v>11267.936</v>
      </c>
      <c r="C107" s="230">
        <v>2.7589999999999999</v>
      </c>
      <c r="F107" s="228"/>
    </row>
    <row r="108" spans="1:7">
      <c r="A108" t="s">
        <v>23</v>
      </c>
      <c r="B108" s="230">
        <v>2726.223</v>
      </c>
      <c r="C108" s="230">
        <v>0.66800000000000004</v>
      </c>
      <c r="F108" s="228"/>
    </row>
    <row r="109" spans="1:7">
      <c r="A109" t="s">
        <v>22</v>
      </c>
      <c r="B109" s="230">
        <v>2645.58</v>
      </c>
      <c r="C109" s="230">
        <v>0.64800000000000002</v>
      </c>
      <c r="F109" s="228"/>
    </row>
    <row r="110" spans="1:7">
      <c r="A110" t="s">
        <v>5</v>
      </c>
      <c r="B110" s="230">
        <v>0</v>
      </c>
      <c r="C110" s="230">
        <v>0</v>
      </c>
      <c r="F110" s="228"/>
    </row>
    <row r="111" spans="1:7">
      <c r="A111" t="s">
        <v>197</v>
      </c>
      <c r="B111" s="230">
        <v>0</v>
      </c>
      <c r="C111" s="230">
        <v>0</v>
      </c>
      <c r="F111" s="228"/>
    </row>
    <row r="112" spans="1:7">
      <c r="A112" t="s">
        <v>199</v>
      </c>
      <c r="B112" s="230">
        <v>408408.255</v>
      </c>
      <c r="C112" s="230">
        <v>100</v>
      </c>
      <c r="F112" s="228"/>
    </row>
    <row r="113" spans="1:6">
      <c r="B113" s="230"/>
      <c r="F113" s="228"/>
    </row>
    <row r="114" spans="1:6">
      <c r="A114" t="s">
        <v>200</v>
      </c>
      <c r="B114" s="230">
        <f>SUM(B103,B106,B109:B111)</f>
        <v>98006.976999999999</v>
      </c>
      <c r="C114" s="230">
        <f>SUM(C103,C106,C109:C111)</f>
        <v>23.998000000000001</v>
      </c>
      <c r="F114" s="228"/>
    </row>
    <row r="116" spans="1:6">
      <c r="A116" s="213" t="s">
        <v>201</v>
      </c>
    </row>
    <row r="117" spans="1:6">
      <c r="A117" s="246" t="s">
        <v>60</v>
      </c>
      <c r="B117" s="246" t="s">
        <v>50</v>
      </c>
    </row>
    <row r="118" spans="1:6">
      <c r="A118" s="149" t="s">
        <v>59</v>
      </c>
      <c r="B118" s="284" t="s">
        <v>150</v>
      </c>
      <c r="C118" s="283"/>
    </row>
    <row r="119" spans="1:6">
      <c r="A119" s="149" t="s">
        <v>61</v>
      </c>
      <c r="B119" s="182" t="s">
        <v>183</v>
      </c>
      <c r="C119" s="182" t="s">
        <v>184</v>
      </c>
    </row>
    <row r="120" spans="1:6">
      <c r="A120" s="149" t="s">
        <v>185</v>
      </c>
      <c r="B120" s="150"/>
      <c r="C120" s="150"/>
    </row>
    <row r="121" spans="1:6">
      <c r="A121" s="151" t="s">
        <v>186</v>
      </c>
      <c r="B121" s="247">
        <v>1337.8810000000001</v>
      </c>
      <c r="C121" s="250">
        <v>328.54</v>
      </c>
    </row>
    <row r="122" spans="1:6">
      <c r="A122" s="151" t="s">
        <v>187</v>
      </c>
      <c r="B122" s="247">
        <v>2775.3802999999998</v>
      </c>
      <c r="C122" s="250">
        <v>1892.6052999999999</v>
      </c>
    </row>
    <row r="123" spans="1:6">
      <c r="A123" s="151" t="s">
        <v>202</v>
      </c>
      <c r="B123" s="247">
        <v>0</v>
      </c>
      <c r="C123" s="250">
        <v>0</v>
      </c>
    </row>
    <row r="124" spans="1:6">
      <c r="A124" s="151" t="s">
        <v>190</v>
      </c>
      <c r="B124" s="247">
        <v>21652.769420000001</v>
      </c>
      <c r="C124" s="250">
        <v>20356.146420000001</v>
      </c>
    </row>
    <row r="125" spans="1:6">
      <c r="A125" s="151" t="s">
        <v>191</v>
      </c>
      <c r="B125" s="247">
        <v>0</v>
      </c>
      <c r="C125" s="250">
        <v>0</v>
      </c>
    </row>
    <row r="126" spans="1:6">
      <c r="A126" s="213"/>
    </row>
    <row r="127" spans="1:6">
      <c r="A127" s="213"/>
      <c r="B127" s="229" t="s">
        <v>192</v>
      </c>
      <c r="C127" t="s">
        <v>193</v>
      </c>
      <c r="D127" t="s">
        <v>194</v>
      </c>
      <c r="E127" t="s">
        <v>195</v>
      </c>
    </row>
    <row r="128" spans="1:6">
      <c r="A128" t="s">
        <v>4</v>
      </c>
      <c r="B128" s="230">
        <f>B124</f>
        <v>21652.769420000001</v>
      </c>
      <c r="C128" s="228">
        <f t="shared" ref="C128:C130" si="6">B128-D128</f>
        <v>1296.6229999999996</v>
      </c>
      <c r="D128" s="230">
        <f>C124</f>
        <v>20356.146420000001</v>
      </c>
      <c r="E128" s="225">
        <f>B128/B$133*100</f>
        <v>84.036108065309321</v>
      </c>
    </row>
    <row r="129" spans="1:7">
      <c r="A129" t="s">
        <v>5</v>
      </c>
      <c r="B129" s="230">
        <f>B122</f>
        <v>2775.3802999999998</v>
      </c>
      <c r="C129" s="228">
        <f t="shared" si="6"/>
        <v>882.77499999999986</v>
      </c>
      <c r="D129" s="230">
        <f>C122</f>
        <v>1892.6052999999999</v>
      </c>
      <c r="E129" s="225">
        <f t="shared" ref="E129:E130" si="7">B129/B$133*100</f>
        <v>10.771470119554369</v>
      </c>
    </row>
    <row r="130" spans="1:7">
      <c r="A130" t="s">
        <v>22</v>
      </c>
      <c r="B130" s="230">
        <f>B121</f>
        <v>1337.8810000000001</v>
      </c>
      <c r="C130" s="228">
        <f t="shared" si="6"/>
        <v>1009.3410000000001</v>
      </c>
      <c r="D130" s="230">
        <f>C121</f>
        <v>328.54</v>
      </c>
      <c r="E130" s="225">
        <f t="shared" si="7"/>
        <v>5.1924218151362975</v>
      </c>
    </row>
    <row r="131" spans="1:7">
      <c r="B131" s="230"/>
      <c r="C131" s="230"/>
      <c r="D131" s="230"/>
    </row>
    <row r="132" spans="1:7">
      <c r="B132" s="230"/>
      <c r="C132" s="230"/>
      <c r="D132" s="230"/>
    </row>
    <row r="133" spans="1:7">
      <c r="A133" t="s">
        <v>196</v>
      </c>
      <c r="B133" s="230">
        <f>SUM(B128:B132)</f>
        <v>25766.030720000002</v>
      </c>
      <c r="C133" s="230">
        <f t="shared" ref="C133:E133" si="8">SUM(C128:C132)</f>
        <v>3188.7389999999996</v>
      </c>
      <c r="D133" s="230">
        <f t="shared" si="8"/>
        <v>22577.291720000001</v>
      </c>
      <c r="E133" s="230">
        <f t="shared" si="8"/>
        <v>99.999999999999986</v>
      </c>
    </row>
    <row r="134" spans="1:7">
      <c r="A134" s="213"/>
    </row>
    <row r="135" spans="1:7">
      <c r="A135" t="s">
        <v>42</v>
      </c>
      <c r="B135" t="s">
        <v>220</v>
      </c>
      <c r="C135" t="s">
        <v>220</v>
      </c>
    </row>
    <row r="136" spans="1:7">
      <c r="A136" t="s">
        <v>42</v>
      </c>
      <c r="B136" t="s">
        <v>192</v>
      </c>
      <c r="C136" t="s">
        <v>193</v>
      </c>
      <c r="D136" t="s">
        <v>194</v>
      </c>
      <c r="E136" t="s">
        <v>195</v>
      </c>
    </row>
    <row r="137" spans="1:7">
      <c r="A137" t="s">
        <v>4</v>
      </c>
      <c r="B137" s="225">
        <v>21652.77</v>
      </c>
      <c r="C137" s="225">
        <v>1296.6199999999999</v>
      </c>
      <c r="D137" s="225">
        <v>20356.150000000001</v>
      </c>
      <c r="E137" s="225">
        <v>84.036000000000001</v>
      </c>
      <c r="F137" s="228">
        <f>(100-E137)*B$142/100</f>
        <v>4113.2890291999993</v>
      </c>
      <c r="G137" t="str">
        <f>CONCATENATE(A137," ",TEXT(B137,"0.0,0")," GWh")</f>
        <v>Solar fotovoltaica 21.652,8 GWh</v>
      </c>
    </row>
    <row r="138" spans="1:7">
      <c r="A138" t="s">
        <v>5</v>
      </c>
      <c r="B138" s="225">
        <v>2775.38</v>
      </c>
      <c r="C138" s="225">
        <v>882.78</v>
      </c>
      <c r="D138" s="225">
        <v>1892.61</v>
      </c>
      <c r="E138" s="225">
        <v>10.771000000000001</v>
      </c>
      <c r="F138" s="228">
        <f t="shared" ref="F138:F139" si="9">(100-E138)*B$142/100</f>
        <v>22990.7709087</v>
      </c>
      <c r="G138" t="str">
        <f>CONCATENATE(A138," ",TEXT(B138,"0.0,0")," GWh")</f>
        <v>Eólica 2.775,4 GWh</v>
      </c>
    </row>
    <row r="139" spans="1:7">
      <c r="A139" t="s">
        <v>22</v>
      </c>
      <c r="B139" s="225">
        <v>1337.88</v>
      </c>
      <c r="C139" s="225">
        <v>1009.34</v>
      </c>
      <c r="D139" s="225">
        <v>328.54</v>
      </c>
      <c r="E139" s="225">
        <v>5.1920000000000002</v>
      </c>
      <c r="F139" s="228">
        <f t="shared" si="9"/>
        <v>24428.257722399998</v>
      </c>
      <c r="G139" t="str">
        <f>CONCATENATE(A139," ",TEXT(B139,"0.0,0")," GWh")</f>
        <v>Otras renovables 1.337,9 GWh</v>
      </c>
    </row>
    <row r="140" spans="1:7">
      <c r="A140" t="s">
        <v>12</v>
      </c>
      <c r="B140" s="225">
        <v>0</v>
      </c>
      <c r="C140" s="225">
        <v>0</v>
      </c>
      <c r="D140" s="225">
        <v>0</v>
      </c>
      <c r="E140" s="225">
        <v>0</v>
      </c>
      <c r="F140" s="228"/>
    </row>
    <row r="141" spans="1:7">
      <c r="A141" t="s">
        <v>197</v>
      </c>
      <c r="B141" s="225">
        <v>0</v>
      </c>
      <c r="C141" s="225">
        <v>0</v>
      </c>
      <c r="D141" s="225">
        <v>0</v>
      </c>
      <c r="E141" s="225">
        <v>0</v>
      </c>
      <c r="F141" s="228"/>
    </row>
    <row r="142" spans="1:7">
      <c r="A142" t="s">
        <v>196</v>
      </c>
      <c r="B142" s="225">
        <v>25766.03</v>
      </c>
      <c r="C142" s="225">
        <v>3188.74</v>
      </c>
      <c r="D142" s="225">
        <v>22577.3</v>
      </c>
      <c r="E142" s="225">
        <v>100</v>
      </c>
      <c r="F142" s="228"/>
      <c r="G142" t="str">
        <f>CONCATENATE(A142," ",TEXT(B142,"0.0,0")," GWh")</f>
        <v>Generación total autoconsumo 25.766,0 GWh</v>
      </c>
    </row>
    <row r="144" spans="1:7">
      <c r="A144" s="213" t="s">
        <v>203</v>
      </c>
    </row>
    <row r="145" spans="1:3">
      <c r="A145" t="s">
        <v>42</v>
      </c>
      <c r="B145" t="s">
        <v>220</v>
      </c>
      <c r="C145" t="s">
        <v>220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0">
        <v>302071.58100000001</v>
      </c>
      <c r="C147" s="230">
        <v>40.945999999999998</v>
      </c>
    </row>
    <row r="148" spans="1:3">
      <c r="A148" t="s">
        <v>10</v>
      </c>
      <c r="B148" s="230">
        <v>140311.111</v>
      </c>
      <c r="C148" s="230">
        <v>19.018999999999998</v>
      </c>
    </row>
    <row r="149" spans="1:3">
      <c r="A149" t="s">
        <v>8</v>
      </c>
      <c r="B149" s="230">
        <v>111859.878</v>
      </c>
      <c r="C149" s="230">
        <v>15.163</v>
      </c>
    </row>
    <row r="150" spans="1:3">
      <c r="A150" t="s">
        <v>5</v>
      </c>
      <c r="B150" s="230">
        <v>91991.141000000003</v>
      </c>
      <c r="C150" s="230">
        <v>12.47</v>
      </c>
    </row>
    <row r="151" spans="1:3">
      <c r="A151" t="s">
        <v>4</v>
      </c>
      <c r="B151" s="230">
        <v>67110.92</v>
      </c>
      <c r="C151" s="230">
        <v>9.0969999999999995</v>
      </c>
    </row>
    <row r="152" spans="1:3">
      <c r="A152" t="s">
        <v>9</v>
      </c>
      <c r="B152" s="230">
        <v>21324.907999999999</v>
      </c>
      <c r="C152" s="230">
        <v>2.891</v>
      </c>
    </row>
    <row r="153" spans="1:3">
      <c r="A153" t="s">
        <v>6</v>
      </c>
      <c r="B153" s="230">
        <v>1658.83</v>
      </c>
      <c r="C153" s="230">
        <v>0.22500000000000001</v>
      </c>
    </row>
    <row r="154" spans="1:3">
      <c r="A154" t="s">
        <v>22</v>
      </c>
      <c r="B154" s="230">
        <v>1398.95</v>
      </c>
      <c r="C154" s="230">
        <v>0.19</v>
      </c>
    </row>
    <row r="155" spans="1:3">
      <c r="A155" t="s">
        <v>12</v>
      </c>
      <c r="B155" s="230">
        <v>0</v>
      </c>
      <c r="C155" s="230">
        <v>0</v>
      </c>
    </row>
    <row r="156" spans="1:3">
      <c r="A156" t="s">
        <v>197</v>
      </c>
      <c r="B156" s="230">
        <v>0</v>
      </c>
      <c r="C156" s="230">
        <v>0</v>
      </c>
    </row>
    <row r="157" spans="1:3">
      <c r="A157" t="s">
        <v>199</v>
      </c>
      <c r="B157" s="230">
        <v>737727.31900000002</v>
      </c>
      <c r="C157" s="230">
        <v>100</v>
      </c>
    </row>
    <row r="158" spans="1:3">
      <c r="B158" s="230"/>
      <c r="C158" s="230"/>
    </row>
    <row r="159" spans="1:3">
      <c r="A159" t="s">
        <v>200</v>
      </c>
      <c r="B159" s="230">
        <f>SUM(B150:B151,B153:B156)</f>
        <v>162159.84099999999</v>
      </c>
      <c r="C159" s="230">
        <f>SUM(C150:C151,C153:C156)</f>
        <v>21.982000000000003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221</v>
      </c>
    </row>
    <row r="2" spans="1:2">
      <c r="A2" t="s">
        <v>210</v>
      </c>
    </row>
    <row r="3" spans="1:2">
      <c r="A3" t="s">
        <v>211</v>
      </c>
    </row>
    <row r="4" spans="1:2">
      <c r="A4" t="s">
        <v>212</v>
      </c>
    </row>
    <row r="5" spans="1:2">
      <c r="A5" t="s">
        <v>206</v>
      </c>
    </row>
    <row r="6" spans="1:2">
      <c r="A6" t="s">
        <v>207</v>
      </c>
    </row>
    <row r="7" spans="1:2">
      <c r="A7" t="s">
        <v>213</v>
      </c>
    </row>
    <row r="8" spans="1:2">
      <c r="A8" t="s">
        <v>215</v>
      </c>
    </row>
    <row r="9" spans="1:2">
      <c r="A9" t="s">
        <v>216</v>
      </c>
    </row>
    <row r="10" spans="1:2">
      <c r="A10" t="s">
        <v>217</v>
      </c>
    </row>
    <row r="11" spans="1:2">
      <c r="A11" t="s">
        <v>218</v>
      </c>
    </row>
    <row r="12" spans="1:2">
      <c r="A12" t="s">
        <v>219</v>
      </c>
    </row>
    <row r="13" spans="1:2">
      <c r="A13" t="s">
        <v>222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>
      <selection activeCell="K3" sqref="K3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Mayo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2" t="s">
        <v>41</v>
      </c>
      <c r="E7" s="66"/>
      <c r="F7" s="253" t="str">
        <f>K3</f>
        <v>Mayo 2026</v>
      </c>
      <c r="G7" s="254"/>
      <c r="H7" s="254" t="s">
        <v>30</v>
      </c>
      <c r="I7" s="254"/>
      <c r="J7" s="254" t="s">
        <v>31</v>
      </c>
      <c r="K7" s="254"/>
    </row>
    <row r="8" spans="3:12">
      <c r="C8" s="252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714.41802399999995</v>
      </c>
      <c r="G9" s="140">
        <f>Dat_01!AB26*100</f>
        <v>0.23912841000000001</v>
      </c>
      <c r="H9" s="72">
        <f>Dat_01!AC26/1000</f>
        <v>3615.5120389999997</v>
      </c>
      <c r="I9" s="140">
        <f>Dat_01!AE26*100</f>
        <v>0.96201972000000002</v>
      </c>
      <c r="J9" s="72">
        <f>Dat_01!AF26/1000</f>
        <v>9017.8561530000006</v>
      </c>
      <c r="K9" s="140">
        <f>Dat_01!AG26*100</f>
        <v>1.67195038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Dat_01!D167*100</f>
        <v>-0.372</v>
      </c>
      <c r="H12" s="91"/>
      <c r="I12" s="91">
        <f>Dat_01!H167*100</f>
        <v>-2.7E-2</v>
      </c>
      <c r="J12" s="91"/>
      <c r="K12" s="91">
        <f>Dat_01!L167*100</f>
        <v>1E-3</v>
      </c>
    </row>
    <row r="13" spans="3:12">
      <c r="E13" s="74" t="s">
        <v>35</v>
      </c>
      <c r="F13" s="73"/>
      <c r="G13" s="91">
        <f>Dat_01!E167*100</f>
        <v>-1.2E-2</v>
      </c>
      <c r="H13" s="91"/>
      <c r="I13" s="91">
        <f>Dat_01!I167*100</f>
        <v>0.14200000000000002</v>
      </c>
      <c r="J13" s="91"/>
      <c r="K13" s="91">
        <f>Dat_01!M167*100</f>
        <v>0.182</v>
      </c>
    </row>
    <row r="14" spans="3:12">
      <c r="E14" s="75" t="s">
        <v>36</v>
      </c>
      <c r="F14" s="76"/>
      <c r="G14" s="92">
        <f>Dat_01!F167*100</f>
        <v>0.623</v>
      </c>
      <c r="H14" s="92"/>
      <c r="I14" s="92">
        <f>Dat_01!J167*100</f>
        <v>0.84699999999999998</v>
      </c>
      <c r="J14" s="92"/>
      <c r="K14" s="92">
        <f>Dat_01!N167*100</f>
        <v>1.4890000000000001</v>
      </c>
    </row>
    <row r="15" spans="3:12">
      <c r="E15" s="255" t="s">
        <v>37</v>
      </c>
      <c r="F15" s="255"/>
      <c r="G15" s="255"/>
      <c r="H15" s="255"/>
      <c r="I15" s="255"/>
      <c r="J15" s="255"/>
      <c r="K15" s="255"/>
    </row>
    <row r="16" spans="3:12" ht="21.75" customHeight="1">
      <c r="E16" s="251" t="s">
        <v>38</v>
      </c>
      <c r="F16" s="251"/>
      <c r="G16" s="251"/>
      <c r="H16" s="251"/>
      <c r="I16" s="251"/>
      <c r="J16" s="251"/>
      <c r="K16" s="251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B2" sqref="B2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Mayo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6" t="s">
        <v>18</v>
      </c>
      <c r="E7" s="24"/>
      <c r="F7" s="257" t="s">
        <v>17</v>
      </c>
      <c r="G7" s="258"/>
      <c r="H7" s="257" t="s">
        <v>16</v>
      </c>
      <c r="I7" s="258"/>
      <c r="J7" s="257" t="s">
        <v>15</v>
      </c>
      <c r="K7" s="258"/>
      <c r="L7" s="257" t="s">
        <v>14</v>
      </c>
      <c r="M7" s="258"/>
    </row>
    <row r="8" spans="3:23" s="21" customFormat="1" ht="12.75" customHeight="1">
      <c r="C8" s="256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>
        <f>IF(Dat_01!AB8*100=-100,"-",Dat_01!AB8*100)</f>
        <v>0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1.65883</v>
      </c>
      <c r="I10" s="12">
        <f>Dat_01!AB15*100</f>
        <v>-2.50578178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90.098500999999999</v>
      </c>
      <c r="I11" s="12">
        <f>Dat_01!AB16*100</f>
        <v>-9.4090857400000001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57.665290999999996</v>
      </c>
      <c r="G12" s="12">
        <f>Dat_01!T17*100</f>
        <v>4.5641945399999999</v>
      </c>
      <c r="H12" s="132">
        <f>Dat_01!Z17/1000</f>
        <v>46.038112999999996</v>
      </c>
      <c r="I12" s="12">
        <f>Dat_01!AB17*100</f>
        <v>2.8841665400000003</v>
      </c>
      <c r="J12" s="132">
        <f>Dat_01!B17</f>
        <v>8.9999999999999993E-3</v>
      </c>
      <c r="K12" s="12">
        <f>IF(Dat_01!D17=-100%,"-",Dat_01!D17*100)</f>
        <v>-40</v>
      </c>
      <c r="L12" s="132">
        <f>Dat_01!J17/1000</f>
        <v>6.195E-3</v>
      </c>
      <c r="M12" s="12">
        <f>IF(Dat_01!L17*100=-100,"-",Dat_01!L17*100)</f>
        <v>-25.11785326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1.7767449999999998</v>
      </c>
      <c r="G13" s="12">
        <f>IF(Dat_01!T18=-100%,"-",Dat_01!T18*100)</f>
        <v>631.23999390999995</v>
      </c>
      <c r="H13" s="132">
        <f>Dat_01!Z18/1000</f>
        <v>1.0704100000000001</v>
      </c>
      <c r="I13" s="12">
        <f>IF(Dat_01!AB18*100=-100,"-",Dat_01!AB18*100)</f>
        <v>-26.449337849999999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11.267935999999999</v>
      </c>
      <c r="G14" s="12">
        <f>Dat_01!T21*100</f>
        <v>7.452576549999999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0.50010350000000003</v>
      </c>
      <c r="M14" s="12">
        <f>Dat_01!L21*100</f>
        <v>-17.952804740000001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70.709971999999993</v>
      </c>
      <c r="G15" s="148">
        <f>((SUM(Dat_01!R8,Dat_01!R15:R18,Dat_01!R20)/SUM(Dat_01!S8,Dat_01!S15:S18,Dat_01!S20))-1)*100</f>
        <v>7.3353420781439027</v>
      </c>
      <c r="H15" s="147">
        <f>SUM(H9:H14)</f>
        <v>138.86585399999998</v>
      </c>
      <c r="I15" s="148">
        <f>((SUM(Dat_01!Z8,Dat_01!Z15:Z18,Dat_01!Z20)/SUM(Dat_01!AA8,Dat_01!AA15:AA18,Dat_01!AA20))-1)*100</f>
        <v>-5.7647033794917979</v>
      </c>
      <c r="J15" s="147">
        <f>SUM(J9:J14)</f>
        <v>8.9999999999999993E-3</v>
      </c>
      <c r="K15" s="148">
        <f>IF(Dat_01!D17=-100%,"-",Dat_01!D17*100)</f>
        <v>-40</v>
      </c>
      <c r="L15" s="147">
        <f>SUM(L9:L14)</f>
        <v>0.50629849999999998</v>
      </c>
      <c r="M15" s="148">
        <f>((SUM(Dat_01!J8,Dat_01!J15:J18,Dat_01!J20)/SUM(Dat_01!K8,Dat_01!K15:K18,Dat_01!K20))-1)*100</f>
        <v>-18.048751668205732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22.465201</v>
      </c>
      <c r="G17" s="18">
        <f>((SUM(Dat_01!R10,Dat_01!R14)/SUM(Dat_01!S10,Dat_01!S14))-1)*100</f>
        <v>27.520658984994583</v>
      </c>
      <c r="H17" s="133">
        <f>SUM(Dat_01!Z10,Dat_01!Z14)/1000</f>
        <v>140.31111100000001</v>
      </c>
      <c r="I17" s="18">
        <f>((SUM(Dat_01!Z10,Dat_01!Z14)/SUM(Dat_01!AA10,Dat_01!AA14))-1)*100</f>
        <v>0.85704375171373748</v>
      </c>
      <c r="J17" s="133">
        <f>Dat_01!B10/1000</f>
        <v>14.791665999999999</v>
      </c>
      <c r="K17" s="18">
        <f>Dat_01!D10*100</f>
        <v>-6.1708996899999997</v>
      </c>
      <c r="L17" s="133">
        <f>Dat_01!J10/1000</f>
        <v>15.893559</v>
      </c>
      <c r="M17" s="18">
        <f>Dat_01!L10*100</f>
        <v>-0.19977553000000001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36.469515000000001</v>
      </c>
      <c r="G18" s="18">
        <f>Dat_01!T11*100</f>
        <v>43.196808590000003</v>
      </c>
      <c r="H18" s="133">
        <f>Dat_01!Z11/1000</f>
        <v>21.324908000000001</v>
      </c>
      <c r="I18" s="18">
        <f>Dat_01!AB11*100</f>
        <v>37.413462170000003</v>
      </c>
      <c r="J18" s="133">
        <f>Dat_01!B11/1000</f>
        <v>8.473399999999999E-2</v>
      </c>
      <c r="K18" s="18">
        <f>IF(Dat_01!D11=-100%,"-",Dat_01!D11*100)</f>
        <v>662.54499640000006</v>
      </c>
      <c r="L18" s="133">
        <f>Dat_01!J11/1000</f>
        <v>2.013E-3</v>
      </c>
      <c r="M18" s="18">
        <f>IF(Dat_01!L11*100=-100,"-",Dat_01!L11*100)</f>
        <v>-23.663253700000002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111.85987799999999</v>
      </c>
      <c r="I19" s="18">
        <f>Dat_01!AB12*100</f>
        <v>36.709534550000001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58.934716000000002</v>
      </c>
      <c r="G20" s="12">
        <f>((SUM(Dat_01!R10:R12,Dat_01!R14)/SUM(Dat_01!S10:S12,Dat_01!S14))-1)*100</f>
        <v>36.787032020899524</v>
      </c>
      <c r="H20" s="132">
        <f>SUM(H17:H19)</f>
        <v>273.49589700000001</v>
      </c>
      <c r="I20" s="12">
        <f>(H20/(H17/(I17/100+1)+H18/(I18/100+1)+H19/(I19/100+1))-1)*100</f>
        <v>15.662345026446678</v>
      </c>
      <c r="J20" s="132">
        <f>SUM(J17:J19)</f>
        <v>14.876399999999999</v>
      </c>
      <c r="K20" s="12">
        <f>((SUM(Dat_01!B10:B12)/SUM(Dat_01!C10:C12))-1)*100</f>
        <v>-5.6998699509647421</v>
      </c>
      <c r="L20" s="132">
        <f>SUM(L17:L19)</f>
        <v>15.895572</v>
      </c>
      <c r="M20" s="12">
        <f>((SUM(Dat_01!J10:J12)/SUM(Dat_01!K10:K12))-1)*100</f>
        <v>-0.20366008034524707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237.47240299999999</v>
      </c>
      <c r="G21" s="12">
        <f>Dat_01!T13*100</f>
        <v>-2.9696094299999998</v>
      </c>
      <c r="H21" s="132">
        <f>Dat_01!Z13/1000</f>
        <v>302.07158099999998</v>
      </c>
      <c r="I21" s="12">
        <f>Dat_01!AB13*100</f>
        <v>-8.1548746600000008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2.7262230000000001</v>
      </c>
      <c r="G22" s="12">
        <f>Dat_01!T19*100</f>
        <v>-16.54997577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11.267935999999999</v>
      </c>
      <c r="G23" s="12">
        <f>Dat_01!T20*100</f>
        <v>7.452576549999999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0.50010350000000003</v>
      </c>
      <c r="M23" s="12">
        <f>Dat_01!L20*100</f>
        <v>-17.952804740000001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310.40127799999999</v>
      </c>
      <c r="G24" s="148">
        <f>((SUM(Dat_01!R9:R14,Dat_01!R19,Dat_01!R21)/SUM(Dat_01!S9:S14,Dat_01!S19,Dat_01!S21))-1)*100</f>
        <v>2.9255092725106735</v>
      </c>
      <c r="H24" s="134">
        <f>SUM(H16,H20:H23)</f>
        <v>575.56747799999994</v>
      </c>
      <c r="I24" s="148">
        <f>((SUM(Dat_01!Z9:Z14,Dat_01!Z19,Dat_01!Z21)/SUM(Dat_01!AA9:AA14,Dat_01!AA19,Dat_01!AA21))-1)*100</f>
        <v>1.8067509606980892</v>
      </c>
      <c r="J24" s="134">
        <f>SUM(J16,J20:J23)</f>
        <v>14.876399999999999</v>
      </c>
      <c r="K24" s="148">
        <f>((SUM(Dat_01!B9:B14,Dat_01!B19,Dat_01!B21)/SUM(Dat_01!C9:C14,Dat_01!C19,Dat_01!C21))-1)*100</f>
        <v>-5.6998699509647421</v>
      </c>
      <c r="L24" s="134">
        <f>SUM(L16,L20:L23)</f>
        <v>16.395675499999999</v>
      </c>
      <c r="M24" s="148">
        <f>((SUM(Dat_01!J9:J14,Dat_01!J19,Dat_01!J21)/SUM(Dat_01!K9:K14,Dat_01!K19,Dat_01!K21))-1)*100</f>
        <v>-0.85784813553766437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32">
        <f>Dat_01!Z23/1000</f>
        <v>7.0930000000000003E-3</v>
      </c>
      <c r="I25" s="12" t="str" cm="1">
        <f t="array" ref="I25">_xlfn.IFS(Dat_01!AB23=0%,"-",Dat_01!AB23=-100%,"-",TRUE,Dat_01!AB23*100)</f>
        <v>-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0</v>
      </c>
      <c r="G26" s="12" t="str">
        <f>IF(Dat_01!T24=-100%,"-",Dat_01!T24*100)</f>
        <v>-</v>
      </c>
      <c r="H26" s="132">
        <f>Dat_01!Z24/1000</f>
        <v>-2.2401000000000001E-2</v>
      </c>
      <c r="I26" s="12" t="str" cm="1">
        <f t="array" ref="I26">_xlfn.IFS(Dat_01!AB24=0%,"-",Dat_01!AB24=-100%,"-",TRUE,Dat_01!AB24*100)</f>
        <v>-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0</v>
      </c>
      <c r="G27" s="148" t="str">
        <f>IF(SUM(Dat_01!R23:R24)=0,"-",((SUM(Dat_01!R23:R24)/SUM(Dat_01!S23:S24))-1)*100)</f>
        <v>-</v>
      </c>
      <c r="H27" s="134">
        <f>SUM(H25:H26)</f>
        <v>-1.5308E-2</v>
      </c>
      <c r="I27" s="148" t="str">
        <f>IF(SUM(Dat_01!Z23:Z24)=0,"-",IF(SUM(Dat_01!AA23:AA24)=0,"-",((SUM(Dat_01!Z23:Z24)/SUM(Dat_01!AA23:AA24))-1)*100))</f>
        <v>-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113.97348</v>
      </c>
      <c r="G28" s="169">
        <f>Dat_01!T25*100</f>
        <v>3.19233118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495.08472999999998</v>
      </c>
      <c r="G29" s="8">
        <f>Dat_01!T26*100</f>
        <v>3.5992608600000002</v>
      </c>
      <c r="H29" s="135">
        <f>Dat_01!Z26/1000</f>
        <v>714.41802399999995</v>
      </c>
      <c r="I29" s="8">
        <f>Dat_01!AB26*100</f>
        <v>0.23912841000000001</v>
      </c>
      <c r="J29" s="135">
        <f>Dat_01!B26/1000</f>
        <v>14.876408999999999</v>
      </c>
      <c r="K29" s="8">
        <f>Dat_01!D26*100</f>
        <v>-5.69990256</v>
      </c>
      <c r="L29" s="135">
        <f>Dat_01!J26/1000</f>
        <v>16.901973999999999</v>
      </c>
      <c r="M29" s="8">
        <f>Dat_01!L26*100</f>
        <v>-1.47693311</v>
      </c>
      <c r="N29" s="7"/>
      <c r="O29" s="7"/>
    </row>
    <row r="30" spans="3:23" ht="16.350000000000001" customHeight="1">
      <c r="C30" s="10"/>
      <c r="E30" s="261" t="s">
        <v>48</v>
      </c>
      <c r="F30" s="261"/>
      <c r="G30" s="261"/>
      <c r="H30" s="261"/>
      <c r="I30" s="261"/>
      <c r="J30" s="261"/>
      <c r="K30" s="261"/>
      <c r="L30" s="145"/>
      <c r="M30" s="146"/>
      <c r="N30" s="7"/>
      <c r="O30" s="7"/>
    </row>
    <row r="31" spans="3:23" ht="12.75" customHeight="1">
      <c r="C31" s="3"/>
      <c r="D31" s="3"/>
      <c r="E31" s="260" t="s">
        <v>0</v>
      </c>
      <c r="F31" s="260"/>
      <c r="G31" s="260"/>
      <c r="H31" s="260"/>
      <c r="I31" s="260"/>
      <c r="J31" s="260"/>
      <c r="K31" s="260"/>
      <c r="L31" s="260"/>
      <c r="M31" s="260"/>
      <c r="O31" s="6"/>
    </row>
    <row r="32" spans="3:23" ht="12.75" customHeight="1">
      <c r="E32" s="259" t="s">
        <v>109</v>
      </c>
      <c r="F32" s="259"/>
      <c r="G32" s="259"/>
      <c r="H32" s="259"/>
      <c r="I32" s="259"/>
      <c r="J32" s="259"/>
      <c r="K32" s="259"/>
      <c r="L32" s="259"/>
      <c r="M32" s="259"/>
    </row>
    <row r="33" spans="3:13" ht="12.75" customHeight="1">
      <c r="C33" s="3"/>
      <c r="D33" s="3"/>
      <c r="E33" s="259" t="s">
        <v>75</v>
      </c>
      <c r="F33" s="259"/>
      <c r="G33" s="259"/>
      <c r="H33" s="259"/>
      <c r="I33" s="259"/>
      <c r="J33" s="259"/>
      <c r="K33" s="259"/>
      <c r="L33" s="259"/>
      <c r="M33" s="259"/>
    </row>
    <row r="34" spans="3:13" ht="12.75" customHeight="1">
      <c r="E34" s="259" t="s">
        <v>76</v>
      </c>
      <c r="F34" s="259"/>
      <c r="G34" s="259"/>
      <c r="H34" s="259"/>
      <c r="I34" s="259"/>
      <c r="J34" s="259"/>
      <c r="K34" s="259"/>
      <c r="L34" s="259"/>
      <c r="M34" s="259"/>
    </row>
    <row r="35" spans="3:13" ht="12.75" customHeight="1">
      <c r="E35" s="259"/>
      <c r="F35" s="259"/>
      <c r="G35" s="259"/>
      <c r="H35" s="259"/>
      <c r="I35" s="259"/>
      <c r="J35" s="259"/>
      <c r="K35" s="259"/>
      <c r="L35" s="259"/>
      <c r="M35" s="259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 G24 K15" formula="1"/>
    <ignoredError sqref="M20" formulaRange="1"/>
    <ignoredError sqref="K20 G27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J23" sqref="J23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Mayo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2" t="s">
        <v>99</v>
      </c>
      <c r="D7" s="37"/>
      <c r="E7" s="41"/>
    </row>
    <row r="8" spans="2:12" s="31" customFormat="1" ht="12.75" customHeight="1">
      <c r="B8" s="39"/>
      <c r="C8" s="262"/>
      <c r="D8" s="37"/>
      <c r="E8" s="41"/>
      <c r="J8" s="30"/>
      <c r="K8" s="30"/>
      <c r="L8" s="30"/>
    </row>
    <row r="9" spans="2:12" s="31" customFormat="1" ht="12.75" customHeight="1">
      <c r="B9" s="39"/>
      <c r="C9" s="262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2.331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2" t="s">
        <v>107</v>
      </c>
      <c r="E24" s="35"/>
      <c r="J24" s="31"/>
      <c r="K24" s="31"/>
    </row>
    <row r="25" spans="2:12">
      <c r="C25" s="262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Mayo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101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263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Mayo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101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I21" sqref="I21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Mayo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2" t="s">
        <v>100</v>
      </c>
      <c r="D7" s="37"/>
      <c r="E7" s="41"/>
    </row>
    <row r="8" spans="2:12" s="31" customFormat="1" ht="12.75" customHeight="1">
      <c r="B8" s="39"/>
      <c r="C8" s="262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2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3.439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2" t="s">
        <v>108</v>
      </c>
      <c r="E24" s="35"/>
      <c r="J24" s="31"/>
      <c r="K24" s="31"/>
    </row>
    <row r="25" spans="2:12">
      <c r="C25" s="262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Mayo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3" t="s">
        <v>102</v>
      </c>
      <c r="D7" s="55"/>
      <c r="E7" s="59"/>
    </row>
    <row r="8" spans="1:20" ht="12.75" customHeight="1">
      <c r="A8" s="58"/>
      <c r="B8" s="57"/>
      <c r="C8" s="263"/>
      <c r="D8" s="55"/>
      <c r="E8" s="59"/>
      <c r="F8" s="54"/>
    </row>
    <row r="9" spans="1:20" ht="12.75" customHeight="1">
      <c r="A9" s="58"/>
      <c r="B9" s="57"/>
      <c r="C9" s="263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SN15</vt:lpstr>
      <vt:lpstr>SN16</vt:lpstr>
      <vt:lpstr>SN17</vt:lpstr>
      <vt:lpstr>Dat_01</vt:lpstr>
      <vt:lpstr>Dat_02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2026-06-15T14:23:42Z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