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ml.chartshapes+xml"/>
  <Override PartName="/xl/charts/chart20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4.xml" ContentType="application/vnd.openxmlformats-officedocument.drawing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JUN\INF_ELABORADA\"/>
    </mc:Choice>
  </mc:AlternateContent>
  <xr:revisionPtr revIDLastSave="0" documentId="13_ncr:1_{37988F80-FEB8-4703-BFED-22DE62440102}" xr6:coauthVersionLast="47" xr6:coauthVersionMax="47" xr10:uidLastSave="{00000000-0000-0000-0000-000000000000}"/>
  <bookViews>
    <workbookView xWindow="-120" yWindow="-120" windowWidth="29040" windowHeight="15720" tabRatio="884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0" r:id="rId14"/>
    <sheet name="SN12" sheetId="32" r:id="rId15"/>
    <sheet name="SN13" sheetId="31" r:id="rId16"/>
    <sheet name="SN14" sheetId="33" r:id="rId17"/>
    <sheet name="SN15" sheetId="34" r:id="rId18"/>
    <sheet name="SN16" sheetId="35" r:id="rId19"/>
    <sheet name="SN17" sheetId="36" r:id="rId20"/>
    <sheet name="Dat_01" sheetId="18" r:id="rId21"/>
    <sheet name="Dat_02" sheetId="37" r:id="rId22"/>
    <sheet name="Mozart Reports" sheetId="19" state="veryHidden" r:id="rId23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3">#REF!</definedName>
    <definedName name="ccc" localSheetId="14">#N/A</definedName>
    <definedName name="ccc" localSheetId="15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3">#REF!</definedName>
    <definedName name="CUADRO_ANTERIOR" localSheetId="14">#N/A</definedName>
    <definedName name="CUADRO_ANTERIOR" localSheetId="15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3">#REF!</definedName>
    <definedName name="CUADRO_PROXIMO" localSheetId="14">#N/A</definedName>
    <definedName name="CUADRO_PROXIMO" localSheetId="15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21">#REF!</definedName>
    <definedName name="Demanda" localSheetId="14">#REF!</definedName>
    <definedName name="Demanda" localSheetId="11">#REF!</definedName>
    <definedName name="Demanda">#REF!</definedName>
    <definedName name="Eol_Dia" localSheetId="21">OFFSET(#REF!,0,0,COUNT(#REF!),1)</definedName>
    <definedName name="Eol_Dia" localSheetId="16">OFFSET(#REF!,0,0,COUNT(#REF!),1)</definedName>
    <definedName name="Eol_Dia" localSheetId="17">OFFSET(#REF!,0,0,COUNT(#REF!),1)</definedName>
    <definedName name="Eol_Dia" localSheetId="18">OFFSET(#REF!,0,0,COUNT(#REF!),1)</definedName>
    <definedName name="Eol_Dia" localSheetId="19">OFFSET(#REF!,0,0,COUNT(#REF!),1)</definedName>
    <definedName name="Eol_Dia">OFFSET(#REF!,0,0,COUNT(#REF!),1)</definedName>
    <definedName name="Eol_Fechas" localSheetId="21">OFFSET(#REF!,0,0,COUNT(#REF!),1)</definedName>
    <definedName name="Eol_Fechas" localSheetId="16">OFFSET(#REF!,0,0,COUNT(#REF!),1)</definedName>
    <definedName name="Eol_Fechas" localSheetId="17">OFFSET(#REF!,0,0,COUNT(#REF!),1)</definedName>
    <definedName name="Eol_Fechas" localSheetId="18">OFFSET(#REF!,0,0,COUNT(#REF!),1)</definedName>
    <definedName name="Eol_Fechas" localSheetId="19">OFFSET(#REF!,0,0,COUNT(#REF!),1)</definedName>
    <definedName name="Eol_Fechas">OFFSET(#REF!,0,0,COUNT(#REF!),1)</definedName>
    <definedName name="Eol_Porcentaje" localSheetId="21">OFFSET(#REF!,0,0,COUNT(#REF!),1)</definedName>
    <definedName name="Eol_Porcentaje" localSheetId="16">OFFSET(#REF!,0,0,COUNT(#REF!),1)</definedName>
    <definedName name="Eol_Porcentaje" localSheetId="17">OFFSET(#REF!,0,0,COUNT(#REF!),1)</definedName>
    <definedName name="Eol_Porcentaje" localSheetId="18">OFFSET(#REF!,0,0,COUNT(#REF!),1)</definedName>
    <definedName name="Eol_Porcentaje" localSheetId="19">OFFSET(#REF!,0,0,COUNT(#REF!),1)</definedName>
    <definedName name="Eol_Porcentaje">OFFSET(#REF!,0,0,COUNT(#REF!),1)</definedName>
    <definedName name="Fecha" localSheetId="21">#REF!</definedName>
    <definedName name="Fecha" localSheetId="14">#REF!</definedName>
    <definedName name="Fecha" localSheetId="11">#REF!</definedName>
    <definedName name="Fecha">#REF!</definedName>
    <definedName name="FINALIZAR" localSheetId="12">#REF!</definedName>
    <definedName name="FINALIZAR" localSheetId="13">#REF!</definedName>
    <definedName name="FINALIZAR" localSheetId="14">#N/A</definedName>
    <definedName name="FINALIZAR" localSheetId="15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21">OFFSET(#REF!,0,0,COUNT(#REF!),1)</definedName>
    <definedName name="H_Eol" localSheetId="16">OFFSET(#REF!,0,0,COUNT(#REF!),1)</definedName>
    <definedName name="H_Eol" localSheetId="17">OFFSET(#REF!,0,0,COUNT(#REF!),1)</definedName>
    <definedName name="H_Eol" localSheetId="18">OFFSET(#REF!,0,0,COUNT(#REF!),1)</definedName>
    <definedName name="H_Eol" localSheetId="19">OFFSET(#REF!,0,0,COUNT(#REF!),1)</definedName>
    <definedName name="H_Eol">OFFSET(#REF!,0,0,COUNT(#REF!),1)</definedName>
    <definedName name="H_Gen" localSheetId="21">OFFSET(#REF!,0,0,COUNT(#REF!),1)</definedName>
    <definedName name="H_Gen" localSheetId="16">OFFSET(#REF!,0,0,COUNT(#REF!),1)</definedName>
    <definedName name="H_Gen" localSheetId="17">OFFSET(#REF!,0,0,COUNT(#REF!),1)</definedName>
    <definedName name="H_Gen" localSheetId="18">OFFSET(#REF!,0,0,COUNT(#REF!),1)</definedName>
    <definedName name="H_Gen" localSheetId="19">OFFSET(#REF!,0,0,COUNT(#REF!),1)</definedName>
    <definedName name="H_Gen">OFFSET(#REF!,0,0,COUNT(#REF!),1)</definedName>
    <definedName name="H_Porcentaje" localSheetId="21">OFFSET(#REF!,0,0,COUNT(#REF!),1)</definedName>
    <definedName name="H_Porcentaje" localSheetId="16">OFFSET(#REF!,0,0,COUNT(#REF!),1)</definedName>
    <definedName name="H_Porcentaje" localSheetId="17">OFFSET(#REF!,0,0,COUNT(#REF!),1)</definedName>
    <definedName name="H_Porcentaje" localSheetId="18">OFFSET(#REF!,0,0,COUNT(#REF!),1)</definedName>
    <definedName name="H_Porcentaje" localSheetId="19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3">#REF!</definedName>
    <definedName name="IMPRESION" localSheetId="14">#N/A</definedName>
    <definedName name="IMPRESION" localSheetId="15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21">[0]!INDICE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7">[0]!INDICE</definedName>
    <definedName name="Índice" localSheetId="18">[0]!INDICE</definedName>
    <definedName name="Índice" localSheetId="19">[0]!INDICE</definedName>
    <definedName name="Índice" localSheetId="11">[0]!INDICE</definedName>
    <definedName name="Índice">[0]!INDICE</definedName>
    <definedName name="indice_jcol" localSheetId="21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7">[0]!INDICE</definedName>
    <definedName name="indice_jcol" localSheetId="18">[0]!INDICE</definedName>
    <definedName name="indice_jcol" localSheetId="19">[0]!INDICE</definedName>
    <definedName name="indice_jcol" localSheetId="11">[0]!INDICE</definedName>
    <definedName name="indice_jcol">[0]!INDICE</definedName>
    <definedName name="Int_CFraExp" localSheetId="21">OFFSET(#REF!,0,0,COUNT(#REF!),1)</definedName>
    <definedName name="Int_CFraExp">OFFSET(#REF!,0,0,COUNT(#REF!),1)</definedName>
    <definedName name="Int_CFraImp" localSheetId="21">OFFSET(#REF!,0,0,COUNT(#REF!),1)</definedName>
    <definedName name="Int_CFraImp">OFFSET(#REF!,0,0,COUNT(#REF!),1)</definedName>
    <definedName name="Int_CPorExp" localSheetId="21">OFFSET(#REF!,0,0,COUNT(#REF!),1)</definedName>
    <definedName name="Int_CPorExp">OFFSET(#REF!,0,0,COUNT(#REF!),1)</definedName>
    <definedName name="Int_CPorImp" localSheetId="21">OFFSET(#REF!,0,0,COUNT(#REF!),1)</definedName>
    <definedName name="Int_CPorImp">OFFSET(#REF!,0,0,COUNT(#REF!),1)</definedName>
    <definedName name="Int_Meses" localSheetId="21">OFFSET(#REF!,0,0,COUNT(#REF!),1)</definedName>
    <definedName name="Int_Meses">OFFSET(#REF!,0,0,COUNT(#REF!),1)</definedName>
    <definedName name="Int_SFra" localSheetId="21">OFFSET(#REF!,0,0,COUNT(#REF!),1)</definedName>
    <definedName name="Int_SFra">OFFSET(#REF!,0,0,COUNT(#REF!),1)</definedName>
    <definedName name="Int_SPor" localSheetId="21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21">#REF!</definedName>
    <definedName name="MSTR.Balance._Día_máx_generación_renovable._Histórico" localSheetId="16">#REF!</definedName>
    <definedName name="MSTR.Balance._Día_máx_generación_renovable._Histórico" localSheetId="17">#REF!</definedName>
    <definedName name="MSTR.Balance._Día_máx_generación_renovable._Histórico" localSheetId="18">#REF!</definedName>
    <definedName name="MSTR.Balance._Día_máx_generación_renovable._Histórico" localSheetId="19">#REF!</definedName>
    <definedName name="MSTR.Balance._Día_máx_generación_renovable._Histórico">#REF!</definedName>
    <definedName name="MSTR.Balance._Día_máx_generación_renovable._Mes" localSheetId="21">#REF!</definedName>
    <definedName name="MSTR.Balance._Día_máx_generación_renovable._Mes" localSheetId="16">#REF!</definedName>
    <definedName name="MSTR.Balance._Día_máx_generación_renovable._Mes" localSheetId="17">#REF!</definedName>
    <definedName name="MSTR.Balance._Día_máx_generación_renovable._Mes" localSheetId="18">#REF!</definedName>
    <definedName name="MSTR.Balance._Día_máx_generación_renovable._Mes" localSheetId="19">#REF!</definedName>
    <definedName name="MSTR.Balance._Día_máx_generación_renovable._Mes">#REF!</definedName>
    <definedName name="MSTR.Balance_B.C._Diario_Peninsular" localSheetId="21">#REF!</definedName>
    <definedName name="MSTR.Balance_B.C._Diario_Peninsular">#REF!</definedName>
    <definedName name="MSTR.Balance_B.C._Horario_Eólico" localSheetId="21">#REF!</definedName>
    <definedName name="MSTR.Balance_B.C._Horario_Eólico">#REF!</definedName>
    <definedName name="MSTR.Balance_B.C._Mensual_Nacional" localSheetId="16">#REF!</definedName>
    <definedName name="MSTR.Balance_B.C._Mensual_Nacional" localSheetId="17">#REF!</definedName>
    <definedName name="MSTR.Balance_B.C._Mensual_Nacional" localSheetId="18">#REF!</definedName>
    <definedName name="MSTR.Balance_B.C._Mensual_Nacional" localSheetId="19">#REF!</definedName>
    <definedName name="MSTR.Balance_B.C._Mensual_Nacional">#REF!</definedName>
    <definedName name="MSTR.Balance_B.C._Mensual_Sistema_eléctrico" localSheetId="21">#REF!</definedName>
    <definedName name="MSTR.Balance_B.C._Mensual_Sistema_eléctrico" localSheetId="16">#REF!</definedName>
    <definedName name="MSTR.Balance_B.C._Mensual_Sistema_eléctrico" localSheetId="17">#REF!</definedName>
    <definedName name="MSTR.Balance_B.C._Mensual_Sistema_eléctrico" localSheetId="18">#REF!</definedName>
    <definedName name="MSTR.Balance_B.C._Mensual_Sistema_eléctrico" localSheetId="19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21">#REF!</definedName>
    <definedName name="MSTR.Emisiones_CO2" localSheetId="16">#REF!</definedName>
    <definedName name="MSTR.Emisiones_CO2" localSheetId="17">#REF!</definedName>
    <definedName name="MSTR.Emisiones_CO2" localSheetId="18">#REF!</definedName>
    <definedName name="MSTR.Emisiones_CO2" localSheetId="19">#REF!</definedName>
    <definedName name="MSTR.Emisiones_CO2">#REF!</definedName>
    <definedName name="MSTR.Emisiones_CO2.1" localSheetId="21">#REF!</definedName>
    <definedName name="MSTR.Emisiones_CO2.1" localSheetId="16">#REF!</definedName>
    <definedName name="MSTR.Emisiones_CO2.1" localSheetId="17">#REF!</definedName>
    <definedName name="MSTR.Emisiones_CO2.1" localSheetId="18">#REF!</definedName>
    <definedName name="MSTR.Emisiones_CO2.1" localSheetId="19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1" xml:space="preserve">                     Dat_02!$A$71:$C$80</definedName>
    <definedName name="MSTR.Energía_generada_y_autoconsumida.2" xml:space="preserve">                     Dat_02!$A$117:$C$125</definedName>
    <definedName name="MSTR.Energía_generada_y_autoconsumida.3" xml:space="preserve">                     Dat_02!$A$117:$C$124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Mes_del_informe.1" xml:space="preserve">                                 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Autoconsumo.2" xml:space="preserve">                                 Dat_02!$A$4:$N$13</definedName>
    <definedName name="MSTR.Potencia_instalada_Autoconsumo.3" xml:space="preserve">                                 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Dat_02!$A$48:$N$64</definedName>
    <definedName name="MSTR.Potencia_instalada_Total.2" xml:space="preserve">                                 Dat_02!$A$15:$N$31</definedName>
    <definedName name="MSTR.Potencia_instalada_Total.3" xml:space="preserve">                                 Dat_02!$A$48:$N$64</definedName>
    <definedName name="MSTR.Serie_Balance_B.C._Mensual_Peninsular" localSheetId="21">#REF!</definedName>
    <definedName name="MSTR.Serie_Balance_B.C._Mensual_Peninsular" localSheetId="16">#REF!</definedName>
    <definedName name="MSTR.Serie_Balance_B.C._Mensual_Peninsular" localSheetId="17">#REF!</definedName>
    <definedName name="MSTR.Serie_Balance_B.C._Mensual_Peninsular" localSheetId="18">#REF!</definedName>
    <definedName name="MSTR.Serie_Balance_B.C._Mensual_Peninsular" localSheetId="19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localSheetId="21">#REF!</definedName>
    <definedName name="MSTR.Variación_y_componentes_mensual_de_la_demanda" xml:space="preserve">                                   Dat_01!$A$158:$N$161</definedName>
    <definedName name="MSTR.Variación_y_componentes_mensual_de_la_demanda.1" localSheetId="21">#REF!</definedName>
    <definedName name="MSTR.Variación_y_componentes_mensual_de_la_demanda.1" xml:space="preserve">                                   Dat_01!$A$164:$N$167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3">#REF!</definedName>
    <definedName name="nnn" localSheetId="14">#N/A</definedName>
    <definedName name="nnn" localSheetId="15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3">#REF!</definedName>
    <definedName name="nnnn" localSheetId="14">#N/A</definedName>
    <definedName name="nnnn" localSheetId="15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3">#REF!</definedName>
    <definedName name="nu" localSheetId="14">#N/A</definedName>
    <definedName name="nu" localSheetId="15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3">#REF!</definedName>
    <definedName name="PRINCIPAL" localSheetId="14">#N/A</definedName>
    <definedName name="PRINCIPAL" localSheetId="15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21">OFFSET(#REF!,0,0,COUNT(#REF!),1)</definedName>
    <definedName name="Prod" localSheetId="16">OFFSET(#REF!,0,0,COUNT(#REF!),1)</definedName>
    <definedName name="Prod" localSheetId="17">OFFSET(#REF!,0,0,COUNT(#REF!),1)</definedName>
    <definedName name="Prod" localSheetId="18">OFFSET(#REF!,0,0,COUNT(#REF!),1)</definedName>
    <definedName name="Prod" localSheetId="19">OFFSET(#REF!,0,0,COUNT(#REF!),1)</definedName>
    <definedName name="Prod">OFFSET(#REF!,0,0,COUNT(#REF!),1)</definedName>
    <definedName name="Prod_Dia" localSheetId="21">OFFSET(#REF!,0,0,COUNT(#REF!),1)</definedName>
    <definedName name="Prod_Dia" localSheetId="16">OFFSET(#REF!,0,0,COUNT(#REF!),1)</definedName>
    <definedName name="Prod_Dia" localSheetId="17">OFFSET(#REF!,0,0,COUNT(#REF!),1)</definedName>
    <definedName name="Prod_Dia" localSheetId="18">OFFSET(#REF!,0,0,COUNT(#REF!),1)</definedName>
    <definedName name="Prod_Dia" localSheetId="19">OFFSET(#REF!,0,0,COUNT(#REF!),1)</definedName>
    <definedName name="Prod_Dia">OFFSET(#REF!,0,0,COUNT(#REF!),1)</definedName>
    <definedName name="Prod_Inter" localSheetId="21">OFFSET(#REF!,0,0,COUNT(#REF!),1)</definedName>
    <definedName name="Prod_Inter">OFFSET(#REF!,0,0,COUNT(#REF!),1)</definedName>
    <definedName name="Prod_Med" localSheetId="21">OFFSET(#REF!,0,0,COUNT(#REF!),1)</definedName>
    <definedName name="Prod_Med" localSheetId="16">OFFSET(#REF!,0,0,COUNT(#REF!),1)</definedName>
    <definedName name="Prod_Med" localSheetId="17">OFFSET(#REF!,0,0,COUNT(#REF!),1)</definedName>
    <definedName name="Prod_Med" localSheetId="18">OFFSET(#REF!,0,0,COUNT(#REF!),1)</definedName>
    <definedName name="Prod_Med" localSheetId="19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3">#REF!</definedName>
    <definedName name="rosa" localSheetId="14">#N/A</definedName>
    <definedName name="rosa" localSheetId="15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3">#REF!</definedName>
    <definedName name="rosa2" localSheetId="14">#N/A</definedName>
    <definedName name="rosa2" localSheetId="15">#REF!</definedName>
    <definedName name="rosa2" localSheetId="10">#REF!</definedName>
    <definedName name="rosa2" localSheetId="11">#N/A</definedName>
    <definedName name="rosa2">#N/A</definedName>
    <definedName name="sfasfasf" localSheetId="21">[0]!INDICE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7">[0]!INDICE</definedName>
    <definedName name="sfasfasf" localSheetId="18">[0]!INDICE</definedName>
    <definedName name="sfasfasf" localSheetId="19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3">#REF!</definedName>
    <definedName name="VV" localSheetId="14">#N/A</definedName>
    <definedName name="VV" localSheetId="15">#REF!</definedName>
    <definedName name="VV" localSheetId="10">#REF!</definedName>
    <definedName name="VV" localSheetId="11">#N/A</definedName>
    <definedName name="VV">#N/A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6" hidden="1">#REF!</definedName>
    <definedName name="WW" localSheetId="17" hidden="1">#REF!</definedName>
    <definedName name="WW" localSheetId="18" hidden="1">#REF!</definedName>
    <definedName name="WW" localSheetId="19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21">#REF!</definedName>
    <definedName name="xxxxx" localSheetId="12">#N/A</definedName>
    <definedName name="xxxxx" localSheetId="13">#N/A</definedName>
    <definedName name="xxxxx" localSheetId="14">#N/A</definedName>
    <definedName name="xxxxx" localSheetId="15">#N/A</definedName>
    <definedName name="xxxxx" localSheetId="10">#N/A</definedName>
    <definedName name="xxxxx" localSheetId="11">#N/A</definedName>
    <definedName name="xxxxx" xml:space="preserve">                                               Dat_01!$A$85:$U$117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4" i="37" l="1"/>
  <c r="G94" i="37"/>
  <c r="C159" i="37"/>
  <c r="B159" i="37"/>
  <c r="B114" i="37"/>
  <c r="N35" i="37"/>
  <c r="C114" i="37" l="1"/>
  <c r="H77" i="18" l="1"/>
  <c r="H76" i="18"/>
  <c r="H75" i="18"/>
  <c r="H74" i="18"/>
  <c r="H73" i="18"/>
  <c r="H72" i="18"/>
  <c r="H71" i="18"/>
  <c r="H70" i="18"/>
  <c r="H69" i="18"/>
  <c r="H68" i="18"/>
  <c r="G68" i="18"/>
  <c r="D68" i="18"/>
  <c r="H78" i="18" l="1"/>
  <c r="I27" i="22"/>
  <c r="G142" i="37" l="1"/>
  <c r="G139" i="37"/>
  <c r="F139" i="37"/>
  <c r="G138" i="37"/>
  <c r="F138" i="37"/>
  <c r="G137" i="37"/>
  <c r="F137" i="37"/>
  <c r="D130" i="37"/>
  <c r="B130" i="37"/>
  <c r="D129" i="37"/>
  <c r="B129" i="37"/>
  <c r="D128" i="37"/>
  <c r="B128" i="37"/>
  <c r="G97" i="37"/>
  <c r="G93" i="37"/>
  <c r="F93" i="37"/>
  <c r="G92" i="37"/>
  <c r="F92" i="37"/>
  <c r="D85" i="37"/>
  <c r="B85" i="37"/>
  <c r="D84" i="37"/>
  <c r="B84" i="37"/>
  <c r="D83" i="37"/>
  <c r="B83" i="37"/>
  <c r="N68" i="37"/>
  <c r="M68" i="37"/>
  <c r="L68" i="37"/>
  <c r="K68" i="37"/>
  <c r="J68" i="37"/>
  <c r="I68" i="37"/>
  <c r="H68" i="37"/>
  <c r="G68" i="37"/>
  <c r="F68" i="37"/>
  <c r="E68" i="37"/>
  <c r="D68" i="37"/>
  <c r="C68" i="37"/>
  <c r="B68" i="37"/>
  <c r="N67" i="37"/>
  <c r="M67" i="37"/>
  <c r="L67" i="37"/>
  <c r="K67" i="37"/>
  <c r="J67" i="37"/>
  <c r="I67" i="37"/>
  <c r="H67" i="37"/>
  <c r="G67" i="37"/>
  <c r="F67" i="37"/>
  <c r="E67" i="37"/>
  <c r="D67" i="37"/>
  <c r="C67" i="37"/>
  <c r="B67" i="37"/>
  <c r="O46" i="37"/>
  <c r="M35" i="37"/>
  <c r="L35" i="37"/>
  <c r="K35" i="37"/>
  <c r="J35" i="37"/>
  <c r="I35" i="37"/>
  <c r="H35" i="37"/>
  <c r="G35" i="37"/>
  <c r="F35" i="37"/>
  <c r="E35" i="37"/>
  <c r="D35" i="37"/>
  <c r="C35" i="37"/>
  <c r="B35" i="37"/>
  <c r="N34" i="37"/>
  <c r="M34" i="37"/>
  <c r="L34" i="37"/>
  <c r="K34" i="37"/>
  <c r="J34" i="37"/>
  <c r="I34" i="37"/>
  <c r="H34" i="37"/>
  <c r="G34" i="37"/>
  <c r="F34" i="37"/>
  <c r="E34" i="37"/>
  <c r="D34" i="37"/>
  <c r="C34" i="37"/>
  <c r="B34" i="37"/>
  <c r="O13" i="37"/>
  <c r="C128" i="37" l="1"/>
  <c r="C130" i="37"/>
  <c r="C83" i="37"/>
  <c r="D133" i="37"/>
  <c r="C85" i="37"/>
  <c r="B88" i="37"/>
  <c r="C84" i="37"/>
  <c r="C88" i="37" s="1"/>
  <c r="B133" i="37"/>
  <c r="E129" i="37" s="1"/>
  <c r="D88" i="37"/>
  <c r="C129" i="37"/>
  <c r="C133" i="37" l="1"/>
  <c r="E130" i="37"/>
  <c r="E128" i="37"/>
  <c r="E133" i="37" s="1"/>
  <c r="E83" i="37"/>
  <c r="E85" i="37"/>
  <c r="E84" i="37"/>
  <c r="E88" i="37" l="1"/>
  <c r="L73" i="18"/>
  <c r="F23" i="31" l="1"/>
  <c r="F23" i="29"/>
  <c r="F10" i="31"/>
  <c r="E8" i="31"/>
  <c r="C10" i="30"/>
  <c r="I26" i="22" a="1"/>
  <c r="I26" i="22" s="1"/>
  <c r="I25" i="22" a="1"/>
  <c r="I25" i="22" s="1"/>
  <c r="H26" i="22"/>
  <c r="H25" i="22"/>
  <c r="F29" i="22"/>
  <c r="G26" i="22"/>
  <c r="H27" i="22" l="1"/>
  <c r="L80" i="18"/>
  <c r="L79" i="18"/>
  <c r="K79" i="18" s="1"/>
  <c r="N79" i="18" s="1"/>
  <c r="O79" i="18" s="1"/>
  <c r="K73" i="18"/>
  <c r="E47" i="18"/>
  <c r="D47" i="18"/>
  <c r="F47" i="18" s="1"/>
  <c r="D48" i="18"/>
  <c r="F48" i="18" s="1"/>
  <c r="C10" i="5"/>
  <c r="C10" i="2"/>
  <c r="M80" i="18" l="1"/>
  <c r="K80" i="18"/>
  <c r="N80" i="18" s="1"/>
  <c r="O80" i="18" s="1"/>
  <c r="M79" i="18"/>
  <c r="B48" i="18"/>
  <c r="C48" i="18" l="1"/>
  <c r="O170" i="18" l="1"/>
  <c r="F10" i="29"/>
  <c r="E8" i="29"/>
  <c r="M73" i="18"/>
  <c r="L74" i="18"/>
  <c r="M74" i="18" s="1"/>
  <c r="O172" i="18" l="1"/>
  <c r="O176" i="18"/>
  <c r="O175" i="18"/>
  <c r="K74" i="18"/>
  <c r="N74" i="18" s="1"/>
  <c r="O74" i="18" s="1"/>
  <c r="N73" i="18"/>
  <c r="O73" i="18" s="1"/>
  <c r="O177" i="18" l="1"/>
  <c r="O122" i="18"/>
  <c r="O121" i="18"/>
  <c r="O173" i="18" s="1"/>
  <c r="E48" i="18"/>
  <c r="O153" i="18" l="1"/>
  <c r="O150" i="18"/>
  <c r="O152" i="18"/>
  <c r="O151" i="18"/>
  <c r="O174" i="18"/>
  <c r="N170" i="18"/>
  <c r="O171" i="18"/>
  <c r="O120" i="18" l="1"/>
  <c r="N172" i="18"/>
  <c r="N176" i="18"/>
  <c r="N175" i="18"/>
  <c r="C10" i="27"/>
  <c r="N177" i="18" l="1"/>
  <c r="K15" i="22"/>
  <c r="K12" i="22"/>
  <c r="G25" i="22" l="1" a="1"/>
  <c r="G25" i="22" s="1"/>
  <c r="G27" i="22" l="1"/>
  <c r="D79" i="18" l="1"/>
  <c r="D78" i="18"/>
  <c r="D69" i="18"/>
  <c r="G24" i="22" l="1"/>
  <c r="F26" i="22"/>
  <c r="F25" i="22"/>
  <c r="M29" i="22"/>
  <c r="L29" i="22"/>
  <c r="K29" i="22"/>
  <c r="J29" i="22"/>
  <c r="I29" i="22"/>
  <c r="H29" i="22"/>
  <c r="G29" i="22"/>
  <c r="G28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5" i="18" l="1"/>
  <c r="O137" i="18"/>
  <c r="O142" i="18"/>
  <c r="O144" i="18"/>
  <c r="O146" i="18"/>
  <c r="O148" i="18"/>
  <c r="O136" i="18"/>
  <c r="O138" i="18"/>
  <c r="O141" i="18"/>
  <c r="O143" i="18"/>
  <c r="O145" i="18"/>
  <c r="O147" i="18"/>
  <c r="O149" i="18"/>
  <c r="O123" i="18"/>
  <c r="O155" i="18" l="1"/>
  <c r="O119" i="18"/>
  <c r="M24" i="22" l="1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40" i="18" l="1"/>
  <c r="N140" i="18"/>
  <c r="M140" i="18"/>
  <c r="L140" i="18"/>
  <c r="K140" i="18"/>
  <c r="J140" i="18"/>
  <c r="I140" i="18"/>
  <c r="H140" i="18"/>
  <c r="G140" i="18"/>
  <c r="F140" i="18"/>
  <c r="E140" i="18"/>
  <c r="D140" i="18"/>
  <c r="C140" i="18"/>
  <c r="N122" i="18"/>
  <c r="M122" i="18"/>
  <c r="L122" i="18"/>
  <c r="K122" i="18"/>
  <c r="J122" i="18"/>
  <c r="I122" i="18"/>
  <c r="H122" i="18"/>
  <c r="G122" i="18"/>
  <c r="F122" i="18"/>
  <c r="E122" i="18"/>
  <c r="D122" i="18"/>
  <c r="C122" i="18"/>
  <c r="O127" i="18" l="1"/>
  <c r="O124" i="18"/>
  <c r="N121" i="18"/>
  <c r="N173" i="18" s="1"/>
  <c r="O125" i="18"/>
  <c r="O126" i="18"/>
  <c r="O128" i="18"/>
  <c r="O129" i="18"/>
  <c r="O130" i="18"/>
  <c r="O131" i="18"/>
  <c r="O132" i="18"/>
  <c r="O133" i="18"/>
  <c r="O134" i="18"/>
  <c r="N153" i="18" l="1"/>
  <c r="N150" i="18"/>
  <c r="N152" i="18"/>
  <c r="N151" i="18"/>
  <c r="N174" i="18"/>
  <c r="M170" i="18"/>
  <c r="N171" i="18"/>
  <c r="N135" i="18"/>
  <c r="N137" i="18"/>
  <c r="N142" i="18"/>
  <c r="N144" i="18"/>
  <c r="N146" i="18"/>
  <c r="N148" i="18"/>
  <c r="N136" i="18"/>
  <c r="N141" i="18"/>
  <c r="N143" i="18"/>
  <c r="N145" i="18"/>
  <c r="N147" i="18"/>
  <c r="N149" i="18"/>
  <c r="N138" i="18"/>
  <c r="O139" i="18"/>
  <c r="N124" i="18"/>
  <c r="N127" i="18"/>
  <c r="M121" i="18"/>
  <c r="M173" i="18" s="1"/>
  <c r="N123" i="18"/>
  <c r="N125" i="18"/>
  <c r="N126" i="18"/>
  <c r="N128" i="18"/>
  <c r="N129" i="18"/>
  <c r="N130" i="18"/>
  <c r="N131" i="18"/>
  <c r="N132" i="18"/>
  <c r="N134" i="18"/>
  <c r="N133" i="18"/>
  <c r="M176" i="18" l="1"/>
  <c r="M175" i="18"/>
  <c r="M172" i="18"/>
  <c r="N155" i="18"/>
  <c r="N120" i="18"/>
  <c r="M153" i="18"/>
  <c r="M151" i="18"/>
  <c r="M150" i="18"/>
  <c r="M152" i="18"/>
  <c r="N119" i="18"/>
  <c r="L170" i="18"/>
  <c r="M171" i="18"/>
  <c r="M135" i="18"/>
  <c r="M137" i="18"/>
  <c r="M142" i="18"/>
  <c r="M144" i="18"/>
  <c r="M146" i="18"/>
  <c r="M148" i="18"/>
  <c r="M136" i="18"/>
  <c r="M138" i="18"/>
  <c r="M141" i="18"/>
  <c r="M143" i="18"/>
  <c r="M145" i="18"/>
  <c r="M147" i="18"/>
  <c r="M149" i="18"/>
  <c r="M124" i="18"/>
  <c r="M127" i="18"/>
  <c r="N139" i="18"/>
  <c r="L121" i="18"/>
  <c r="L173" i="18" s="1"/>
  <c r="M123" i="18"/>
  <c r="M125" i="18"/>
  <c r="M126" i="18"/>
  <c r="M128" i="18"/>
  <c r="M129" i="18"/>
  <c r="M130" i="18"/>
  <c r="M131" i="18"/>
  <c r="M132" i="18"/>
  <c r="M133" i="18"/>
  <c r="M134" i="18"/>
  <c r="L176" i="18" l="1"/>
  <c r="L175" i="18"/>
  <c r="L172" i="18"/>
  <c r="M155" i="18"/>
  <c r="M177" i="18"/>
  <c r="L153" i="18"/>
  <c r="L151" i="18"/>
  <c r="L150" i="18"/>
  <c r="L152" i="18"/>
  <c r="M174" i="18"/>
  <c r="M120" i="18"/>
  <c r="K170" i="18"/>
  <c r="L171" i="18"/>
  <c r="M119" i="18"/>
  <c r="L142" i="18"/>
  <c r="L149" i="18"/>
  <c r="L143" i="18"/>
  <c r="L144" i="18"/>
  <c r="L146" i="18"/>
  <c r="L148" i="18"/>
  <c r="L136" i="18"/>
  <c r="L138" i="18"/>
  <c r="L145" i="18"/>
  <c r="L141" i="18"/>
  <c r="L135" i="18"/>
  <c r="L137" i="18"/>
  <c r="L147" i="18"/>
  <c r="L127" i="18"/>
  <c r="L124" i="18"/>
  <c r="M139" i="18"/>
  <c r="K121" i="18"/>
  <c r="K173" i="18" s="1"/>
  <c r="L123" i="18"/>
  <c r="L126" i="18"/>
  <c r="L130" i="18"/>
  <c r="L125" i="18"/>
  <c r="L129" i="18"/>
  <c r="L133" i="18"/>
  <c r="L128" i="18"/>
  <c r="L132" i="18"/>
  <c r="L131" i="18"/>
  <c r="L134" i="18"/>
  <c r="E3" i="16"/>
  <c r="K172" i="18" l="1"/>
  <c r="K176" i="18"/>
  <c r="K175" i="18"/>
  <c r="L177" i="18"/>
  <c r="L155" i="18"/>
  <c r="L174" i="18"/>
  <c r="K153" i="18"/>
  <c r="K151" i="18"/>
  <c r="K150" i="18"/>
  <c r="K152" i="18"/>
  <c r="L120" i="18"/>
  <c r="E3" i="30"/>
  <c r="D2" i="28"/>
  <c r="G3" i="29"/>
  <c r="E3" i="27"/>
  <c r="G3" i="31"/>
  <c r="D2" i="32"/>
  <c r="J170" i="18"/>
  <c r="K171" i="18"/>
  <c r="L119" i="18"/>
  <c r="M3" i="22"/>
  <c r="G8" i="22" s="1"/>
  <c r="I8" i="22" s="1"/>
  <c r="K8" i="22" s="1"/>
  <c r="M8" i="22" s="1"/>
  <c r="E3" i="25"/>
  <c r="E3" i="26"/>
  <c r="K136" i="18"/>
  <c r="K138" i="18"/>
  <c r="K141" i="18"/>
  <c r="K143" i="18"/>
  <c r="K145" i="18"/>
  <c r="K147" i="18"/>
  <c r="K149" i="18"/>
  <c r="K135" i="18"/>
  <c r="K137" i="18"/>
  <c r="K142" i="18"/>
  <c r="K144" i="18"/>
  <c r="K146" i="18"/>
  <c r="K148" i="18"/>
  <c r="K124" i="18"/>
  <c r="K127" i="18"/>
  <c r="L139" i="18"/>
  <c r="E3" i="13"/>
  <c r="J121" i="18"/>
  <c r="J173" i="18" s="1"/>
  <c r="K123" i="18"/>
  <c r="K125" i="18"/>
  <c r="K126" i="18"/>
  <c r="K128" i="18"/>
  <c r="K129" i="18"/>
  <c r="K130" i="18"/>
  <c r="K131" i="18"/>
  <c r="K132" i="18"/>
  <c r="K133" i="18"/>
  <c r="K134" i="18"/>
  <c r="K3" i="10"/>
  <c r="F7" i="10" s="1"/>
  <c r="G8" i="10" s="1"/>
  <c r="E3" i="5"/>
  <c r="E3" i="7"/>
  <c r="E3" i="2"/>
  <c r="K3" i="8"/>
  <c r="F7" i="8" s="1"/>
  <c r="G8" i="8" s="1"/>
  <c r="G62" i="18"/>
  <c r="G78" i="18"/>
  <c r="J172" i="18" l="1"/>
  <c r="J176" i="18"/>
  <c r="J175" i="18"/>
  <c r="K155" i="18"/>
  <c r="K177" i="18"/>
  <c r="K120" i="18"/>
  <c r="K174" i="18"/>
  <c r="J153" i="18"/>
  <c r="J151" i="18"/>
  <c r="J150" i="18"/>
  <c r="J152" i="18"/>
  <c r="K119" i="18"/>
  <c r="I170" i="18"/>
  <c r="J171" i="18"/>
  <c r="C56" i="18"/>
  <c r="C62" i="18"/>
  <c r="C60" i="18"/>
  <c r="J138" i="18"/>
  <c r="J137" i="18"/>
  <c r="J143" i="18"/>
  <c r="J149" i="18"/>
  <c r="J141" i="18"/>
  <c r="J145" i="18"/>
  <c r="J147" i="18"/>
  <c r="J135" i="18"/>
  <c r="J142" i="18"/>
  <c r="J144" i="18"/>
  <c r="J146" i="18"/>
  <c r="J148" i="18"/>
  <c r="J136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4" i="18"/>
  <c r="J127" i="18"/>
  <c r="K139" i="18"/>
  <c r="I121" i="18"/>
  <c r="I173" i="18" s="1"/>
  <c r="J123" i="18"/>
  <c r="J125" i="18"/>
  <c r="J126" i="18"/>
  <c r="J128" i="18"/>
  <c r="J129" i="18"/>
  <c r="J130" i="18"/>
  <c r="J131" i="18"/>
  <c r="J132" i="18"/>
  <c r="J133" i="18"/>
  <c r="J134" i="18"/>
  <c r="I176" i="18" l="1"/>
  <c r="I175" i="18"/>
  <c r="I172" i="18"/>
  <c r="J177" i="18"/>
  <c r="J155" i="18"/>
  <c r="J174" i="18"/>
  <c r="J120" i="18"/>
  <c r="I153" i="18"/>
  <c r="I150" i="18"/>
  <c r="I152" i="18"/>
  <c r="I151" i="18"/>
  <c r="H170" i="18"/>
  <c r="I171" i="18"/>
  <c r="J119" i="18"/>
  <c r="K52" i="18"/>
  <c r="K53" i="18"/>
  <c r="L53" i="18"/>
  <c r="L52" i="18"/>
  <c r="I141" i="18"/>
  <c r="I143" i="18"/>
  <c r="I145" i="18"/>
  <c r="I147" i="18"/>
  <c r="I149" i="18"/>
  <c r="I135" i="18"/>
  <c r="I137" i="18"/>
  <c r="I142" i="18"/>
  <c r="I144" i="18"/>
  <c r="I146" i="18"/>
  <c r="I148" i="18"/>
  <c r="I136" i="18"/>
  <c r="I138" i="18"/>
  <c r="I124" i="18"/>
  <c r="I127" i="18"/>
  <c r="J139" i="18"/>
  <c r="H121" i="18"/>
  <c r="H173" i="18" s="1"/>
  <c r="I123" i="18"/>
  <c r="I125" i="18"/>
  <c r="I126" i="18"/>
  <c r="I128" i="18"/>
  <c r="I129" i="18"/>
  <c r="I130" i="18"/>
  <c r="I131" i="18"/>
  <c r="I132" i="18"/>
  <c r="I133" i="18"/>
  <c r="I134" i="18"/>
  <c r="H62" i="18"/>
  <c r="C63" i="18"/>
  <c r="H175" i="18" l="1"/>
  <c r="H172" i="18"/>
  <c r="H174" i="18" s="1"/>
  <c r="H176" i="18"/>
  <c r="H177" i="18" s="1"/>
  <c r="I177" i="18"/>
  <c r="I155" i="18"/>
  <c r="I120" i="18"/>
  <c r="H153" i="18"/>
  <c r="H150" i="18"/>
  <c r="H152" i="18"/>
  <c r="H151" i="18"/>
  <c r="I174" i="18"/>
  <c r="I119" i="18"/>
  <c r="H171" i="18"/>
  <c r="G170" i="18"/>
  <c r="H147" i="18"/>
  <c r="H149" i="18"/>
  <c r="H141" i="18"/>
  <c r="H143" i="18"/>
  <c r="H145" i="18"/>
  <c r="H144" i="18"/>
  <c r="H135" i="18"/>
  <c r="H137" i="18"/>
  <c r="H148" i="18"/>
  <c r="H136" i="18"/>
  <c r="H138" i="18"/>
  <c r="H142" i="18"/>
  <c r="H146" i="18"/>
  <c r="H127" i="18"/>
  <c r="H124" i="18"/>
  <c r="I139" i="18"/>
  <c r="G121" i="18"/>
  <c r="G173" i="18" s="1"/>
  <c r="H123" i="18"/>
  <c r="H125" i="18"/>
  <c r="H129" i="18"/>
  <c r="H133" i="18"/>
  <c r="H130" i="18"/>
  <c r="H128" i="18"/>
  <c r="H132" i="18"/>
  <c r="H134" i="18"/>
  <c r="H131" i="18"/>
  <c r="H126" i="18"/>
  <c r="K8" i="10"/>
  <c r="I8" i="10"/>
  <c r="G175" i="18" l="1"/>
  <c r="G172" i="18"/>
  <c r="G176" i="18"/>
  <c r="H155" i="18"/>
  <c r="H120" i="18"/>
  <c r="G153" i="18"/>
  <c r="G150" i="18"/>
  <c r="G152" i="18"/>
  <c r="G151" i="18"/>
  <c r="H119" i="18"/>
  <c r="G171" i="18"/>
  <c r="F170" i="18"/>
  <c r="G141" i="18"/>
  <c r="G135" i="18"/>
  <c r="G137" i="18"/>
  <c r="G142" i="18"/>
  <c r="G144" i="18"/>
  <c r="G146" i="18"/>
  <c r="G148" i="18"/>
  <c r="G136" i="18"/>
  <c r="G138" i="18"/>
  <c r="G143" i="18"/>
  <c r="G145" i="18"/>
  <c r="G147" i="18"/>
  <c r="G149" i="18"/>
  <c r="G127" i="18"/>
  <c r="G124" i="18"/>
  <c r="H139" i="18"/>
  <c r="F121" i="18"/>
  <c r="F173" i="18" s="1"/>
  <c r="G123" i="18"/>
  <c r="G125" i="18"/>
  <c r="G126" i="18"/>
  <c r="G128" i="18"/>
  <c r="G129" i="18"/>
  <c r="G130" i="18"/>
  <c r="G131" i="18"/>
  <c r="G132" i="18"/>
  <c r="G133" i="18"/>
  <c r="G134" i="18"/>
  <c r="K8" i="8"/>
  <c r="I8" i="8"/>
  <c r="F175" i="18" l="1"/>
  <c r="F172" i="18"/>
  <c r="F176" i="18"/>
  <c r="G155" i="18"/>
  <c r="G177" i="18"/>
  <c r="G120" i="18"/>
  <c r="F153" i="18"/>
  <c r="F150" i="18"/>
  <c r="F152" i="18"/>
  <c r="F151" i="18"/>
  <c r="G174" i="18"/>
  <c r="G119" i="18"/>
  <c r="F171" i="18"/>
  <c r="E170" i="18"/>
  <c r="F141" i="18"/>
  <c r="F137" i="18"/>
  <c r="F138" i="18"/>
  <c r="F135" i="18"/>
  <c r="F142" i="18"/>
  <c r="F144" i="18"/>
  <c r="F146" i="18"/>
  <c r="F148" i="18"/>
  <c r="F143" i="18"/>
  <c r="F145" i="18"/>
  <c r="F147" i="18"/>
  <c r="F149" i="18"/>
  <c r="F136" i="18"/>
  <c r="F124" i="18"/>
  <c r="F127" i="18"/>
  <c r="G139" i="18"/>
  <c r="E121" i="18"/>
  <c r="E173" i="18" s="1"/>
  <c r="F123" i="18"/>
  <c r="F125" i="18"/>
  <c r="F126" i="18"/>
  <c r="F128" i="18"/>
  <c r="F129" i="18"/>
  <c r="F130" i="18"/>
  <c r="F131" i="18"/>
  <c r="F132" i="18"/>
  <c r="F133" i="18"/>
  <c r="F134" i="18"/>
  <c r="E12" i="16"/>
  <c r="E16" i="16"/>
  <c r="E15" i="16"/>
  <c r="E14" i="16"/>
  <c r="E13" i="16"/>
  <c r="E11" i="16"/>
  <c r="E9" i="16"/>
  <c r="E8" i="16"/>
  <c r="E175" i="18" l="1"/>
  <c r="E176" i="18"/>
  <c r="E172" i="18"/>
  <c r="F177" i="18"/>
  <c r="F120" i="18"/>
  <c r="F155" i="18"/>
  <c r="E153" i="18"/>
  <c r="E151" i="18"/>
  <c r="E152" i="18"/>
  <c r="E150" i="18"/>
  <c r="F174" i="18"/>
  <c r="F119" i="18"/>
  <c r="D170" i="18"/>
  <c r="E171" i="18"/>
  <c r="E142" i="18"/>
  <c r="E144" i="18"/>
  <c r="E146" i="18"/>
  <c r="E148" i="18"/>
  <c r="E136" i="18"/>
  <c r="E138" i="18"/>
  <c r="E141" i="18"/>
  <c r="E143" i="18"/>
  <c r="E145" i="18"/>
  <c r="E147" i="18"/>
  <c r="E149" i="18"/>
  <c r="E135" i="18"/>
  <c r="E137" i="18"/>
  <c r="E124" i="18"/>
  <c r="E127" i="18"/>
  <c r="F139" i="18"/>
  <c r="D121" i="18"/>
  <c r="D173" i="18" s="1"/>
  <c r="E123" i="18"/>
  <c r="E125" i="18"/>
  <c r="E126" i="18"/>
  <c r="E128" i="18"/>
  <c r="E129" i="18"/>
  <c r="E130" i="18"/>
  <c r="E131" i="18"/>
  <c r="E132" i="18"/>
  <c r="E133" i="18"/>
  <c r="E134" i="18"/>
  <c r="E177" i="18" l="1"/>
  <c r="D175" i="18"/>
  <c r="D176" i="18"/>
  <c r="D172" i="18"/>
  <c r="E155" i="18"/>
  <c r="D153" i="18"/>
  <c r="D151" i="18"/>
  <c r="D152" i="18"/>
  <c r="D150" i="18"/>
  <c r="E174" i="18"/>
  <c r="E120" i="18"/>
  <c r="D171" i="18"/>
  <c r="C170" i="18"/>
  <c r="C121" i="18"/>
  <c r="C173" i="18" s="1"/>
  <c r="E119" i="18"/>
  <c r="D146" i="18"/>
  <c r="D143" i="18"/>
  <c r="D142" i="18"/>
  <c r="D136" i="18"/>
  <c r="D138" i="18"/>
  <c r="D141" i="18"/>
  <c r="D147" i="18"/>
  <c r="D135" i="18"/>
  <c r="D137" i="18"/>
  <c r="D144" i="18"/>
  <c r="D148" i="18"/>
  <c r="D145" i="18"/>
  <c r="D149" i="18"/>
  <c r="D127" i="18"/>
  <c r="D124" i="18"/>
  <c r="E139" i="18"/>
  <c r="D123" i="18"/>
  <c r="D125" i="18"/>
  <c r="D128" i="18"/>
  <c r="D132" i="18"/>
  <c r="D133" i="18"/>
  <c r="D131" i="18"/>
  <c r="D126" i="18"/>
  <c r="D130" i="18"/>
  <c r="D129" i="18"/>
  <c r="D134" i="18"/>
  <c r="C172" i="18" l="1"/>
  <c r="C176" i="18"/>
  <c r="C175" i="18"/>
  <c r="D155" i="18"/>
  <c r="D177" i="18"/>
  <c r="C135" i="18"/>
  <c r="C153" i="18"/>
  <c r="C152" i="18"/>
  <c r="C151" i="18"/>
  <c r="C150" i="18"/>
  <c r="C149" i="18"/>
  <c r="C134" i="18"/>
  <c r="D174" i="18"/>
  <c r="D120" i="18"/>
  <c r="C136" i="18"/>
  <c r="C171" i="18"/>
  <c r="D119" i="18"/>
  <c r="C146" i="18"/>
  <c r="C123" i="18"/>
  <c r="C145" i="18"/>
  <c r="C133" i="18"/>
  <c r="C144" i="18"/>
  <c r="C142" i="18"/>
  <c r="C143" i="18"/>
  <c r="C141" i="18"/>
  <c r="C148" i="18"/>
  <c r="C138" i="18"/>
  <c r="C147" i="18"/>
  <c r="C137" i="18"/>
  <c r="C124" i="18"/>
  <c r="C126" i="18"/>
  <c r="D139" i="18"/>
  <c r="C127" i="18"/>
  <c r="C129" i="18"/>
  <c r="C125" i="18"/>
  <c r="C131" i="18"/>
  <c r="C130" i="18"/>
  <c r="C128" i="18"/>
  <c r="C132" i="18"/>
  <c r="C177" i="18" l="1"/>
  <c r="C174" i="18"/>
  <c r="C120" i="18"/>
  <c r="C155" i="18"/>
  <c r="C119" i="18"/>
  <c r="C139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<sst xmlns="http://schemas.openxmlformats.org/spreadsheetml/2006/main" count="776" uniqueCount="223">
  <si>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</si>
  <si>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</si>
  <si>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</si>
  <si>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</si>
  <si>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</si>
  <si>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</si>
  <si>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</si>
  <si>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</si>
  <si>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</si>
  <si>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</si>
  <si>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</si>
  <si>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</si>
  <si>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</si>
  <si>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</si>
  <si>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</si>
  <si>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</si>
  <si>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</si>
  <si>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</si>
  <si>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</si>
  <si>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</si>
  <si>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</si>
  <si>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</si>
  <si>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</si>
  <si>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</si>
  <si>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</si>
  <si>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</si>
  <si>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</si>
  <si>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</si>
  <si>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</si>
  <si>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</si>
  <si>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</si>
  <si>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</si>
  <si>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</si>
  <si>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</si>
  <si>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</si>
  <si>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</si>
  <si>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</si>
  <si>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</si>
  <si>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</si>
  <si>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</si>
  <si>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</si>
  <si>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</si>
  <si>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</si>
  <si>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</si>
  <si>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</si>
  <si>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</si>
  <si>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</si>
  <si>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</si>
  <si>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</si>
  <si>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</si>
  <si>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</si>
  <si>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</si>
  <si>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</si>
  <si>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</si>
  <si>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</si>
  <si>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</si>
  <si>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</si>
  <si>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</si>
  <si>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</si>
  <si>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</si>
  <si>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</si>
  <si>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</si>
  <si>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</si>
  <si>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</si>
  <si>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</si>
  <si>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</si>
  <si>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</si>
  <si>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</si>
  <si>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</si>
  <si>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</si>
  <si>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</si>
  <si>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</si>
  <si>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</si>
  <si>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</si>
  <si>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</si>
  <si>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</si>
  <si>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</si>
  <si>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</si>
  <si>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</si>
  <si>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</si>
  <si>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</si>
  <si>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</si>
  <si>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</si>
  <si>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</si>
  <si>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</si>
  <si>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</si>
  <si>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</si>
  <si>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</si>
  <si>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</si>
  <si>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</si>
  <si>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</si>
  <si>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</si>
  <si>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</si>
  <si>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</si>
  <si>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</si>
  <si>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</si>
  <si>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</si>
  <si>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</si>
  <si>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</si>
  <si>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</si>
  <si>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</si>
  <si>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</si>
  <si>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</si>
  <si>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</si>
  <si>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</si>
  <si>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</si>
  <si>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</si>
  <si>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</si>
  <si>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</si>
  <si>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</si>
  <si>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</si>
  <si>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</si>
  <si>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</si>
  <si>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</si>
  <si>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</si>
  <si>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</si>
  <si>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</si>
  <si>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</si>
  <si>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</si>
  <si>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</si>
  <si>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</si>
  <si>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</si>
  <si>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</si>
  <si>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</si>
  <si>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</si>
  <si>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</si>
  <si>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</si>
  <si>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</si>
  <si>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</si>
  <si>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</si>
  <si>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Junio 2025</t>
  </si>
  <si>
    <t>Julio 2025</t>
  </si>
  <si>
    <t>Carga baterías</t>
  </si>
  <si>
    <t>Agosto 2025</t>
  </si>
  <si>
    <t>Septiembre 2025</t>
  </si>
  <si>
    <t>Octubre 2025</t>
  </si>
  <si>
    <t>Estructura de energía de almacenamiento Islas Canarias</t>
  </si>
  <si>
    <t>Saldo almacenamiento Baleares</t>
  </si>
  <si>
    <t>Saldo almacenamiento Canarias</t>
  </si>
  <si>
    <t>Evolución de la energía de almacenamiento (MWh)</t>
  </si>
  <si>
    <t>Estructura de potencia instalada de almacenamiento 
Islas Canarias</t>
  </si>
  <si>
    <t>Evolución de la energía de almacenamiento 
Islas Canarias</t>
  </si>
  <si>
    <t>Balance de energía de almacenamiento 
Islas Canarias</t>
  </si>
  <si>
    <t>Saldo total Islas Canarias</t>
  </si>
  <si>
    <t>Abril 2026</t>
  </si>
  <si>
    <t>Noviembre 2025</t>
  </si>
  <si>
    <t>Diciembre 2025</t>
  </si>
  <si>
    <t>Enero 2026</t>
  </si>
  <si>
    <t>Febrero 2026</t>
  </si>
  <si>
    <t>Marzo 2026</t>
  </si>
  <si>
    <t>Mayo 2026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</si>
  <si>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</si>
  <si>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</si>
  <si>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</si>
  <si>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</si>
  <si>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</si>
  <si>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Sistema Extrapeninsular</t>
  </si>
  <si>
    <t>Potencia instalada</t>
  </si>
  <si>
    <t>2025 Junio</t>
  </si>
  <si>
    <t>2025 Julio</t>
  </si>
  <si>
    <t>2025 Agosto</t>
  </si>
  <si>
    <t>2025 Septiembre</t>
  </si>
  <si>
    <t>2025 Octubre</t>
  </si>
  <si>
    <t>2025 Noviembre</t>
  </si>
  <si>
    <t>2025 Diciembre</t>
  </si>
  <si>
    <t>2026 Enero</t>
  </si>
  <si>
    <t>2026 Febrero</t>
  </si>
  <si>
    <t>2026 Marzo</t>
  </si>
  <si>
    <t>Combustible</t>
  </si>
  <si>
    <t>Otras Renovables</t>
  </si>
  <si>
    <t>Solar Fotovoltaica</t>
  </si>
  <si>
    <t>Solar Térmica</t>
  </si>
  <si>
    <t>Ciclo Combinado</t>
  </si>
  <si>
    <t>Motor diésel</t>
  </si>
  <si>
    <t>Residuos no Renovables</t>
  </si>
  <si>
    <t>Residuos Renovables</t>
  </si>
  <si>
    <t>Turbina de Gas</t>
  </si>
  <si>
    <t>Potencia instalada autoconsumo Islas Baleares porcentaje sobre total</t>
  </si>
  <si>
    <t>Potencia autoconsumo/Potencia total</t>
  </si>
  <si>
    <t>Turbina de Vapor</t>
  </si>
  <si>
    <t>Potencia instalada autoconsumo Islas Canarias porcentaje sobre total</t>
  </si>
  <si>
    <t>Generación autoconsumo Islas Baleares (MWh)</t>
  </si>
  <si>
    <t>Energia Generada MWh</t>
  </si>
  <si>
    <t>Energía autoconsumida</t>
  </si>
  <si>
    <t>Combustible Desglose Autoconsumo</t>
  </si>
  <si>
    <t>BIG</t>
  </si>
  <si>
    <t>EOT</t>
  </si>
  <si>
    <t>GFP</t>
  </si>
  <si>
    <t>GSN</t>
  </si>
  <si>
    <t>SOF</t>
  </si>
  <si>
    <t>SOT</t>
  </si>
  <si>
    <t>Total MWh</t>
  </si>
  <si>
    <t>Vertida MWh</t>
  </si>
  <si>
    <t>Autoconsumida MWh</t>
  </si>
  <si>
    <t>Total %</t>
  </si>
  <si>
    <t>Generación total autoconsumo</t>
  </si>
  <si>
    <t>Solar térmica</t>
  </si>
  <si>
    <t>Generación total Islas Baleares (MWh)</t>
  </si>
  <si>
    <t>Generación total</t>
  </si>
  <si>
    <t>Renovables con autoconsumo</t>
  </si>
  <si>
    <t>Generación autoconsumo Islas Canarias (GWh)</t>
  </si>
  <si>
    <t>Generación total Islas Canarias (MWh)</t>
  </si>
  <si>
    <t>2026 Abril</t>
  </si>
  <si>
    <t>Desconocido</t>
  </si>
  <si>
    <t>Junio 2026</t>
  </si>
  <si>
    <t>2026 Mayo</t>
  </si>
  <si>
    <t>30/06/2026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</si>
  <si>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ut="07/09/2026 07:28:33" si="2.00000001f497ef128ec5838e1fa3ffe1c8bfbaf89a92598265b279fcfb5856d2940691a9defb3d81e7a0728e9bb42b8e01ae4ca5fd7d289347080d9328f0160d75cf4b6622fe1036c184cd0249f22dc6fc361eaa18997ff4d560ad618f1f667d479213d8025cd0d005d27f4a4bb210a67082a25851c728ec627a0d551a3838a65d9bfcc3ef9bdc712386e353cdf50dd4aaabcdae790f7ab96e11baacde12d50533780c0ebda22d4ca1feae2dcd5f9193706ad4786cc45f44f9aac1a01bad43b48673ad65dd688dd1a636d8086b5ae2c9518b1f3e2d5d1ce08aff20070c1a237535d5e57015172e114c5ed92da35ea1ee93d69627920aca77d7f14e109260711e6b988b863b8e32e8061c68fd0b577088f9826eb9fb8c127b3891499ad251bd6fc6ea.p-3082.0.1_-3082.0.1_0.1.Europe/Madrid.upriv*_1*_pidn2*_3*_session*-lat*_1.000000016eaf05c3621f2269d3ea9c3000b1ba41bc6025e070cf8abe66c69ea989ca104ff50e9f8c8144b1eef1a41a3f20bd5106d3b1d59d.000000010874dfff35119a8a73216acd18f93331bc6025e0bad0eb12f3ede38f8b10b5fc3ece77a770a23903fd402185d94316bb88374550.0.1.1.BDEbi.A2E2948BC74B9CF051A963A6CEDDABFA.0-3082.1.1_-0.1.0_-3082.1.1_5.5.0.*0.000000016d0bd9232de489362f0435681bce23a6c911585aa71bf88d2a8457a75e0f81536e4f8368.0.23.11*.4*.1200*.00787J.e.00000001f543e7643795a563441869dadbaaf043c911585ae7976e8bb4e6a0748ce9de8dac112bdf.0.10*.131*.138*.19.*0.0.0.0" msgID="D2404141BE4AAC2B0AD5DCB9F090EF95"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rows="24" cols="33" /&gt;&lt;esdo ews="" ece="" ptn="" /&gt;&lt;/excel&gt;&lt;pgs&gt;&lt;pg rows="20" cols="32" nrr="2082" nrc="3840"&gt;&lt;pg /&gt;&lt;bls&gt;&lt;bl sr="1" sc="1" rfetch="20" cfetch="32" posid="1" darows="0" dacols="1"&gt;&lt;excel&gt;&lt;epo ews="Dat_01" ece="A4" enr="MSTR.Balance_B.C._Mensual_Sistemas_Eléctricos_no_Peninsulares" ptn="" qtn="" rows="24" cols="33" /&gt;&lt;esdo ews="" ece="" ptn="" /&gt;&lt;/excel&gt;&lt;gridRng&gt;&lt;sect id="TITLE_AREA" rngprop="1:1:4:1" /&gt;&lt;sect id="ROWHEADERS_AREA" rngprop="5:1:20:1" /&gt;&lt;sect id="COLUMNHEADERS_AREA" rngprop="1:2:4:32" /&gt;&lt;sect id="DATA_AREA" rngprop="5:2:20:32" /&gt;&lt;/gridRng&gt;&lt;shapes /&gt;&lt;/bl&gt;&lt;/bls&gt;&lt;/pg&gt;&lt;/pgs&gt;&lt;/rptloc&gt;&lt;/mi&gt;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</si>
  <si>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ut="07/09/2026 07:30:35" si="2.00000001f497ef128ec5838e1fa3ffe1c8bfbaf89a92598265b279fcfb5856d2940691a9defb3d81e7a0728e9bb42b8e01ae4ca5fd7d289347080d9328f0160d75cf4b6622fe1036c184cd0249f22dc6fc361eaa18997ff4d560ad618f1f667d479213d8025cd0d005d27f4a4bb210a67082a25851c728ec627a0d551a3838a65d9bfcc3ef9bdc712386e353cdf50dd4aaabcdae790f7ab96e11baacde12d50533780c0ebda22d4ca1feae2dcd5f9193706ad4786cc45f44f9aac1a01bad43b48673ad65dd688dd1a636d8086b5ae2c9518b1f3e2d5d1ce08aff20070c1a237535d5e57015172e114c5ed92da35ea1ee93d69627920aca77d7f14e109260711e6b988b863b8e32e8061c68fd0b577088f9826eb9fb8c127b3891499ad251bd6fc6ea.p-3082.0.1_-3082.0.1_0.1.Europe/Madrid.upriv*_1*_pidn2*_3*_session*-lat*_1.000000016eaf05c3621f2269d3ea9c3000b1ba41bc6025e070cf8abe66c69ea989ca104ff50e9f8c8144b1eef1a41a3f20bd5106d3b1d59d.000000010874dfff35119a8a73216acd18f93331bc6025e0bad0eb12f3ede38f8b10b5fc3ece77a770a23903fd402185d94316bb88374550.0.1.1.BDEbi.A2E2948BC74B9CF051A963A6CEDDABFA.0-3082.1.1_-0.1.0_-3082.1.1_5.5.0.*0.000000016d0bd9232de489362f0435681bce23a6c911585aa71bf88d2a8457a75e0f81536e4f8368.0.23.11*.4*.1200*.00787J.e.00000001f543e7643795a563441869dadbaaf043c911585ae7976e8bb4e6a0748ce9de8dac112bdf.0.10*.131*.138*.19.*0.0.0.0" msgID="33AFF9518D4C7B3FC355B481153D6050"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nrr="115"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</si>
  <si>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Julio 2026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</si>
  <si>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ut="07/09/2026 08:12:36" si="2.00000001f497ef128ec5838e1fa3ffe1c8bfbaf89a92598265b279fcfb5856d2940691a9defb3d81e7a0728e9bb42b8e01ae4ca5fd7d289347080d9328f0160d75cf4b6622fe1036c184cd0249f22dc6fc361eaa18997ff4d560ad618f1f667d479213d8025cd0d005d27f4a4bb210a67082a25851c728ec627a0d551a3838a65d9bfcc3ef9bdc712386e353cdf50dd4aaabcdae790f7ab96e11baacde12d50533780c0ebda22d4ca1feae2dcd5f9193706ad4786cc45f44f9aac1a01bad43b48673ad65dd688dd1a636d8086b5ae2c9518b1f3e2d5d1ce08aff20070c1a237535d5e57015172e114c5ed92da35ea1ee93d69627920aca77d7f14e109260711e6b988b863b8e32e8061c68fd0b577088f9826eb9fb8c127b3891499ad251bd6fc6ea.p-3082.0.1_-3082.0.1_0.1.Europe/Madrid.upriv*_1*_pidn2*_3*_session*-lat*_1.000000016eaf05c3621f2269d3ea9c3000b1ba41bc6025e070cf8abe66c69ea989ca104ff50e9f8c8144b1eef1a41a3f20bd5106d3b1d59d.000000010874dfff35119a8a73216acd18f93331bc6025e0bad0eb12f3ede38f8b10b5fc3ece77a770a23903fd402185d94316bb88374550.0.1.1.BDEbi.A2E2948BC74B9CF051A963A6CEDDABFA.0-3082.1.1_-0.1.0_-3082.1.1_5.5.0.*0.000000016d0bd9232de489362f0435681bce23a6c911585aa71bf88d2a8457a75e0f81536e4f8368.0.23.11*.4*.1200*.00787J.e.00000001f543e7643795a563441869dadbaaf043c911585ae7976e8bb4e6a0748ce9de8dac112bdf.0.10*.131*.138*.19.*0.0.0.0" msgID="CDE7E0A58A42086F809858BF1205C160"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rows="33" cols="21" /&gt;&lt;esdo ews="" ece="" ptn="" /&gt;&lt;/excel&gt;&lt;pgs&gt;&lt;pg rows="30" cols="19" nrr="2955" nrc="2221"&gt;&lt;pg /&gt;&lt;bls&gt;&lt;bl sr="1" sc="1" rfetch="30" cfetch="19" posid="1" darows="0" dacols="1"&gt;&lt;excel&gt;&lt;epo ews="Dat_01" ece="A85" enr="MSTR.Serie_Balance_B.C._Mensual_Baleares_y_Canarias" ptn="" qtn="" rows="33" cols="21" /&gt;&lt;esdo ews="" ece="" ptn="" /&gt;&lt;/excel&gt;&lt;gridRng&gt;&lt;sect id="TITLE_AREA" rngprop="1:1:3:2" /&gt;&lt;sect id="ROWHEADERS_AREA" rngprop="4:1:30:2" /&gt;&lt;sect id="COLUMNHEADERS_AREA" rngprop="1:3:3:19" /&gt;&lt;sect id="DATA_AREA" rngprop="4:3:30:19" /&gt;&lt;/gridRng&gt;&lt;shapes /&gt;&lt;/bl&gt;&lt;/bls&gt;&lt;/pg&gt;&lt;/pgs&gt;&lt;/rptloc&gt;&lt;/mi&gt;</t>
  </si>
  <si>
    <t>&lt;mi app="e" ver="22"&gt;&lt;rptloc guid="2eac5bc28b7e4820873260efe39a6a01"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srv="apbi6a" prj="BDEbi" prjid="A2E2948BC74B9CF051A963A6CEDDABFA" li="SEVPENMA" am="s" /&gt;&lt;lu ut="07/09/2026 08:22:55" si="2.0000000156b4ce3811f05a946f2fe06dd0bda23ea617ee1f6751953ac951e35fd342f1e87088abd3ff3fc52a92517bcf0ce2525bfaf4625192244ce12bdb40b27e339488b6ee9e51146d9f67c7739768bf8484492642c2c6d09322dd1ce241497c207923c06fc20ecbbb699a3dfd2ee14fcfa168db8d35dec9aa9914a49b53834c03b17e84437bd1642f8081125dc92cb3d02fc8bc970b21e5921aed82ad8d25d031333d5485d20c9c15b590e56bec3d92b33c099a15ecd271db14d253aed3ea1d4b37333cf2a698e9b095aff34ea9cda05a84747d9f6aa64975e37892376cae27a8f5f1be609670ba6f7269e6b497402ee4239e39e90046a3447f436cb3d2656d682505e13f5d94e08ed12aa5de5ccc224cc2e5499fe6aba1feb64c0380e23c3272.p-3082.0.1_-3082.0.1_0.1.Europe/Madrid.upriv*_1*_pidn2*_3*_session*-lat*_1.0000000160969e2a854cf82993bc28a2aedbf585bc6025e045b22bc28e2e7aebb0ee247f39c01be678b3788be1658a48be5e4cc95d5b6499.00000001115977153b31ed545c7a266dc0064469bc6025e00bf6fd90bee3c7ed890e9e0cb5840774532f732b2cffb9ec10c0cd011a0c7a90.0.1.1.BDEbi.A2E2948BC74B9CF051A963A6CEDDABFA.0-3082.1.1_-0.1.0_-3082.1.1_5.5.0.*0.000000018bfc8b3a7d8334eef6a6d4ac7ea97087c911585abc7429fea85f128d1eb1edba2c9aa209.0.23.11*.4*.1200*.00787J.e.0000000183bbc24fac02bb4df6897c27c3d802b8c911585af4eecf48fa61b03836796fbae61d84ba.0.10*.131*.138*.18.*0.0.0.0" msgID="625AF83163484E614C717687FE1407D1"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ece="A158" enr="MSTR.Variación_y_componentes_mensual_de_la_demanda" ptn="" qtn="" rows="4" cols="14" /&gt;&lt;esdo ews="" ece="" ptn="" /&gt;&lt;/excel&gt;&lt;pgs&gt;&lt;pg rows="1" cols="12" nrr="4" nrc="48"&gt;&lt;pg /&gt;&lt;bls&gt;&lt;bl sr="1" sc="1" rfetch="1" cfetch="12" posid="1" darows="0" dacols="1"&gt;&lt;excel&gt;&lt;epo ews="Dat_01" ece="A158"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</si>
  <si>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guid="0eff69de833b422c8e8b7dee026eaa25"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srv="apbi6a" prj="BDEbi" prjid="A2E2948BC74B9CF051A963A6CEDDABFA" li="SEVPENMA" am="s" /&gt;&lt;lu ut="07/09/2026 08:23:28" si="2.0000000156b4ce3811f05a946f2fe06dd0bda23ea617ee1f6751953ac951e35fd342f1e87088abd3ff3fc52a92517bcf0ce2525bfaf4625192244ce12bdb40b27e339488b6ee9e51146d9f67c7739768bf8484492642c2c6d09322dd1ce241497c207923c06fc20ecbbb699a3dfd2ee14fcfa168db8d35dec9aa9914a49b53834c03b17e84437bd1642f8081125dc92cb3d02fc8bc970b21e5921aed82ad8d25d031333d5485d20c9c15b590e56bec3d92b33c099a15ecd271db14d253aed3ea1d4b37333cf2a698e9b095aff34ea9cda05a84747d9f6aa64975e37892376cae27a8f5f1be609670ba6f7269e6b497402ee4239e39e90046a3447f436cb3d2656d682505e13f5d94e08ed12aa5de5ccc224cc2e5499fe6aba1feb64c0380e23c3272.p-3082.0.1_-3082.0.1_0.1.Europe/Madrid.upriv*_1*_pidn2*_3*_session*-lat*_1.0000000160969e2a854cf82993bc28a2aedbf585bc6025e045b22bc28e2e7aebb0ee247f39c01be678b3788be1658a48be5e4cc95d5b6499.00000001115977153b31ed545c7a266dc0064469bc6025e00bf6fd90bee3c7ed890e9e0cb5840774532f732b2cffb9ec10c0cd011a0c7a90.0.1.1.BDEbi.A2E2948BC74B9CF051A963A6CEDDABFA.0-3082.1.1_-0.1.0_-3082.1.1_5.5.0.*0.000000018bfc8b3a7d8334eef6a6d4ac7ea97087c911585abc7429fea85f128d1eb1edba2c9aa209.0.23.11*.4*.1200*.00787J.e.0000000183bbc24fac02bb4df6897c27c3d802b8c911585af4eecf48fa61b03836796fbae61d84ba.0.10*.131*.138*.18.*0.0.0.0" msgID="DA1207799648F027033375A6B0EFC3B1"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ece="A164" enr="MSTR.Variación_y_componentes_mensual_de_la_demanda.1" ptn="" qtn="" rows="4" cols="14" /&gt;&lt;esdo ews="" ece="" ptn="" /&gt;&lt;/excel&gt;&lt;pgs&gt;&lt;pg rows="1" cols="12" nrr="5" nrc="60"&gt;&lt;pg /&gt;&lt;bls&gt;&lt;bl sr="1" sc="1" rfetch="1" cfetch="12" posid="1" darows="0" dacols="1"&gt;&lt;excel&gt;&lt;epo ews="Dat_01" ece="A164"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</si>
  <si>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guid="1efe8bfb7d4b46efaffdf77bc069c8db"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ut="07/09/2026 08:24:10" si="2.0000000156b4ce3811f05a946f2fe06dd0bda23ea617ee1f6751953ac951e35fd342f1e87088abd3ff3fc52a92517bcf0ce2525bfaf4625192244ce12bdb40b27e339488b6ee9e51146d9f67c7739768bf8484492642c2c6d09322dd1ce241497c207923c06fc20ecbbb699a3dfd2ee14fcfa168db8d35dec9aa9914a49b53834c03b17e84437bd1642f8081125dc92cb3d02fc8bc970b21e5921aed82ad8d25d031333d5485d20c9c15b590e56bec3d92b33c099a15ecd271db14d253aed3ea1d4b37333cf2a698e9b095aff34ea9cda05a84747d9f6aa64975e37892376cae27a8f5f1be609670ba6f7269e6b497402ee4239e39e90046a3447f436cb3d2656d682505e13f5d94e08ed12aa5de5ccc224cc2e5499fe6aba1feb64c0380e23c3272.p-3082.0.1_-3082.0.1_0.1.Europe/Madrid.upriv*_1*_pidn2*_3*_session*-lat*_1.0000000160969e2a854cf82993bc28a2aedbf585bc6025e045b22bc28e2e7aebb0ee247f39c01be678b3788be1658a48be5e4cc95d5b6499.00000001115977153b31ed545c7a266dc0064469bc6025e00bf6fd90bee3c7ed890e9e0cb5840774532f732b2cffb9ec10c0cd011a0c7a90.0.1.1.BDEbi.A2E2948BC74B9CF051A963A6CEDDABFA.0-3082.1.1_-0.1.0_-3082.1.1_5.5.0.*0.000000018bfc8b3a7d8334eef6a6d4ac7ea97087c911585abc7429fea85f128d1eb1edba2c9aa209.0.23.11*.4*.1200*.00787J.e.0000000183bbc24fac02bb4df6897c27c3d802b8c911585af4eecf48fa61b03836796fbae61d84ba.0.10*.131*.138*.18.*0.0.0.0" msgID="D2B33C5F3040D0406F4C8582BF97E4CF"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ece="A1" enr="MSTR.Mes_del_informe.1" ptn="" qtn="" rows="2" cols="2" /&gt;&lt;esdo ews="" ece="" ptn="" /&gt;&lt;/excel&gt;&lt;pgs&gt;&lt;pg rows="1" cols="0" nrr="4" nrc="0"&gt;&lt;pg /&gt;&lt;bls&gt;&lt;bl sr="1" sc="1" rfetch="1" cfetch="0" posid="1" darows="0" dacols="1"&gt;&lt;excel&gt;&lt;epo ews="Dat_02" ece="A1" enr="MSTR.Mes_del_informe.1"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</si>
  <si>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Junio</t>
  </si>
  <si>
    <t>&lt;mi app="e" ver="22"&gt;&lt;rptloc guid="aeb5069ee23142108d1fb9df0c221df6"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ut="07/09/2026 08:24:29" si="2.000000014c79ef2b0b45a150b6399c8d1985b8fc25dfa3dc74f15c3830e9bb8589f3124e89d42f31552094de2657527f410e28badfe0c4b48a38079649d253e1e37ecf51426a24f3844a0bc205118a28a0532a4e7be7ef1a9304ef89b510f236ddabcca2a1fd519195b72a88ae99b8e1efed15ff1521237489ce184cc09a97dc97507d1272c66de63a171532d06a006d1a34980105ee7db0cca8b0dbb0d60b5a0dcff4da6d2bf47791a0bc326c3ec234b28899ce1fc123092f4ac81c8f18e07663c51f1996da32bab36e434e46eb3316b3cb3348f85da507cce2929c66f52dfc04ed34a294fe4f4129fb2130d69b2f4bab6fdc1a6993442dcda71e73163e0943448c0dd2c6ac4e342d99005a075942501a518719339eaf3236d3cb36cc6f08b0fab5.p-3082.0.1_-3082.0.1_0.1.Europe/Madrid.upriv*_1*_pidn2*_3*_session*-lat*_1.00000001bc214e8e26c47ed4d6ca0320b99a8c56bc6025e0781ee385f3368314f71504857567a8540f14a6e38fe4a35070ff9ee1f0b3f4e5.00000001c0cc09dd0c67632ca7c97c56958c7419bc6025e0b494d3cefa2e767bea3fc2cbe495f6cd40c1d5287107a4833ff7ddd303797246.0.1.1.SIOSbi.80652F57504C7F8E3D7CF2B0B09EA47F.0-3082.1.1_-0.1.0_-3082.1.1_5.5.0.*0.000000014a7001606bd828b1f5631ff6abc213a2c911585ab627542b48ae0e14e1602bd2248a20fe.0.23.11*.4*.1200*.00787J.e.00000001986ca05e38b80a441e9d03770a38eef5c911585a7b226c008c7aca3dd14b541755a76d76.0.10*.131*.138*.19.*0.0.0.0" msgID="5F360339554A2CC4D1D5D48ADCFDAC10"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ece="A4" enr="MSTR.Potencia_instalada_Autoconsumo.2" ptn="" qtn="" rows="10" cols="14" /&gt;&lt;esdo ews="" ece="" ptn="" /&gt;&lt;/excel&gt;&lt;pgs&gt;&lt;pg rows="6" cols="13" nrr="18" nrc="39"&gt;&lt;pg&gt;&lt;attEl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enr="MSTR.Potencia_instalada_Autoconsumo.2"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</si>
  <si>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guid="c240c808041e4cafa350b0d6b505cbfd"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ut="07/09/2026 08:24:54" si="2.000000014c79ef2b0b45a150b6399c8d1985b8fc25dfa3dc74f15c3830e9bb8589f3124e89d42f31552094de2657527f410e28badfe0c4b48a38079649d253e1e37ecf51426a24f3844a0bc205118a28a0532a4e7be7ef1a9304ef89b510f236ddabcca2a1fd519195b72a88ae99b8e1efed15ff1521237489ce184cc09a97dc97507d1272c66de63a171532d06a006d1a34980105ee7db0cca8b0dbb0d60b5a0dcff4da6d2bf47791a0bc326c3ec234b28899ce1fc123092f4ac81c8f18e07663c51f1996da32bab36e434e46eb3316b3cb3348f85da507cce2929c66f52dfc04ed34a294fe4f4129fb2130d69b2f4bab6fdc1a6993442dcda71e73163e0943448c0dd2c6ac4e342d99005a075942501a518719339eaf3236d3cb36cc6f08b0fab5.p-3082.0.1_-3082.0.1_0.1.Europe/Madrid.upriv*_1*_pidn2*_3*_session*-lat*_1.00000001bc214e8e26c47ed4d6ca0320b99a8c56bc6025e0781ee385f3368314f71504857567a8540f14a6e38fe4a35070ff9ee1f0b3f4e5.00000001c0cc09dd0c67632ca7c97c56958c7419bc6025e0b494d3cefa2e767bea3fc2cbe495f6cd40c1d5287107a4833ff7ddd303797246.0.1.1.SIOSbi.80652F57504C7F8E3D7CF2B0B09EA47F.0-3082.1.1_-0.1.0_-3082.1.1_5.5.0.*0.000000014a7001606bd828b1f5631ff6abc213a2c911585ab627542b48ae0e14e1602bd2248a20fe.0.23.11*.4*.1200*.00787J.e.00000001986ca05e38b80a441e9d03770a38eef5c911585a7b226c008c7aca3dd14b541755a76d76.0.10*.131*.138*.19.*0.0.0.0" msgID="B3F1FB018E4D7CE5CF2154847D8497EE"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ece="A15" enr="MSTR.Potencia_instalada_Total.2" ptn="" qtn="" rows="17" cols="14" /&gt;&lt;esdo ews="" ece="" ptn="" /&gt;&lt;/excel&gt;&lt;pgs&gt;&lt;pg rows="13" cols="13" nrr="39" nrc="39"&gt;&lt;pg&gt;&lt;attEl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enr="MSTR.Potencia_instalada_Total.2"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</si>
  <si>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guid="e3c46d034ece4d3aa6b38f514f07435d"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ut="07/09/2026 08:25:27" si="2.000000014c79ef2b0b45a150b6399c8d1985b8fc25dfa3dc74f15c3830e9bb8589f3124e89d42f31552094de2657527f410e28badfe0c4b48a38079649d253e1e37ecf51426a24f3844a0bc205118a28a0532a4e7be7ef1a9304ef89b510f236ddabcca2a1fd519195b72a88ae99b8e1efed15ff1521237489ce184cc09a97dc97507d1272c66de63a171532d06a006d1a34980105ee7db0cca8b0dbb0d60b5a0dcff4da6d2bf47791a0bc326c3ec234b28899ce1fc123092f4ac81c8f18e07663c51f1996da32bab36e434e46eb3316b3cb3348f85da507cce2929c66f52dfc04ed34a294fe4f4129fb2130d69b2f4bab6fdc1a6993442dcda71e73163e0943448c0dd2c6ac4e342d99005a075942501a518719339eaf3236d3cb36cc6f08b0fab5.p-3082.0.1_-3082.0.1_0.1.Europe/Madrid.upriv*_1*_pidn2*_3*_session*-lat*_1.00000001bc214e8e26c47ed4d6ca0320b99a8c56bc6025e0781ee385f3368314f71504857567a8540f14a6e38fe4a35070ff9ee1f0b3f4e5.00000001c0cc09dd0c67632ca7c97c56958c7419bc6025e0b494d3cefa2e767bea3fc2cbe495f6cd40c1d5287107a4833ff7ddd303797246.0.1.1.SIOSbi.80652F57504C7F8E3D7CF2B0B09EA47F.0-3082.1.1_-0.1.0_-3082.1.1_5.5.0.*0.000000014a7001606bd828b1f5631ff6abc213a2c911585ab627542b48ae0e14e1602bd2248a20fe.0.23.11*.4*.1200*.00787J.e.00000001986ca05e38b80a441e9d03770a38eef5c911585a7b226c008c7aca3dd14b541755a76d76.0.10*.131*.138*.19.*0.0.0.0" msgID="93683603B5459315362A678BE1E22CDE"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ece="A37" enr="MSTR.Potencia_instalada_Autoconsumo.3" ptn="" qtn="" rows="10" cols="14" /&gt;&lt;esdo ews="" ece="" ptn="" /&gt;&lt;/excel&gt;&lt;pgs&gt;&lt;pg rows="6" cols="13" nrr="18" nrc="39"&gt;&lt;pg&gt;&lt;attEl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enr="MSTR.Potencia_instalada_Autoconsumo.3"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</si>
  <si>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guid="d8f78188505f45348b473716edc2d322"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ut="07/09/2026 08:26:00" si="2.000000014c79ef2b0b45a150b6399c8d1985b8fc25dfa3dc74f15c3830e9bb8589f3124e89d42f31552094de2657527f410e28badfe0c4b48a38079649d253e1e37ecf51426a24f3844a0bc205118a28a0532a4e7be7ef1a9304ef89b510f236ddabcca2a1fd519195b72a88ae99b8e1efed15ff1521237489ce184cc09a97dc97507d1272c66de63a171532d06a006d1a34980105ee7db0cca8b0dbb0d60b5a0dcff4da6d2bf47791a0bc326c3ec234b28899ce1fc123092f4ac81c8f18e07663c51f1996da32bab36e434e46eb3316b3cb3348f85da507cce2929c66f52dfc04ed34a294fe4f4129fb2130d69b2f4bab6fdc1a6993442dcda71e73163e0943448c0dd2c6ac4e342d99005a075942501a518719339eaf3236d3cb36cc6f08b0fab5.p-3082.0.1_-3082.0.1_0.1.Europe/Madrid.upriv*_1*_pidn2*_3*_session*-lat*_1.00000001bc214e8e26c47ed4d6ca0320b99a8c56bc6025e0781ee385f3368314f71504857567a8540f14a6e38fe4a35070ff9ee1f0b3f4e5.00000001c0cc09dd0c67632ca7c97c56958c7419bc6025e0b494d3cefa2e767bea3fc2cbe495f6cd40c1d5287107a4833ff7ddd303797246.0.1.1.SIOSbi.80652F57504C7F8E3D7CF2B0B09EA47F.0-3082.1.1_-0.1.0_-3082.1.1_5.5.0.*0.000000014a7001606bd828b1f5631ff6abc213a2c911585ab627542b48ae0e14e1602bd2248a20fe.0.23.11*.4*.1200*.00787J.e.00000001986ca05e38b80a441e9d03770a38eef5c911585a7b226c008c7aca3dd14b541755a76d76.0.10*.131*.138*.19.*0.0.0.0" msgID="0C711D54C842FF60A58E83B51334CD55"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ece="A48" enr="MSTR.Potencia_instalada_Total.3" ptn="" qtn="" rows="17" cols="14" /&gt;&lt;esdo ews="" ece="" ptn="" /&gt;&lt;/excel&gt;&lt;pgs&gt;&lt;pg rows="13" cols="13" nrr="39" nrc="39"&gt;&lt;pg&gt;&lt;attEl aeid="BB:771DC27940DB47705168CFB03E3D5ADD:1:2:0:2:1:3:2:Canarias" aedn="Canarias" aen="Sistema Extrapeninsular" /&gt;&lt;/pg&gt;&lt;bls&gt;&lt;bl sr="1" sc="1" rfetch="13" cfetch="13" posid="1" darows="1" dacols="1"&gt;&lt;excel&gt;&lt;epo ews="Dat_02" ece="A48" enr="MSTR.Potencia_instalada_Total.3"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</si>
  <si>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guid="912ea243f1cf47de9bccf59cc7491ac3"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ut="07/09/2026 18:17:34" si="2.00000001b38e4b83587e8db93b4e726998bb31c21f63d00732795f352af2135fd3b68b2e3b428fc2fb8ec1642700d23ad8c994e8f7dc5e84fc3de7ada50e3e6ab11fb49aa514fd49046f74a8c9e4bb22e138bd72b529be79246911737e1482cd59502d6fe97cb7f53dc49d9bc2b835fef51e9e1a02f28ddc84a5c99ad0b6639ba3486b6af5f604958844451af64542011cf2fc33977996cba1ece4f64e9b48af2532d16a66525cfa92ae8794f337fb8564042aaf4f14eebfda127cab9992841111b1f188f7ff7e48b2ada53d88033165dc8acc58d11fc935c4b9ff8d69009c3d26b481ff5d764a0cdda2aa8dacc57dc3a009fd72a11c469b6e56147b97409184add71b91617374cfd396add66a8b249244c960d8d86608b41c4554dbad01107839ac.p-3082.0.1_-3082.0.1_0.1.Europe/Madrid.upriv*_1*_pidn2*_3*_session*-lat*_1.000000016dac4042ff58d05c5e2e07aa9ccb9ea4bc6025e0e7b9846ba4668be79141c355906219fbdc1b257fc1ad01d57efe9cb3f04df1c4.00000001de797b4847cf3c1c181fa06274d3c499bc6025e0ecd5449096cafdd58aefb2c5bc0a854504651765e992538d617dc6520c678e6e.0.1.1.BDEbi.A2E2948BC74B9CF051A963A6CEDDABFA.0-3082.1.1_-0.1.0_-3082.1.1_5.5.0.*0.000000017f764ee92e44b1b803717b50d7ccbb11c911585ad5730af6af6120ab8877d4afb765079d.0.23.11*.4*.1200*.00787J.e.00000001aad16ea4ec663e7c7735b262227ba6aac911585a968bea59cb06afdb124ece972e06c2bd.0.10*.131*.138*.18.*0.0.0.0" msgID="91C8D704C04497775D811D8D201EEE9B"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ece="A71" enr="MSTR.Energía_generada_y_autoconsumida.1" ptn="" qtn="" rows="10" cols="3" /&gt;&lt;esdo ews="" ece="" ptn="" /&gt;&lt;/excel&gt;&lt;pgs&gt;&lt;pg rows="6" cols="2" nrr="18" nrc="6"&gt;&lt;pg&gt;&lt;attEl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enr="MSTR.Energía_generada_y_autoconsumida.1"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</si>
  <si>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06/2026</t>
  </si>
  <si>
    <t>092133664b114da9a4e3585128bcbc33</t>
  </si>
  <si>
    <t>&lt;mi app="e" ver="22"&gt;&lt;rptloc guid="4c4d5fce268044f6afd9f01443a2574b"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ut="07/09/2026 18:21:20" si="2.00000001b38e4b83587e8db93b4e726998bb31c21f63d00732795f352af2135fd3b68b2e3b428fc2fb8ec1642700d23ad8c994e8f7dc5e84fc3de7ada50e3e6ab11fb49aa514fd49046f74a8c9e4bb22e138bd72b529be79246911737e1482cd59502d6fe97cb7f53dc49d9bc2b835fef51e9e1a02f28ddc84a5c99ad0b6639ba3486b6af5f604958844451af64542011cf2fc33977996cba1ece4f64e9b48af2532d16a66525cfa92ae8794f337fb8564042aaf4f14eebfda127cab9992841111b1f188f7ff7e48b2ada53d88033165dc8acc58d11fc935c4b9ff8d69009c3d26b481ff5d764a0cdda2aa8dacc57dc3a009fd72a11c469b6e56147b97409184add71b91617374cfd396add66a8b249244c960d8d86608b41c4554dbad01107839ac.p-3082.0.1_-3082.0.1_0.1.Europe/Madrid.upriv*_1*_pidn2*_3*_session*-lat*_1.000000016dac4042ff58d05c5e2e07aa9ccb9ea4bc6025e0e7b9846ba4668be79141c355906219fbdc1b257fc1ad01d57efe9cb3f04df1c4.00000001de797b4847cf3c1c181fa06274d3c499bc6025e0ecd5449096cafdd58aefb2c5bc0a854504651765e992538d617dc6520c678e6e.0.1.1.BDEbi.A2E2948BC74B9CF051A963A6CEDDABFA.0-3082.1.1_-0.1.0_-3082.1.1_5.5.0.*0.000000017f764ee92e44b1b803717b50d7ccbb11c911585ad5730af6af6120ab8877d4afb765079d.0.23.11*.4*.1200*.00787J.e.00000001aad16ea4ec663e7c7735b262227ba6aac911585a968bea59cb06afdb124ece972e06c2bd.0.10*.131*.138*.18.*0.0.0.0" msgID="61248B5994429ECA4537899618C557D3"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ece="A117" enr="MSTR.Energía_generada_y_autoconsumida.3" ptn="" qtn="" rows="8" cols="3" /&gt;&lt;esdo ews="" ece="" ptn="" /&gt;&lt;/excel&gt;&lt;pgs&gt;&lt;pg rows="4" cols="2" nrr="14" nrc="6"&gt;&lt;pg&gt;&lt;attEl aeid="BB:5EAE1F1D48ED4011B00BAC90762C13F0:1:2:0:2:1:3:5:Canarias" aedn="Canarias" aen="Sistema Eléctrico" /&gt;&lt;/pg&gt;&lt;bls&gt;&lt;bl sr="1" sc="1" rfetch="4" cfetch="2" posid="1" darows="1" dacols="1"&gt;&lt;excel&gt;&lt;epo ews="Dat_02" ece="A117" enr="MSTR.Energía_generada_y_autoconsumida.3" ptn="" qtn="" rows="8" cols="3" /&gt;&lt;esdo ews="" ece="" ptn="" /&gt;&lt;/excel&gt;&lt;gridRng&gt;&lt;sect id="TITLE_AREA" rngprop="1:1:3:1" /&gt;&lt;sect id="ROWHEADERS_AREA" rngprop="4:1:4:1" /&gt;&lt;sect id="COLUMNHEADERS_AREA" rngprop="1:2:3:2" /&gt;&lt;sect id="DATA_AREA" rngprop="4:2:4:2" /&gt;&lt;/gridRng&gt;&lt;shapes /&gt;&lt;/bl&gt;&lt;/bls&gt;&lt;/pg&gt;&lt;/pgs&gt;&lt;/rptloc&gt;&lt;/mi&gt;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</si>
</sst>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164" fontId="19" fillId="5" borderId="10">
      <alignment horizontal="right" vertical="center"/>
    </xf>
    <xf numFmtId="0" fontId="47" fillId="12" borderId="10">
      <alignment horizontal="left" vertical="center"/>
    </xf>
    <xf numFmtId="164" fontId="47" fillId="12" borderId="10">
      <alignment horizontal="right" vertical="center"/>
    </xf>
    <xf numFmtId="166" fontId="35" fillId="5" borderId="10">
      <alignment horizontal="left" vertical="center" wrapText="1"/>
    </xf>
    <xf numFmtId="176" fontId="19" fillId="5" borderId="10">
      <alignment horizontal="right" vertical="center"/>
    </xf>
  </cellStyleXfs>
  <cellXfs count="291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0" fontId="7" fillId="0" borderId="0" xfId="0" applyFont="1"/>
    <xf numFmtId="0" fontId="57" fillId="0" borderId="0" xfId="0" applyFont="1"/>
    <xf numFmtId="10" fontId="57" fillId="0" borderId="0" xfId="35" applyNumberFormat="1" applyFont="1"/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175" fontId="3" fillId="0" borderId="0" xfId="4" applyNumberFormat="1"/>
    <xf numFmtId="0" fontId="8" fillId="0" borderId="0" xfId="36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40" quotePrefix="1" applyFont="1" applyBorder="1" applyAlignment="1">
      <alignment horizontal="left" vertical="center"/>
    </xf>
    <xf numFmtId="169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7" fillId="2" borderId="3" xfId="4" applyNumberFormat="1" applyFont="1" applyFill="1" applyBorder="1" applyAlignment="1">
      <alignment horizontal="right" indent="1"/>
    </xf>
    <xf numFmtId="165" fontId="5" fillId="2" borderId="0" xfId="3" applyNumberFormat="1" applyFont="1" applyFill="1" applyAlignment="1">
      <alignment horizontal="left" indent="1"/>
    </xf>
    <xf numFmtId="10" fontId="5" fillId="2" borderId="0" xfId="34" applyNumberFormat="1" applyFont="1" applyFill="1" applyAlignment="1">
      <alignment horizontal="right" indent="1"/>
    </xf>
    <xf numFmtId="4" fontId="5" fillId="2" borderId="0" xfId="3" applyNumberFormat="1" applyFont="1" applyFill="1" applyAlignment="1">
      <alignment horizontal="right" indent="1"/>
    </xf>
    <xf numFmtId="0" fontId="5" fillId="2" borderId="3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left"/>
    </xf>
    <xf numFmtId="165" fontId="5" fillId="2" borderId="8" xfId="3" applyNumberFormat="1" applyFont="1" applyFill="1" applyBorder="1" applyAlignment="1">
      <alignment horizontal="right" indent="1"/>
    </xf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49" fontId="0" fillId="0" borderId="0" xfId="0" applyNumberFormat="1"/>
    <xf numFmtId="164" fontId="19" fillId="5" borderId="10" xfId="37">
      <alignment horizontal="right" vertical="center"/>
    </xf>
    <xf numFmtId="0" fontId="47" fillId="12" borderId="10" xfId="38" quotePrefix="1">
      <alignment horizontal="left" vertical="center"/>
    </xf>
    <xf numFmtId="164" fontId="47" fillId="12" borderId="10" xfId="39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58" fillId="0" borderId="40" xfId="0" applyFont="1" applyBorder="1" applyAlignment="1">
      <alignment horizontal="center" vertical="center"/>
    </xf>
    <xf numFmtId="0" fontId="47" fillId="10" borderId="10" xfId="31" quotePrefix="1" applyAlignment="1">
      <alignment horizontal="center"/>
    </xf>
    <xf numFmtId="0" fontId="35" fillId="5" borderId="16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0" fillId="0" borderId="11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35" fillId="5" borderId="17" xfId="18" quotePrefix="1" applyBorder="1" applyAlignment="1">
      <alignment horizontal="left" vertic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7" xr:uid="{D63827E5-9C98-4354-B41F-DAA4ACB780AE}"/>
    <cellStyle name="MSTRStyle.Todos.c13_ad47ecc7-7d15-4cb6-8d9a-93aa07ca2c9c" xfId="19" xr:uid="{00000000-0005-0000-0000-000004000000}"/>
    <cellStyle name="MSTRStyle.Todos.c14_66d95eaf-7407-49b4-bb04-27d55699e9b3" xfId="41" xr:uid="{C1A85C6A-0641-4FA1-ADC7-96E668F489AA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40" xr:uid="{27159FD7-8684-4964-AA14-36579A15D342}"/>
    <cellStyle name="MSTRStyle.Todos.c3_ee34052e-6a5a-4931-979c-9f16bd5045b9" xfId="18" xr:uid="{00000000-0005-0000-0000-000010000000}"/>
    <cellStyle name="MSTRStyle.Todos.c573E73830E4892A1D75FD189492F39EB_953e357e-0c16-4117-91b2-a8dade1161ed" xfId="38" xr:uid="{08191AD0-1A51-46D3-97DF-AB918377F83D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9" xr:uid="{49CEEFCE-07FB-4DB8-85C3-D6D8623F13B5}"/>
    <cellStyle name="Normal" xfId="0" builtinId="0"/>
    <cellStyle name="Normal 2" xfId="4" xr:uid="{00000000-0005-0000-0000-000014000000}"/>
    <cellStyle name="Normal 2 2" xfId="11" xr:uid="{00000000-0005-0000-0000-000015000000}"/>
    <cellStyle name="Normal 3" xfId="36" xr:uid="{6DD72B3C-4554-430B-A7E0-CD9EA750AA5E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CFA2CA"/>
      <color rgb="FFBA0F16"/>
      <color rgb="FF03738B"/>
      <color rgb="FFF5F5F5"/>
      <color rgb="FFD9D9D9"/>
      <color rgb="FF004563"/>
      <color rgb="FF08B2AD"/>
      <color rgb="FF007CF9"/>
      <color rgb="FFAF8E00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BA0F16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10.317004307920326</c:v>
                </c:pt>
                <c:pt idx="1">
                  <c:v>5.9626467683420135</c:v>
                </c:pt>
                <c:pt idx="2">
                  <c:v>25.304891163207571</c:v>
                </c:pt>
                <c:pt idx="3">
                  <c:v>35.198436339086385</c:v>
                </c:pt>
                <c:pt idx="4">
                  <c:v>0</c:v>
                </c:pt>
                <c:pt idx="5">
                  <c:v>0.45010711580533003</c:v>
                </c:pt>
                <c:pt idx="6">
                  <c:v>1.5997344988234667</c:v>
                </c:pt>
                <c:pt idx="7">
                  <c:v>1.5997344988234667</c:v>
                </c:pt>
                <c:pt idx="8">
                  <c:v>0.15216725881188459</c:v>
                </c:pt>
                <c:pt idx="9">
                  <c:v>19.076681838145156</c:v>
                </c:pt>
                <c:pt idx="10">
                  <c:v>0.33859621103440013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73.357338337861165</c:v>
                </c:pt>
                <c:pt idx="1">
                  <c:v>26.642661662138849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Dat_01!$B$141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Dat_01!$C$141:$O$141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7.3203000000000004E-2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Dat_01!$C$142:$O$142</c:f>
              <c:numCache>
                <c:formatCode>#,##0.0</c:formatCode>
                <c:ptCount val="13"/>
                <c:pt idx="0">
                  <c:v>133.454463</c:v>
                </c:pt>
                <c:pt idx="1">
                  <c:v>138.95366799999999</c:v>
                </c:pt>
                <c:pt idx="2">
                  <c:v>156.429901</c:v>
                </c:pt>
                <c:pt idx="3">
                  <c:v>146.533942</c:v>
                </c:pt>
                <c:pt idx="4">
                  <c:v>159.05462600000001</c:v>
                </c:pt>
                <c:pt idx="5">
                  <c:v>144.58958999999999</c:v>
                </c:pt>
                <c:pt idx="6">
                  <c:v>158.02685199999999</c:v>
                </c:pt>
                <c:pt idx="7">
                  <c:v>158.381069</c:v>
                </c:pt>
                <c:pt idx="8">
                  <c:v>143.06514300000001</c:v>
                </c:pt>
                <c:pt idx="9">
                  <c:v>149.59031300000001</c:v>
                </c:pt>
                <c:pt idx="10">
                  <c:v>153.416853</c:v>
                </c:pt>
                <c:pt idx="11">
                  <c:v>140.31111100000001</c:v>
                </c:pt>
                <c:pt idx="12">
                  <c:v>133.397616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val>
            <c:numRef>
              <c:f>Dat_01!$C$143:$O$143</c:f>
              <c:numCache>
                <c:formatCode>#,##0.0</c:formatCode>
                <c:ptCount val="13"/>
                <c:pt idx="0">
                  <c:v>14.439681999999999</c:v>
                </c:pt>
                <c:pt idx="1">
                  <c:v>17.277450000000002</c:v>
                </c:pt>
                <c:pt idx="2">
                  <c:v>21.905804</c:v>
                </c:pt>
                <c:pt idx="3">
                  <c:v>21.204673</c:v>
                </c:pt>
                <c:pt idx="4">
                  <c:v>28.975633999999999</c:v>
                </c:pt>
                <c:pt idx="5">
                  <c:v>21.440819999999999</c:v>
                </c:pt>
                <c:pt idx="6">
                  <c:v>25.811325</c:v>
                </c:pt>
                <c:pt idx="7">
                  <c:v>28.873301000000001</c:v>
                </c:pt>
                <c:pt idx="8">
                  <c:v>25.555015999999998</c:v>
                </c:pt>
                <c:pt idx="9">
                  <c:v>29.612995000000002</c:v>
                </c:pt>
                <c:pt idx="10">
                  <c:v>34.690565999999997</c:v>
                </c:pt>
                <c:pt idx="11">
                  <c:v>21.324908000000001</c:v>
                </c:pt>
                <c:pt idx="12">
                  <c:v>18.374575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Dat_01!$B$144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Dat_01!$C$144:$O$144</c:f>
              <c:numCache>
                <c:formatCode>#,##0.0</c:formatCode>
                <c:ptCount val="13"/>
                <c:pt idx="0">
                  <c:v>84.304407999999995</c:v>
                </c:pt>
                <c:pt idx="1">
                  <c:v>97.398498000000004</c:v>
                </c:pt>
                <c:pt idx="2">
                  <c:v>100.21077</c:v>
                </c:pt>
                <c:pt idx="3">
                  <c:v>99.346721000000002</c:v>
                </c:pt>
                <c:pt idx="4">
                  <c:v>125.06728200000001</c:v>
                </c:pt>
                <c:pt idx="5">
                  <c:v>112.30573</c:v>
                </c:pt>
                <c:pt idx="6">
                  <c:v>119.831412</c:v>
                </c:pt>
                <c:pt idx="7">
                  <c:v>117.60937199999999</c:v>
                </c:pt>
                <c:pt idx="8">
                  <c:v>92.890253999999999</c:v>
                </c:pt>
                <c:pt idx="9">
                  <c:v>82.571079999999995</c:v>
                </c:pt>
                <c:pt idx="10">
                  <c:v>106.513632</c:v>
                </c:pt>
                <c:pt idx="11">
                  <c:v>111.85987799999999</c:v>
                </c:pt>
                <c:pt idx="12">
                  <c:v>90.531129000000007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Dat_01!$B$145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284.16690399999999</c:v>
                </c:pt>
                <c:pt idx="1">
                  <c:v>316.70403900000002</c:v>
                </c:pt>
                <c:pt idx="2">
                  <c:v>340.02993600000002</c:v>
                </c:pt>
                <c:pt idx="3">
                  <c:v>307.60187999999999</c:v>
                </c:pt>
                <c:pt idx="4">
                  <c:v>357.47449</c:v>
                </c:pt>
                <c:pt idx="5">
                  <c:v>343.63677799999999</c:v>
                </c:pt>
                <c:pt idx="6">
                  <c:v>344.06825099999998</c:v>
                </c:pt>
                <c:pt idx="7">
                  <c:v>331.93350299999997</c:v>
                </c:pt>
                <c:pt idx="8">
                  <c:v>287.05643500000002</c:v>
                </c:pt>
                <c:pt idx="9">
                  <c:v>282.06847599999998</c:v>
                </c:pt>
                <c:pt idx="10">
                  <c:v>284.69147199999998</c:v>
                </c:pt>
                <c:pt idx="11">
                  <c:v>302.07158099999998</c:v>
                </c:pt>
                <c:pt idx="12">
                  <c:v>285.73719699999998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Dat_01!$B$146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2.9528669999999999</c:v>
                </c:pt>
                <c:pt idx="1">
                  <c:v>3.2914970000000001</c:v>
                </c:pt>
                <c:pt idx="2">
                  <c:v>2.7481429999999998</c:v>
                </c:pt>
                <c:pt idx="3">
                  <c:v>2.5908169999999999</c:v>
                </c:pt>
                <c:pt idx="4">
                  <c:v>1.167157</c:v>
                </c:pt>
                <c:pt idx="5">
                  <c:v>0.94978899999999999</c:v>
                </c:pt>
                <c:pt idx="6">
                  <c:v>1.389267</c:v>
                </c:pt>
                <c:pt idx="7">
                  <c:v>1.2355400000000001</c:v>
                </c:pt>
                <c:pt idx="8">
                  <c:v>1.2530779999999999</c:v>
                </c:pt>
                <c:pt idx="9">
                  <c:v>2.036778</c:v>
                </c:pt>
                <c:pt idx="10">
                  <c:v>1.462315</c:v>
                </c:pt>
                <c:pt idx="11">
                  <c:v>1.65883</c:v>
                </c:pt>
                <c:pt idx="12">
                  <c:v>2.7551960000000002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Dat_01!$B$147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143.551423</c:v>
                </c:pt>
                <c:pt idx="1">
                  <c:v>166.964561</c:v>
                </c:pt>
                <c:pt idx="2">
                  <c:v>149.445853</c:v>
                </c:pt>
                <c:pt idx="3">
                  <c:v>165.43614400000001</c:v>
                </c:pt>
                <c:pt idx="4">
                  <c:v>84.341824000000003</c:v>
                </c:pt>
                <c:pt idx="5">
                  <c:v>95.968860000000006</c:v>
                </c:pt>
                <c:pt idx="6">
                  <c:v>82.177819999999997</c:v>
                </c:pt>
                <c:pt idx="7">
                  <c:v>97.153379000000001</c:v>
                </c:pt>
                <c:pt idx="8">
                  <c:v>91.083347000000003</c:v>
                </c:pt>
                <c:pt idx="9">
                  <c:v>165.14311699999999</c:v>
                </c:pt>
                <c:pt idx="10">
                  <c:v>81.914609999999996</c:v>
                </c:pt>
                <c:pt idx="11">
                  <c:v>90.114508999999998</c:v>
                </c:pt>
                <c:pt idx="12">
                  <c:v>139.96383700000001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Dat_01!$C$148:$O$148</c:f>
              <c:numCache>
                <c:formatCode>#,##0.0</c:formatCode>
                <c:ptCount val="13"/>
                <c:pt idx="0">
                  <c:v>42.657446</c:v>
                </c:pt>
                <c:pt idx="1">
                  <c:v>44.683625999999997</c:v>
                </c:pt>
                <c:pt idx="2">
                  <c:v>46.097631</c:v>
                </c:pt>
                <c:pt idx="3">
                  <c:v>39.592024000000002</c:v>
                </c:pt>
                <c:pt idx="4">
                  <c:v>35.989100999999998</c:v>
                </c:pt>
                <c:pt idx="5">
                  <c:v>32.078172000000002</c:v>
                </c:pt>
                <c:pt idx="6">
                  <c:v>31.976611999999999</c:v>
                </c:pt>
                <c:pt idx="7">
                  <c:v>33.762532</c:v>
                </c:pt>
                <c:pt idx="8">
                  <c:v>36.724344000000002</c:v>
                </c:pt>
                <c:pt idx="9">
                  <c:v>36.337868999999998</c:v>
                </c:pt>
                <c:pt idx="10">
                  <c:v>41.012202000000002</c:v>
                </c:pt>
                <c:pt idx="11">
                  <c:v>46.822612999999997</c:v>
                </c:pt>
                <c:pt idx="12">
                  <c:v>48.060447000000003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Dat_01!$B$149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Dat_01!$C$149:$O$149</c:f>
              <c:numCache>
                <c:formatCode>#,##0.0</c:formatCode>
                <c:ptCount val="13"/>
                <c:pt idx="0">
                  <c:v>1.2805299999999999</c:v>
                </c:pt>
                <c:pt idx="1">
                  <c:v>1.163958</c:v>
                </c:pt>
                <c:pt idx="2">
                  <c:v>0.98014500000000004</c:v>
                </c:pt>
                <c:pt idx="3">
                  <c:v>0.36074600000000001</c:v>
                </c:pt>
                <c:pt idx="4">
                  <c:v>0.77339199999999997</c:v>
                </c:pt>
                <c:pt idx="5">
                  <c:v>0.74605500000000002</c:v>
                </c:pt>
                <c:pt idx="6">
                  <c:v>0.798705</c:v>
                </c:pt>
                <c:pt idx="7">
                  <c:v>0.99824000000000002</c:v>
                </c:pt>
                <c:pt idx="8">
                  <c:v>0.82315300000000002</c:v>
                </c:pt>
                <c:pt idx="9">
                  <c:v>0.86323799999999995</c:v>
                </c:pt>
                <c:pt idx="10">
                  <c:v>0.83965599999999996</c:v>
                </c:pt>
                <c:pt idx="11">
                  <c:v>1.0704100000000001</c:v>
                </c:pt>
                <c:pt idx="12">
                  <c:v>0.92642400000000003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7.0988341904416427E-2"/>
          <c:y val="4.249671229708963E-2"/>
          <c:w val="0.8797366792565563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Dat_01!$B$141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Dat_01!$C$141:$O$141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7.3203000000000004E-2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Dat_01!$B$155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Dat_01!$C$155:$O$155</c:f>
              <c:numCache>
                <c:formatCode>#,##0</c:formatCode>
                <c:ptCount val="13"/>
                <c:pt idx="0">
                  <c:v>232.198553</c:v>
                </c:pt>
                <c:pt idx="1">
                  <c:v>253.629616</c:v>
                </c:pt>
                <c:pt idx="2">
                  <c:v>278.54647499999999</c:v>
                </c:pt>
                <c:pt idx="3">
                  <c:v>267.08533599999998</c:v>
                </c:pt>
                <c:pt idx="4">
                  <c:v>313.09754199999998</c:v>
                </c:pt>
                <c:pt idx="5">
                  <c:v>278.33614</c:v>
                </c:pt>
                <c:pt idx="6">
                  <c:v>303.66958899999997</c:v>
                </c:pt>
                <c:pt idx="7">
                  <c:v>304.863742</c:v>
                </c:pt>
                <c:pt idx="8">
                  <c:v>261.51041299999997</c:v>
                </c:pt>
                <c:pt idx="9">
                  <c:v>261.77438800000004</c:v>
                </c:pt>
                <c:pt idx="10">
                  <c:v>294.62105099999997</c:v>
                </c:pt>
                <c:pt idx="11">
                  <c:v>273.49589700000001</c:v>
                </c:pt>
                <c:pt idx="12">
                  <c:v>242.30331999999999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Dat_01!$B$145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284.16690399999999</c:v>
                </c:pt>
                <c:pt idx="1">
                  <c:v>316.70403900000002</c:v>
                </c:pt>
                <c:pt idx="2">
                  <c:v>340.02993600000002</c:v>
                </c:pt>
                <c:pt idx="3">
                  <c:v>307.60187999999999</c:v>
                </c:pt>
                <c:pt idx="4">
                  <c:v>357.47449</c:v>
                </c:pt>
                <c:pt idx="5">
                  <c:v>343.63677799999999</c:v>
                </c:pt>
                <c:pt idx="6">
                  <c:v>344.06825099999998</c:v>
                </c:pt>
                <c:pt idx="7">
                  <c:v>331.93350299999997</c:v>
                </c:pt>
                <c:pt idx="8">
                  <c:v>287.05643500000002</c:v>
                </c:pt>
                <c:pt idx="9">
                  <c:v>282.06847599999998</c:v>
                </c:pt>
                <c:pt idx="10">
                  <c:v>284.69147199999998</c:v>
                </c:pt>
                <c:pt idx="11">
                  <c:v>302.07158099999998</c:v>
                </c:pt>
                <c:pt idx="12">
                  <c:v>285.73719699999998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Dat_01!$B$146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2.9528669999999999</c:v>
                </c:pt>
                <c:pt idx="1">
                  <c:v>3.2914970000000001</c:v>
                </c:pt>
                <c:pt idx="2">
                  <c:v>2.7481429999999998</c:v>
                </c:pt>
                <c:pt idx="3">
                  <c:v>2.5908169999999999</c:v>
                </c:pt>
                <c:pt idx="4">
                  <c:v>1.167157</c:v>
                </c:pt>
                <c:pt idx="5">
                  <c:v>0.94978899999999999</c:v>
                </c:pt>
                <c:pt idx="6">
                  <c:v>1.389267</c:v>
                </c:pt>
                <c:pt idx="7">
                  <c:v>1.2355400000000001</c:v>
                </c:pt>
                <c:pt idx="8">
                  <c:v>1.2530779999999999</c:v>
                </c:pt>
                <c:pt idx="9">
                  <c:v>2.036778</c:v>
                </c:pt>
                <c:pt idx="10">
                  <c:v>1.462315</c:v>
                </c:pt>
                <c:pt idx="11">
                  <c:v>1.65883</c:v>
                </c:pt>
                <c:pt idx="12">
                  <c:v>2.7551960000000002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Dat_01!$B$147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143.551423</c:v>
                </c:pt>
                <c:pt idx="1">
                  <c:v>166.964561</c:v>
                </c:pt>
                <c:pt idx="2">
                  <c:v>149.445853</c:v>
                </c:pt>
                <c:pt idx="3">
                  <c:v>165.43614400000001</c:v>
                </c:pt>
                <c:pt idx="4">
                  <c:v>84.341824000000003</c:v>
                </c:pt>
                <c:pt idx="5">
                  <c:v>95.968860000000006</c:v>
                </c:pt>
                <c:pt idx="6">
                  <c:v>82.177819999999997</c:v>
                </c:pt>
                <c:pt idx="7">
                  <c:v>97.153379000000001</c:v>
                </c:pt>
                <c:pt idx="8">
                  <c:v>91.083347000000003</c:v>
                </c:pt>
                <c:pt idx="9">
                  <c:v>165.14311699999999</c:v>
                </c:pt>
                <c:pt idx="10">
                  <c:v>81.914609999999996</c:v>
                </c:pt>
                <c:pt idx="11">
                  <c:v>90.114508999999998</c:v>
                </c:pt>
                <c:pt idx="12">
                  <c:v>139.96383700000001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Dat_01!$C$148:$O$148</c:f>
              <c:numCache>
                <c:formatCode>#,##0.0</c:formatCode>
                <c:ptCount val="13"/>
                <c:pt idx="0">
                  <c:v>42.657446</c:v>
                </c:pt>
                <c:pt idx="1">
                  <c:v>44.683625999999997</c:v>
                </c:pt>
                <c:pt idx="2">
                  <c:v>46.097631</c:v>
                </c:pt>
                <c:pt idx="3">
                  <c:v>39.592024000000002</c:v>
                </c:pt>
                <c:pt idx="4">
                  <c:v>35.989100999999998</c:v>
                </c:pt>
                <c:pt idx="5">
                  <c:v>32.078172000000002</c:v>
                </c:pt>
                <c:pt idx="6">
                  <c:v>31.976611999999999</c:v>
                </c:pt>
                <c:pt idx="7">
                  <c:v>33.762532</c:v>
                </c:pt>
                <c:pt idx="8">
                  <c:v>36.724344000000002</c:v>
                </c:pt>
                <c:pt idx="9">
                  <c:v>36.337868999999998</c:v>
                </c:pt>
                <c:pt idx="10">
                  <c:v>41.012202000000002</c:v>
                </c:pt>
                <c:pt idx="11">
                  <c:v>46.822612999999997</c:v>
                </c:pt>
                <c:pt idx="12">
                  <c:v>48.060447000000003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Dat_01!$B$149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Dat_01!$C$149:$O$149</c:f>
              <c:numCache>
                <c:formatCode>#,##0.0</c:formatCode>
                <c:ptCount val="13"/>
                <c:pt idx="0">
                  <c:v>1.2805299999999999</c:v>
                </c:pt>
                <c:pt idx="1">
                  <c:v>1.163958</c:v>
                </c:pt>
                <c:pt idx="2">
                  <c:v>0.98014500000000004</c:v>
                </c:pt>
                <c:pt idx="3">
                  <c:v>0.36074600000000001</c:v>
                </c:pt>
                <c:pt idx="4">
                  <c:v>0.77339199999999997</c:v>
                </c:pt>
                <c:pt idx="5">
                  <c:v>0.74605500000000002</c:v>
                </c:pt>
                <c:pt idx="6">
                  <c:v>0.798705</c:v>
                </c:pt>
                <c:pt idx="7">
                  <c:v>0.99824000000000002</c:v>
                </c:pt>
                <c:pt idx="8">
                  <c:v>0.82315300000000002</c:v>
                </c:pt>
                <c:pt idx="9">
                  <c:v>0.86323799999999995</c:v>
                </c:pt>
                <c:pt idx="10">
                  <c:v>0.83965599999999996</c:v>
                </c:pt>
                <c:pt idx="11">
                  <c:v>1.0704100000000001</c:v>
                </c:pt>
                <c:pt idx="12">
                  <c:v>0.92642400000000003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Dat_01!$B$172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Dat_01!$C$172:$O$172</c:f>
              <c:numCache>
                <c:formatCode>#,##0.000</c:formatCode>
                <c:ptCount val="13"/>
                <c:pt idx="0">
                  <c:v>33.307000000000002</c:v>
                </c:pt>
                <c:pt idx="1">
                  <c:v>25.804000000000002</c:v>
                </c:pt>
                <c:pt idx="2">
                  <c:v>0</c:v>
                </c:pt>
                <c:pt idx="3">
                  <c:v>2.65</c:v>
                </c:pt>
                <c:pt idx="4">
                  <c:v>1.1019999999999999</c:v>
                </c:pt>
                <c:pt idx="5">
                  <c:v>1.536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Dat_01!$B$173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Dat_01!$C$173:$O$173</c:f>
              <c:numCache>
                <c:formatCode>#,##0.000</c:formatCode>
                <c:ptCount val="13"/>
                <c:pt idx="0">
                  <c:v>-66.456000000000003</c:v>
                </c:pt>
                <c:pt idx="1">
                  <c:v>-84.402000000000001</c:v>
                </c:pt>
                <c:pt idx="2">
                  <c:v>-3.7090000000000001</c:v>
                </c:pt>
                <c:pt idx="3">
                  <c:v>-8.4089999999999989</c:v>
                </c:pt>
                <c:pt idx="4">
                  <c:v>-6.4119999999999999</c:v>
                </c:pt>
                <c:pt idx="5">
                  <c:v>-5.601</c:v>
                </c:pt>
                <c:pt idx="6">
                  <c:v>-4.0439999999999996</c:v>
                </c:pt>
                <c:pt idx="7">
                  <c:v>-0.38699999999999996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Dat_01!$B$174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Dat_01!$C$171:$O$171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Dat_01!$C$174:$O$174</c:f>
              <c:numCache>
                <c:formatCode>#,##0.000</c:formatCode>
                <c:ptCount val="13"/>
                <c:pt idx="0">
                  <c:v>-33.149000000000001</c:v>
                </c:pt>
                <c:pt idx="1">
                  <c:v>-58.597999999999999</c:v>
                </c:pt>
                <c:pt idx="2">
                  <c:v>-3.7090000000000001</c:v>
                </c:pt>
                <c:pt idx="3">
                  <c:v>-5.7589999999999986</c:v>
                </c:pt>
                <c:pt idx="4">
                  <c:v>-5.3100000000000005</c:v>
                </c:pt>
                <c:pt idx="5">
                  <c:v>-4.0649999999999995</c:v>
                </c:pt>
                <c:pt idx="6">
                  <c:v>-4.0439999999999996</c:v>
                </c:pt>
                <c:pt idx="7">
                  <c:v>-0.38699999999999996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F2-4EAB-9BCD-9B8E2F5A8F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2-4EAB-9BCD-9B8E2F5A8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Dat_01!$B$175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Dat_01!$C$175:$O$175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0.63</c:v>
                </c:pt>
                <c:pt idx="5">
                  <c:v>5.5779999999999994</c:v>
                </c:pt>
                <c:pt idx="6">
                  <c:v>0.106</c:v>
                </c:pt>
                <c:pt idx="7">
                  <c:v>1E-3</c:v>
                </c:pt>
                <c:pt idx="8">
                  <c:v>37.019000000000005</c:v>
                </c:pt>
                <c:pt idx="9">
                  <c:v>4.1999999999999996E-2</c:v>
                </c:pt>
                <c:pt idx="10">
                  <c:v>0</c:v>
                </c:pt>
                <c:pt idx="11">
                  <c:v>7.093</c:v>
                </c:pt>
                <c:pt idx="12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38-4A17-8C6F-189399B527F3}"/>
            </c:ext>
          </c:extLst>
        </c:ser>
        <c:ser>
          <c:idx val="4"/>
          <c:order val="1"/>
          <c:tx>
            <c:strRef>
              <c:f>Dat_01!$B$176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Dat_01!$C$176:$O$176</c:f>
              <c:numCache>
                <c:formatCode>#,##0.000</c:formatCode>
                <c:ptCount val="13"/>
                <c:pt idx="0">
                  <c:v>0</c:v>
                </c:pt>
                <c:pt idx="1">
                  <c:v>-1.466</c:v>
                </c:pt>
                <c:pt idx="2">
                  <c:v>-3.5109999999999997</c:v>
                </c:pt>
                <c:pt idx="3">
                  <c:v>-8.7720000000000002</c:v>
                </c:pt>
                <c:pt idx="4">
                  <c:v>-14.031000000000001</c:v>
                </c:pt>
                <c:pt idx="5">
                  <c:v>-17.222999999999999</c:v>
                </c:pt>
                <c:pt idx="6">
                  <c:v>-16.890999999999998</c:v>
                </c:pt>
                <c:pt idx="7">
                  <c:v>-11.673</c:v>
                </c:pt>
                <c:pt idx="8">
                  <c:v>-58.445999999999998</c:v>
                </c:pt>
                <c:pt idx="9">
                  <c:v>-13.491</c:v>
                </c:pt>
                <c:pt idx="10">
                  <c:v>-22.315000000000001</c:v>
                </c:pt>
                <c:pt idx="11">
                  <c:v>-22.401</c:v>
                </c:pt>
                <c:pt idx="12">
                  <c:v>-12.041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38-4A17-8C6F-189399B5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Dat_01!$B$177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Dat_01!$C$171:$O$171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Dat_01!$C$177:$O$177</c:f>
              <c:numCache>
                <c:formatCode>#,##0.000</c:formatCode>
                <c:ptCount val="13"/>
                <c:pt idx="0">
                  <c:v>0</c:v>
                </c:pt>
                <c:pt idx="1">
                  <c:v>-1.466</c:v>
                </c:pt>
                <c:pt idx="2">
                  <c:v>-3.5109999999999997</c:v>
                </c:pt>
                <c:pt idx="3">
                  <c:v>-8.7720000000000002</c:v>
                </c:pt>
                <c:pt idx="4">
                  <c:v>-13.401</c:v>
                </c:pt>
                <c:pt idx="5">
                  <c:v>-11.645</c:v>
                </c:pt>
                <c:pt idx="6">
                  <c:v>-16.784999999999997</c:v>
                </c:pt>
                <c:pt idx="7">
                  <c:v>-11.672000000000001</c:v>
                </c:pt>
                <c:pt idx="8">
                  <c:v>-21.426999999999992</c:v>
                </c:pt>
                <c:pt idx="9">
                  <c:v>-13.449</c:v>
                </c:pt>
                <c:pt idx="10">
                  <c:v>-22.315000000000001</c:v>
                </c:pt>
                <c:pt idx="11">
                  <c:v>-15.308</c:v>
                </c:pt>
                <c:pt idx="12">
                  <c:v>-12.040000000000001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38-4A17-8C6F-189399B5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Dat_01!$J$79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val>
            <c:numRef>
              <c:f>Dat_01!$K$79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86-4FF5-A379-4C3A66E99FA7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86-4FF5-A379-4C3A66E99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78.832820193185086</c:v>
                </c:pt>
                <c:pt idx="1">
                  <c:v>21.167179806814907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Dat_01!$J$80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val>
            <c:numRef>
              <c:f>Dat_01!$K$80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60-45BA-ABF4-A832211AA047}"/>
            </c:ext>
          </c:extLst>
        </c:ser>
        <c:ser>
          <c:idx val="1"/>
          <c:order val="1"/>
          <c:invertIfNegative val="0"/>
          <c:dPt>
            <c:idx val="0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0-D646-4162-902E-6A4FD3DA2DFA}"/>
              </c:ext>
            </c:extLst>
          </c:dPt>
          <c:val>
            <c:numRef>
              <c:f>Dat_01!$N$80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60-45BA-ABF4-A832211AA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F-4BBB-AD2E-F29DF68459A0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174.46513400000001</c:v>
                </c:pt>
                <c:pt idx="1">
                  <c:v>185.28137699999999</c:v>
                </c:pt>
                <c:pt idx="2">
                  <c:v>186.80134699999999</c:v>
                </c:pt>
                <c:pt idx="3">
                  <c:v>190.90189899999999</c:v>
                </c:pt>
                <c:pt idx="4">
                  <c:v>194.67164399999999</c:v>
                </c:pt>
                <c:pt idx="5">
                  <c:v>196.98689400000001</c:v>
                </c:pt>
                <c:pt idx="6">
                  <c:v>199.305059</c:v>
                </c:pt>
                <c:pt idx="7">
                  <c:v>201.20274900000001</c:v>
                </c:pt>
                <c:pt idx="8">
                  <c:v>203.394689</c:v>
                </c:pt>
                <c:pt idx="9">
                  <c:v>205.97694200000001</c:v>
                </c:pt>
                <c:pt idx="10">
                  <c:v>209.23029700000001</c:v>
                </c:pt>
                <c:pt idx="11">
                  <c:v>210.162372</c:v>
                </c:pt>
                <c:pt idx="12">
                  <c:v>210.162372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9F-4BBB-AD2E-F29DF68459A0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F-4BBB-AD2E-F29DF68459A0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3.649</c:v>
                </c:pt>
                <c:pt idx="1">
                  <c:v>3.649</c:v>
                </c:pt>
                <c:pt idx="2">
                  <c:v>3.649</c:v>
                </c:pt>
                <c:pt idx="3">
                  <c:v>3.649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9F-4BBB-AD2E-F29DF68459A0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6.0759999999999996</c:v>
                </c:pt>
                <c:pt idx="1">
                  <c:v>6.0759999999999996</c:v>
                </c:pt>
                <c:pt idx="2">
                  <c:v>6.0759999999999996</c:v>
                </c:pt>
                <c:pt idx="3">
                  <c:v>6.0759999999999996</c:v>
                </c:pt>
                <c:pt idx="4">
                  <c:v>7.9160000000000004</c:v>
                </c:pt>
                <c:pt idx="5">
                  <c:v>7.9160000000000004</c:v>
                </c:pt>
                <c:pt idx="6">
                  <c:v>7.9160000000000004</c:v>
                </c:pt>
                <c:pt idx="7">
                  <c:v>7.9160000000000004</c:v>
                </c:pt>
                <c:pt idx="8">
                  <c:v>7.9160000000000004</c:v>
                </c:pt>
                <c:pt idx="9">
                  <c:v>7.9160000000000004</c:v>
                </c:pt>
                <c:pt idx="10">
                  <c:v>7.9160000000000004</c:v>
                </c:pt>
                <c:pt idx="11">
                  <c:v>7.9160000000000004</c:v>
                </c:pt>
                <c:pt idx="12">
                  <c:v>7.9160000000000004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9F-4BBB-AD2E-F29DF684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BE-498D-B1DD-7F03108D75C9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3BE-498D-B1DD-7F03108D75C9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3BE-498D-B1DD-7F03108D75C9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3BE-498D-B1DD-7F03108D75C9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0.0</c:formatCode>
                <c:ptCount val="6"/>
                <c:pt idx="0">
                  <c:v>2458.1</c:v>
                </c:pt>
                <c:pt idx="1">
                  <c:v>1947.54</c:v>
                </c:pt>
                <c:pt idx="2">
                  <c:v>326.37</c:v>
                </c:pt>
                <c:pt idx="3">
                  <c:v>0</c:v>
                </c:pt>
                <c:pt idx="4">
                  <c:v>0</c:v>
                </c:pt>
                <c:pt idx="5">
                  <c:v>4732.01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BE-498D-B1DD-7F03108D75C9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83BE-498D-B1DD-7F03108D75C9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3BE-498D-B1DD-7F03108D75C9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5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83BE-498D-B1DD-7F03108D75C9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83BE-498D-B1DD-7F03108D75C9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0.0</c:formatCode>
                <c:ptCount val="6"/>
                <c:pt idx="0">
                  <c:v>27247.26</c:v>
                </c:pt>
                <c:pt idx="1">
                  <c:v>1111.2</c:v>
                </c:pt>
                <c:pt idx="2">
                  <c:v>243.91</c:v>
                </c:pt>
                <c:pt idx="3">
                  <c:v>0</c:v>
                </c:pt>
                <c:pt idx="4">
                  <c:v>0</c:v>
                </c:pt>
                <c:pt idx="5">
                  <c:v>28602.37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3BE-498D-B1DD-7F03108D75C9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3629.1139506</c:v>
                </c:pt>
                <c:pt idx="1">
                  <c:v>30275.617291199997</c:v>
                </c:pt>
                <c:pt idx="2">
                  <c:v>32764.028758199998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3BE-498D-B1DD-7F03108D75C9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83BE-498D-B1DD-7F03108D75C9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BE-498D-B1DD-7F03108D75C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3BE-498D-B1DD-7F03108D75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0.0</c:formatCode>
                <c:ptCount val="6"/>
                <c:pt idx="0">
                  <c:v>89.113</c:v>
                </c:pt>
                <c:pt idx="1">
                  <c:v>9.1760000000000002</c:v>
                </c:pt>
                <c:pt idx="2">
                  <c:v>1.7110000000000001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83BE-498D-B1DD-7F03108D7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87-48CF-A389-531B64313FED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13.49</c:v>
                </c:pt>
                <c:pt idx="1">
                  <c:v>13.49</c:v>
                </c:pt>
                <c:pt idx="2">
                  <c:v>13.49</c:v>
                </c:pt>
                <c:pt idx="3">
                  <c:v>13.49</c:v>
                </c:pt>
                <c:pt idx="4">
                  <c:v>18.11</c:v>
                </c:pt>
                <c:pt idx="5">
                  <c:v>18.11</c:v>
                </c:pt>
                <c:pt idx="6">
                  <c:v>18.11</c:v>
                </c:pt>
                <c:pt idx="7">
                  <c:v>18.11</c:v>
                </c:pt>
                <c:pt idx="8">
                  <c:v>18.11</c:v>
                </c:pt>
                <c:pt idx="9">
                  <c:v>18.11</c:v>
                </c:pt>
                <c:pt idx="10">
                  <c:v>18.11</c:v>
                </c:pt>
                <c:pt idx="11">
                  <c:v>18.11</c:v>
                </c:pt>
                <c:pt idx="12">
                  <c:v>18.11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87-48CF-A389-531B64313FED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140.19507999999999</c:v>
                </c:pt>
                <c:pt idx="1">
                  <c:v>142.705162</c:v>
                </c:pt>
                <c:pt idx="2">
                  <c:v>145.084237</c:v>
                </c:pt>
                <c:pt idx="3">
                  <c:v>148.05544699999999</c:v>
                </c:pt>
                <c:pt idx="4">
                  <c:v>150.09755200000001</c:v>
                </c:pt>
                <c:pt idx="5">
                  <c:v>152.34663699999999</c:v>
                </c:pt>
                <c:pt idx="6">
                  <c:v>154.60328899999999</c:v>
                </c:pt>
                <c:pt idx="7">
                  <c:v>156.371689</c:v>
                </c:pt>
                <c:pt idx="8">
                  <c:v>158.99987899999999</c:v>
                </c:pt>
                <c:pt idx="9">
                  <c:v>161.03537900000001</c:v>
                </c:pt>
                <c:pt idx="10">
                  <c:v>163.03354400000001</c:v>
                </c:pt>
                <c:pt idx="11">
                  <c:v>163.82671400000001</c:v>
                </c:pt>
                <c:pt idx="12">
                  <c:v>163.82671400000001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87-48CF-A389-531B64313FED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4.2999999999999997E-2</c:v>
                </c:pt>
                <c:pt idx="1">
                  <c:v>4.2999999999999997E-2</c:v>
                </c:pt>
                <c:pt idx="2">
                  <c:v>4.2999999999999997E-2</c:v>
                </c:pt>
                <c:pt idx="3">
                  <c:v>5.2999999999999999E-2</c:v>
                </c:pt>
                <c:pt idx="4">
                  <c:v>5.2999999999999999E-2</c:v>
                </c:pt>
                <c:pt idx="5">
                  <c:v>5.2999999999999999E-2</c:v>
                </c:pt>
                <c:pt idx="6">
                  <c:v>7.2900000000000006E-2</c:v>
                </c:pt>
                <c:pt idx="7">
                  <c:v>7.2900000000000006E-2</c:v>
                </c:pt>
                <c:pt idx="8">
                  <c:v>7.2900000000000006E-2</c:v>
                </c:pt>
                <c:pt idx="9">
                  <c:v>7.2900000000000006E-2</c:v>
                </c:pt>
                <c:pt idx="10">
                  <c:v>7.2900000000000006E-2</c:v>
                </c:pt>
                <c:pt idx="11">
                  <c:v>7.2900000000000006E-2</c:v>
                </c:pt>
                <c:pt idx="12">
                  <c:v>7.2900000000000006E-2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87-48CF-A389-531B64313FED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J</c:v>
                </c:pt>
                <c:pt idx="1">
                  <c:v>J</c:v>
                </c:pt>
                <c:pt idx="2">
                  <c:v>A</c:v>
                </c:pt>
                <c:pt idx="3">
                  <c:v>S</c:v>
                </c:pt>
                <c:pt idx="4">
                  <c:v>O</c:v>
                </c:pt>
                <c:pt idx="5">
                  <c:v>N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M</c:v>
                </c:pt>
                <c:pt idx="10">
                  <c:v>A</c:v>
                </c:pt>
                <c:pt idx="11">
                  <c:v>M</c:v>
                </c:pt>
                <c:pt idx="12">
                  <c:v>J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87-48CF-A389-531B64313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B8-4651-B27F-8B2F90DF5A0C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B8-4651-B27F-8B2F90DF5A0C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B8-4651-B27F-8B2F90DF5A0C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B8-4651-B27F-8B2F90DF5A0C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0.0</c:formatCode>
                <c:ptCount val="6"/>
                <c:pt idx="0">
                  <c:v>1214.8</c:v>
                </c:pt>
                <c:pt idx="1">
                  <c:v>1545.58</c:v>
                </c:pt>
                <c:pt idx="2">
                  <c:v>880.3</c:v>
                </c:pt>
                <c:pt idx="3">
                  <c:v>0</c:v>
                </c:pt>
                <c:pt idx="4">
                  <c:v>0</c:v>
                </c:pt>
                <c:pt idx="5">
                  <c:v>3640.68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B8-4651-B27F-8B2F90DF5A0C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9B8-4651-B27F-8B2F90DF5A0C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9B8-4651-B27F-8B2F90DF5A0C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9B8-4651-B27F-8B2F90DF5A0C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9B8-4651-B27F-8B2F90DF5A0C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0.0</c:formatCode>
                <c:ptCount val="6"/>
                <c:pt idx="0">
                  <c:v>20099.54</c:v>
                </c:pt>
                <c:pt idx="1">
                  <c:v>2290.6799999999998</c:v>
                </c:pt>
                <c:pt idx="2">
                  <c:v>345.1</c:v>
                </c:pt>
                <c:pt idx="3">
                  <c:v>0</c:v>
                </c:pt>
                <c:pt idx="4">
                  <c:v>0</c:v>
                </c:pt>
                <c:pt idx="5">
                  <c:v>22735.32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9B8-4651-B27F-8B2F90DF5A0C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5061.5543999999991</c:v>
                </c:pt>
                <c:pt idx="1">
                  <c:v>22539.610800000002</c:v>
                </c:pt>
                <c:pt idx="2">
                  <c:v>25150.571039999999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9B8-4651-B27F-8B2F90DF5A0C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9B8-4651-B27F-8B2F90DF5A0C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9B8-4651-B27F-8B2F90DF5A0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9B8-4651-B27F-8B2F90DF5A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0.0</c:formatCode>
                <c:ptCount val="6"/>
                <c:pt idx="0">
                  <c:v>80.81</c:v>
                </c:pt>
                <c:pt idx="1">
                  <c:v>14.545</c:v>
                </c:pt>
                <c:pt idx="2">
                  <c:v>4.6459999999999999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9B8-4651-B27F-8B2F90DF5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BA0F16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19918367346938765"/>
                  <c:y val="-3.27555854298700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8612244897959171"/>
                  <c:y val="2.08829460341847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21551020408163268"/>
                  <c:y val="6.79738012931311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23049538807649045"/>
                  <c:y val="6.98907930626318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22160989876265466"/>
                  <c:y val="-3.00455972415212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4693877551020409"/>
                  <c:y val="-0.127032520325203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7.8787761061985622</c:v>
                </c:pt>
                <c:pt idx="2">
                  <c:v>10.334497226764107</c:v>
                </c:pt>
                <c:pt idx="3">
                  <c:v>59.909195299736105</c:v>
                </c:pt>
                <c:pt idx="5">
                  <c:v>0.66530813606999695</c:v>
                </c:pt>
                <c:pt idx="6">
                  <c:v>2.8965139162711968</c:v>
                </c:pt>
                <c:pt idx="7">
                  <c:v>2.8965139162711968</c:v>
                </c:pt>
                <c:pt idx="8">
                  <c:v>0</c:v>
                </c:pt>
                <c:pt idx="9">
                  <c:v>15.000160800882076</c:v>
                </c:pt>
                <c:pt idx="10">
                  <c:v>0.41903459780676378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81.684290685039969</c:v>
                </c:pt>
                <c:pt idx="1">
                  <c:v>18.315709314960039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Dat_01!$B$123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Dat_01!$C$123:$O$123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Dat_01!$B$124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36.758597999999999</c:v>
                </c:pt>
                <c:pt idx="1">
                  <c:v>62.363782</c:v>
                </c:pt>
                <c:pt idx="2">
                  <c:v>66.467855</c:v>
                </c:pt>
                <c:pt idx="3">
                  <c:v>45.454340000000002</c:v>
                </c:pt>
                <c:pt idx="4">
                  <c:v>22.456917000000001</c:v>
                </c:pt>
                <c:pt idx="5">
                  <c:v>17.069234000000002</c:v>
                </c:pt>
                <c:pt idx="6">
                  <c:v>11.652042</c:v>
                </c:pt>
                <c:pt idx="7">
                  <c:v>14.892018999999999</c:v>
                </c:pt>
                <c:pt idx="8">
                  <c:v>6.0359920000000002</c:v>
                </c:pt>
                <c:pt idx="9">
                  <c:v>8.5326330000000006</c:v>
                </c:pt>
                <c:pt idx="10">
                  <c:v>8.6196000000000002</c:v>
                </c:pt>
                <c:pt idx="11">
                  <c:v>22.465201</c:v>
                </c:pt>
                <c:pt idx="12">
                  <c:v>36.617978999999998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Dat_01!$B$125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val>
            <c:numRef>
              <c:f>Dat_01!$C$125:$O$125</c:f>
              <c:numCache>
                <c:formatCode>#,##0.0</c:formatCode>
                <c:ptCount val="13"/>
                <c:pt idx="0">
                  <c:v>46.078491</c:v>
                </c:pt>
                <c:pt idx="1">
                  <c:v>58.218541000000002</c:v>
                </c:pt>
                <c:pt idx="2">
                  <c:v>51.241262999999996</c:v>
                </c:pt>
                <c:pt idx="3">
                  <c:v>39.777388999999999</c:v>
                </c:pt>
                <c:pt idx="4">
                  <c:v>43.751629999999999</c:v>
                </c:pt>
                <c:pt idx="5">
                  <c:v>32.383879</c:v>
                </c:pt>
                <c:pt idx="6">
                  <c:v>25.042332999999999</c:v>
                </c:pt>
                <c:pt idx="7">
                  <c:v>28.074463000000002</c:v>
                </c:pt>
                <c:pt idx="8">
                  <c:v>21.743562000000001</c:v>
                </c:pt>
                <c:pt idx="9">
                  <c:v>24.257366999999999</c:v>
                </c:pt>
                <c:pt idx="10">
                  <c:v>22.619537000000001</c:v>
                </c:pt>
                <c:pt idx="11">
                  <c:v>36.469515000000001</c:v>
                </c:pt>
                <c:pt idx="12">
                  <c:v>48.031368999999998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Dat_01!$B$126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274.475863</c:v>
                </c:pt>
                <c:pt idx="1">
                  <c:v>334.267562</c:v>
                </c:pt>
                <c:pt idx="2">
                  <c:v>319.07413400000002</c:v>
                </c:pt>
                <c:pt idx="3">
                  <c:v>274.82982800000002</c:v>
                </c:pt>
                <c:pt idx="4">
                  <c:v>257.021049</c:v>
                </c:pt>
                <c:pt idx="5">
                  <c:v>234.20941099999999</c:v>
                </c:pt>
                <c:pt idx="6">
                  <c:v>265.032152</c:v>
                </c:pt>
                <c:pt idx="7">
                  <c:v>271.90836200000001</c:v>
                </c:pt>
                <c:pt idx="8">
                  <c:v>219.728983</c:v>
                </c:pt>
                <c:pt idx="9">
                  <c:v>263.66985</c:v>
                </c:pt>
                <c:pt idx="10">
                  <c:v>217.826639</c:v>
                </c:pt>
                <c:pt idx="11">
                  <c:v>237.47240300000001</c:v>
                </c:pt>
                <c:pt idx="12">
                  <c:v>278.43838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Dat_01!$B$129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64.616387000000003</c:v>
                </c:pt>
                <c:pt idx="1">
                  <c:v>58.301254</c:v>
                </c:pt>
                <c:pt idx="2">
                  <c:v>58.388308000000002</c:v>
                </c:pt>
                <c:pt idx="3">
                  <c:v>48.070135000000001</c:v>
                </c:pt>
                <c:pt idx="4">
                  <c:v>38.159438000000002</c:v>
                </c:pt>
                <c:pt idx="5">
                  <c:v>28.287680999999999</c:v>
                </c:pt>
                <c:pt idx="6">
                  <c:v>21.457460999999999</c:v>
                </c:pt>
                <c:pt idx="7">
                  <c:v>26.531222</c:v>
                </c:pt>
                <c:pt idx="8">
                  <c:v>38.510109999999997</c:v>
                </c:pt>
                <c:pt idx="9">
                  <c:v>42.581280999999997</c:v>
                </c:pt>
                <c:pt idx="10">
                  <c:v>59.468370999999998</c:v>
                </c:pt>
                <c:pt idx="11">
                  <c:v>57.807105</c:v>
                </c:pt>
                <c:pt idx="12">
                  <c:v>69.715850000000003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Dat_01!$B$130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0.25375799999999998</c:v>
                </c:pt>
                <c:pt idx="1">
                  <c:v>0.13533500000000001</c:v>
                </c:pt>
                <c:pt idx="2">
                  <c:v>6.2700000000000006E-2</c:v>
                </c:pt>
                <c:pt idx="3">
                  <c:v>0.16319</c:v>
                </c:pt>
                <c:pt idx="4">
                  <c:v>0.72397699999999998</c:v>
                </c:pt>
                <c:pt idx="5">
                  <c:v>1.328557</c:v>
                </c:pt>
                <c:pt idx="6">
                  <c:v>0.812226</c:v>
                </c:pt>
                <c:pt idx="7">
                  <c:v>0.97993699999999995</c:v>
                </c:pt>
                <c:pt idx="8">
                  <c:v>0.94255900000000004</c:v>
                </c:pt>
                <c:pt idx="9">
                  <c:v>1.3661909999999999</c:v>
                </c:pt>
                <c:pt idx="10">
                  <c:v>1.581583</c:v>
                </c:pt>
                <c:pt idx="11">
                  <c:v>1.776745</c:v>
                </c:pt>
                <c:pt idx="12">
                  <c:v>1.9475359999999999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Dat_01!$B$131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Dat_01!$C$131:$O$131</c:f>
              <c:numCache>
                <c:formatCode>#,##0.0</c:formatCode>
                <c:ptCount val="13"/>
                <c:pt idx="0">
                  <c:v>4.1208809999999998</c:v>
                </c:pt>
                <c:pt idx="1">
                  <c:v>3.573118</c:v>
                </c:pt>
                <c:pt idx="2">
                  <c:v>3.1659009999999999</c:v>
                </c:pt>
                <c:pt idx="3">
                  <c:v>2.336195</c:v>
                </c:pt>
                <c:pt idx="4">
                  <c:v>3.0284080000000002</c:v>
                </c:pt>
                <c:pt idx="5">
                  <c:v>2.5220250000000002</c:v>
                </c:pt>
                <c:pt idx="6">
                  <c:v>3.7919230000000002</c:v>
                </c:pt>
                <c:pt idx="7">
                  <c:v>3.4251860000000001</c:v>
                </c:pt>
                <c:pt idx="8">
                  <c:v>1.3775310000000001</c:v>
                </c:pt>
                <c:pt idx="9">
                  <c:v>0.98716599999999999</c:v>
                </c:pt>
                <c:pt idx="10">
                  <c:v>2.6262699999999999</c:v>
                </c:pt>
                <c:pt idx="11">
                  <c:v>2.7262230000000001</c:v>
                </c:pt>
                <c:pt idx="12">
                  <c:v>3.0921349999999999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Dat_01!$C$132:$O$132</c:f>
              <c:numCache>
                <c:formatCode>#,##0.0</c:formatCode>
                <c:ptCount val="13"/>
                <c:pt idx="0">
                  <c:v>14.345347</c:v>
                </c:pt>
                <c:pt idx="1">
                  <c:v>13.9802175</c:v>
                </c:pt>
                <c:pt idx="2">
                  <c:v>11.851319</c:v>
                </c:pt>
                <c:pt idx="3">
                  <c:v>13.92998</c:v>
                </c:pt>
                <c:pt idx="4">
                  <c:v>8.0829000000000004</c:v>
                </c:pt>
                <c:pt idx="5">
                  <c:v>12.386824499999999</c:v>
                </c:pt>
                <c:pt idx="6">
                  <c:v>9.5741110000000003</c:v>
                </c:pt>
                <c:pt idx="7">
                  <c:v>8.3717509999999997</c:v>
                </c:pt>
                <c:pt idx="8">
                  <c:v>4.8198524999999997</c:v>
                </c:pt>
                <c:pt idx="9">
                  <c:v>9.7177954999999994</c:v>
                </c:pt>
                <c:pt idx="10">
                  <c:v>15.144128</c:v>
                </c:pt>
                <c:pt idx="11">
                  <c:v>11.267936000000001</c:v>
                </c:pt>
                <c:pt idx="12">
                  <c:v>13.462051000000001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Dat_01!$C$133:$O$133</c:f>
              <c:numCache>
                <c:formatCode>#,##0.0</c:formatCode>
                <c:ptCount val="13"/>
                <c:pt idx="0">
                  <c:v>14.345347</c:v>
                </c:pt>
                <c:pt idx="1">
                  <c:v>13.9802175</c:v>
                </c:pt>
                <c:pt idx="2">
                  <c:v>11.851319</c:v>
                </c:pt>
                <c:pt idx="3">
                  <c:v>13.92998</c:v>
                </c:pt>
                <c:pt idx="4">
                  <c:v>8.0829000000000004</c:v>
                </c:pt>
                <c:pt idx="5">
                  <c:v>12.386824499999999</c:v>
                </c:pt>
                <c:pt idx="6">
                  <c:v>9.5741110000000003</c:v>
                </c:pt>
                <c:pt idx="7">
                  <c:v>8.3717509999999997</c:v>
                </c:pt>
                <c:pt idx="8">
                  <c:v>4.8198524999999997</c:v>
                </c:pt>
                <c:pt idx="9">
                  <c:v>9.7177954999999994</c:v>
                </c:pt>
                <c:pt idx="10">
                  <c:v>15.144128</c:v>
                </c:pt>
                <c:pt idx="11">
                  <c:v>11.267936000000001</c:v>
                </c:pt>
                <c:pt idx="12">
                  <c:v>13.462051000000001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7.8215080838472437E-2"/>
          <c:y val="4.249671229708963E-2"/>
          <c:w val="0.89685395016679825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Dat_01!$B$123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Dat_01!$C$123:$O$123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Dat_01!$B$139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82.837088999999992</c:v>
                </c:pt>
                <c:pt idx="1">
                  <c:v>120.582323</c:v>
                </c:pt>
                <c:pt idx="2">
                  <c:v>117.70911799999999</c:v>
                </c:pt>
                <c:pt idx="3">
                  <c:v>85.231729000000001</c:v>
                </c:pt>
                <c:pt idx="4">
                  <c:v>66.208546999999996</c:v>
                </c:pt>
                <c:pt idx="5">
                  <c:v>49.453113000000002</c:v>
                </c:pt>
                <c:pt idx="6">
                  <c:v>36.694375000000001</c:v>
                </c:pt>
                <c:pt idx="7">
                  <c:v>42.966481999999999</c:v>
                </c:pt>
                <c:pt idx="8">
                  <c:v>27.779554000000001</c:v>
                </c:pt>
                <c:pt idx="9">
                  <c:v>32.79</c:v>
                </c:pt>
                <c:pt idx="10">
                  <c:v>31.239136999999999</c:v>
                </c:pt>
                <c:pt idx="11">
                  <c:v>58.934716000000002</c:v>
                </c:pt>
                <c:pt idx="12">
                  <c:v>84.649348000000003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Dat_01!$B$126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274.475863</c:v>
                </c:pt>
                <c:pt idx="1">
                  <c:v>334.267562</c:v>
                </c:pt>
                <c:pt idx="2">
                  <c:v>319.07413400000002</c:v>
                </c:pt>
                <c:pt idx="3">
                  <c:v>274.82982800000002</c:v>
                </c:pt>
                <c:pt idx="4">
                  <c:v>257.021049</c:v>
                </c:pt>
                <c:pt idx="5">
                  <c:v>234.20941099999999</c:v>
                </c:pt>
                <c:pt idx="6">
                  <c:v>265.032152</c:v>
                </c:pt>
                <c:pt idx="7">
                  <c:v>271.90836200000001</c:v>
                </c:pt>
                <c:pt idx="8">
                  <c:v>219.728983</c:v>
                </c:pt>
                <c:pt idx="9">
                  <c:v>263.66985</c:v>
                </c:pt>
                <c:pt idx="10">
                  <c:v>217.826639</c:v>
                </c:pt>
                <c:pt idx="11">
                  <c:v>237.47240300000001</c:v>
                </c:pt>
                <c:pt idx="12">
                  <c:v>278.43838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Dat_01!$B$129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64.616387000000003</c:v>
                </c:pt>
                <c:pt idx="1">
                  <c:v>58.301254</c:v>
                </c:pt>
                <c:pt idx="2">
                  <c:v>58.388308000000002</c:v>
                </c:pt>
                <c:pt idx="3">
                  <c:v>48.070135000000001</c:v>
                </c:pt>
                <c:pt idx="4">
                  <c:v>38.159438000000002</c:v>
                </c:pt>
                <c:pt idx="5">
                  <c:v>28.287680999999999</c:v>
                </c:pt>
                <c:pt idx="6">
                  <c:v>21.457460999999999</c:v>
                </c:pt>
                <c:pt idx="7">
                  <c:v>26.531222</c:v>
                </c:pt>
                <c:pt idx="8">
                  <c:v>38.510109999999997</c:v>
                </c:pt>
                <c:pt idx="9">
                  <c:v>42.581280999999997</c:v>
                </c:pt>
                <c:pt idx="10">
                  <c:v>59.468370999999998</c:v>
                </c:pt>
                <c:pt idx="11">
                  <c:v>57.807105</c:v>
                </c:pt>
                <c:pt idx="12">
                  <c:v>69.715850000000003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Dat_01!$B$130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0.25375799999999998</c:v>
                </c:pt>
                <c:pt idx="1">
                  <c:v>0.13533500000000001</c:v>
                </c:pt>
                <c:pt idx="2">
                  <c:v>6.2700000000000006E-2</c:v>
                </c:pt>
                <c:pt idx="3">
                  <c:v>0.16319</c:v>
                </c:pt>
                <c:pt idx="4">
                  <c:v>0.72397699999999998</c:v>
                </c:pt>
                <c:pt idx="5">
                  <c:v>1.328557</c:v>
                </c:pt>
                <c:pt idx="6">
                  <c:v>0.812226</c:v>
                </c:pt>
                <c:pt idx="7">
                  <c:v>0.97993699999999995</c:v>
                </c:pt>
                <c:pt idx="8">
                  <c:v>0.94255900000000004</c:v>
                </c:pt>
                <c:pt idx="9">
                  <c:v>1.3661909999999999</c:v>
                </c:pt>
                <c:pt idx="10">
                  <c:v>1.581583</c:v>
                </c:pt>
                <c:pt idx="11">
                  <c:v>1.776745</c:v>
                </c:pt>
                <c:pt idx="12">
                  <c:v>1.9475359999999999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Dat_01!$B$131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Dat_01!$C$131:$O$131</c:f>
              <c:numCache>
                <c:formatCode>#,##0.0</c:formatCode>
                <c:ptCount val="13"/>
                <c:pt idx="0">
                  <c:v>4.1208809999999998</c:v>
                </c:pt>
                <c:pt idx="1">
                  <c:v>3.573118</c:v>
                </c:pt>
                <c:pt idx="2">
                  <c:v>3.1659009999999999</c:v>
                </c:pt>
                <c:pt idx="3">
                  <c:v>2.336195</c:v>
                </c:pt>
                <c:pt idx="4">
                  <c:v>3.0284080000000002</c:v>
                </c:pt>
                <c:pt idx="5">
                  <c:v>2.5220250000000002</c:v>
                </c:pt>
                <c:pt idx="6">
                  <c:v>3.7919230000000002</c:v>
                </c:pt>
                <c:pt idx="7">
                  <c:v>3.4251860000000001</c:v>
                </c:pt>
                <c:pt idx="8">
                  <c:v>1.3775310000000001</c:v>
                </c:pt>
                <c:pt idx="9">
                  <c:v>0.98716599999999999</c:v>
                </c:pt>
                <c:pt idx="10">
                  <c:v>2.6262699999999999</c:v>
                </c:pt>
                <c:pt idx="11">
                  <c:v>2.7262230000000001</c:v>
                </c:pt>
                <c:pt idx="12">
                  <c:v>3.0921349999999999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jun.-25</c:v>
                </c:pt>
                <c:pt idx="1">
                  <c:v>jul.-25</c:v>
                </c:pt>
                <c:pt idx="2">
                  <c:v>ago.-25</c:v>
                </c:pt>
                <c:pt idx="3">
                  <c:v>sep.-25</c:v>
                </c:pt>
                <c:pt idx="4">
                  <c:v>oct.-25</c:v>
                </c:pt>
                <c:pt idx="5">
                  <c:v>nov.-25</c:v>
                </c:pt>
                <c:pt idx="6">
                  <c:v>dic.-25</c:v>
                </c:pt>
                <c:pt idx="7">
                  <c:v>ene.-26</c:v>
                </c:pt>
                <c:pt idx="8">
                  <c:v>feb.-26</c:v>
                </c:pt>
                <c:pt idx="9">
                  <c:v>mar.-26</c:v>
                </c:pt>
                <c:pt idx="10">
                  <c:v>abr.-26</c:v>
                </c:pt>
                <c:pt idx="11">
                  <c:v>may.-26</c:v>
                </c:pt>
                <c:pt idx="12">
                  <c:v>jun.-26</c:v>
                </c:pt>
              </c:strCache>
            </c:strRef>
          </c:cat>
          <c:val>
            <c:numRef>
              <c:f>Dat_01!$C$132:$O$132</c:f>
              <c:numCache>
                <c:formatCode>#,##0.0</c:formatCode>
                <c:ptCount val="13"/>
                <c:pt idx="0">
                  <c:v>14.345347</c:v>
                </c:pt>
                <c:pt idx="1">
                  <c:v>13.9802175</c:v>
                </c:pt>
                <c:pt idx="2">
                  <c:v>11.851319</c:v>
                </c:pt>
                <c:pt idx="3">
                  <c:v>13.92998</c:v>
                </c:pt>
                <c:pt idx="4">
                  <c:v>8.0829000000000004</c:v>
                </c:pt>
                <c:pt idx="5">
                  <c:v>12.386824499999999</c:v>
                </c:pt>
                <c:pt idx="6">
                  <c:v>9.5741110000000003</c:v>
                </c:pt>
                <c:pt idx="7">
                  <c:v>8.3717509999999997</c:v>
                </c:pt>
                <c:pt idx="8">
                  <c:v>4.8198524999999997</c:v>
                </c:pt>
                <c:pt idx="9">
                  <c:v>9.7177954999999994</c:v>
                </c:pt>
                <c:pt idx="10">
                  <c:v>15.144128</c:v>
                </c:pt>
                <c:pt idx="11">
                  <c:v>11.267936000000001</c:v>
                </c:pt>
                <c:pt idx="12">
                  <c:v>13.462051000000001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Dat_01!$C$133:$O$133</c:f>
              <c:numCache>
                <c:formatCode>#,##0.0</c:formatCode>
                <c:ptCount val="13"/>
                <c:pt idx="0">
                  <c:v>14.345347</c:v>
                </c:pt>
                <c:pt idx="1">
                  <c:v>13.9802175</c:v>
                </c:pt>
                <c:pt idx="2">
                  <c:v>11.851319</c:v>
                </c:pt>
                <c:pt idx="3">
                  <c:v>13.92998</c:v>
                </c:pt>
                <c:pt idx="4">
                  <c:v>8.0829000000000004</c:v>
                </c:pt>
                <c:pt idx="5">
                  <c:v>12.386824499999999</c:v>
                </c:pt>
                <c:pt idx="6">
                  <c:v>9.5741110000000003</c:v>
                </c:pt>
                <c:pt idx="7">
                  <c:v>8.3717509999999997</c:v>
                </c:pt>
                <c:pt idx="8">
                  <c:v>4.8198524999999997</c:v>
                </c:pt>
                <c:pt idx="9">
                  <c:v>9.7177954999999994</c:v>
                </c:pt>
                <c:pt idx="10">
                  <c:v>15.144128</c:v>
                </c:pt>
                <c:pt idx="11">
                  <c:v>11.267936000000001</c:v>
                </c:pt>
                <c:pt idx="12">
                  <c:v>13.462051000000001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BA0F16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14.181522237018166</c:v>
                </c:pt>
                <c:pt idx="1">
                  <c:v>15.144425610957285</c:v>
                </c:pt>
                <c:pt idx="2">
                  <c:v>14.036112485592749</c:v>
                </c:pt>
                <c:pt idx="3">
                  <c:v>25.167519776711352</c:v>
                </c:pt>
                <c:pt idx="4">
                  <c:v>1.1109305008901937</c:v>
                </c:pt>
                <c:pt idx="5">
                  <c:v>2.2189528067518786E-2</c:v>
                </c:pt>
                <c:pt idx="6">
                  <c:v>0.32920767722714633</c:v>
                </c:pt>
                <c:pt idx="7">
                  <c:v>19.701130991375607</c:v>
                </c:pt>
                <c:pt idx="8">
                  <c:v>10.05086553794955</c:v>
                </c:pt>
                <c:pt idx="9">
                  <c:v>0.25609565421044617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BA0F16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886178861788618"/>
                  <c:y val="-7.50142813030724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7561308494974701"/>
                  <c:y val="-4.17581442025629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9613545867742144"/>
                  <c:y val="9.64493592712675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284552845528454"/>
                  <c:y val="2.91601049868765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layout>
                <c:manualLayout>
                  <c:x val="0.16585378656936164"/>
                  <c:y val="-0.1372547089702022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18.53208936687728</c:v>
                </c:pt>
                <c:pt idx="1">
                  <c:v>2.5526638045644612</c:v>
                </c:pt>
                <c:pt idx="2">
                  <c:v>12.576918714291679</c:v>
                </c:pt>
                <c:pt idx="3">
                  <c:v>39.695666452127739</c:v>
                </c:pt>
                <c:pt idx="4">
                  <c:v>0</c:v>
                </c:pt>
                <c:pt idx="5">
                  <c:v>1.0169631051903638E-2</c:v>
                </c:pt>
                <c:pt idx="6">
                  <c:v>0.38276200149830869</c:v>
                </c:pt>
                <c:pt idx="7">
                  <c:v>19.444293033055736</c:v>
                </c:pt>
                <c:pt idx="8">
                  <c:v>6.6767347537610346</c:v>
                </c:pt>
                <c:pt idx="9">
                  <c:v>0.12870224277186421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69.640510611169731</c:v>
                </c:pt>
                <c:pt idx="1">
                  <c:v>30.359489388830269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1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10160</xdr:colOff>
      <xdr:row>3</xdr:row>
      <xdr:rowOff>17780</xdr:rowOff>
    </xdr:from>
    <xdr:to>
      <xdr:col>7</xdr:col>
      <xdr:colOff>18530</xdr:colOff>
      <xdr:row>3</xdr:row>
      <xdr:rowOff>17780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C065DB-D69E-407D-A427-6BEB85816BC9}"/>
            </a:ext>
          </a:extLst>
        </xdr:cNvPr>
        <xdr:cNvSpPr>
          <a:spLocks noChangeShapeType="1"/>
        </xdr:cNvSpPr>
      </xdr:nvSpPr>
      <xdr:spPr bwMode="auto">
        <a:xfrm flipH="1">
          <a:off x="216533" y="488315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C145AE-6B3A-448A-988E-E9F97BAC0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23825"/>
          <a:ext cx="1813559" cy="2190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846CDD70-5C82-496E-A1D2-DE93557379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7">
      <xdr:nvSpPr>
        <xdr:cNvPr id="5" name="CuadroTexto 1">
          <a:extLst>
            <a:ext uri="{FF2B5EF4-FFF2-40B4-BE49-F238E27FC236}">
              <a16:creationId xmlns:a16="http://schemas.microsoft.com/office/drawing/2014/main" id="{18F5699A-6899-41A0-8F70-327DBA57117A}"/>
            </a:ext>
          </a:extLst>
        </xdr:cNvPr>
        <xdr:cNvSpPr txBox="1"/>
      </xdr:nvSpPr>
      <xdr:spPr>
        <a:xfrm>
          <a:off x="2407920" y="1459230"/>
          <a:ext cx="631166" cy="413385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D5C98716-3E6A-4DDF-8536-CF453E576FC4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5,1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B7F2F3-6D02-4F9F-8755-60AFF2A01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7039950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7DE2E272-FE18-47ED-9AE4-23E5D180D3C3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5635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95249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96D2463-19B9-49B7-889C-47DAD0E3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" y="125730"/>
          <a:ext cx="1805939" cy="215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19685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124D9F4A-EE65-47AA-8919-FD1AB9731DD1}"/>
            </a:ext>
          </a:extLst>
        </xdr:cNvPr>
        <xdr:cNvSpPr>
          <a:spLocks noChangeShapeType="1"/>
        </xdr:cNvSpPr>
      </xdr:nvSpPr>
      <xdr:spPr bwMode="auto">
        <a:xfrm flipH="1">
          <a:off x="208280" y="488315"/>
          <a:ext cx="61672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50486A0-EF85-4B73-B3EA-D4699EE5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39065"/>
          <a:ext cx="1813559" cy="2266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1D654894-0F99-41EA-BA9F-18707FAE8C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6DBD27D0-F4CB-4D18-84C8-92A786685B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75A10F7-067B-4CE4-B5A2-7B2F6B18D91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80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36CEE53-396F-443E-A587-982F0C862A5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-12,04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5C14628-CEC4-424C-AACA-941420357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DBB0ACCE-8E5A-430C-A8C9-E48F0654454A}"/>
            </a:ext>
          </a:extLst>
        </xdr:cNvPr>
        <xdr:cNvSpPr>
          <a:spLocks noChangeShapeType="1"/>
        </xdr:cNvSpPr>
      </xdr:nvSpPr>
      <xdr:spPr bwMode="auto">
        <a:xfrm flipH="1">
          <a:off x="210820" y="487045"/>
          <a:ext cx="869622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C3D538B-9937-4FCA-AFF9-4BADC434D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28055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DC9E7605-0793-43E4-9AFE-050BFC8F60E6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2E9DDF-EFC5-48C7-AA4A-DF5F6D2BD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EA53AE6-7484-4FB0-A080-E390523FD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36B71D9-F122-41B6-B317-FF819FCA30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29.705,4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EAB5180-E7CA-455D-B741-F3E0F9B4018D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Cogeneración 570,3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141E1C6A-D938-4C01-9195-934015C73A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3.058,7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0.45195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357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A72796E1-DA33-48BF-B3F6-84722397932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33.334,4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509E584-5C42-4CE0-9D2F-B6DA202E6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BCAB9C8-86F0-4D6A-BC26-E3D07689A84F}"/>
            </a:ext>
          </a:extLst>
        </xdr:cNvPr>
        <xdr:cNvSpPr>
          <a:spLocks noChangeShapeType="1"/>
        </xdr:cNvSpPr>
      </xdr:nvSpPr>
      <xdr:spPr bwMode="auto">
        <a:xfrm flipH="1">
          <a:off x="210820" y="487045"/>
          <a:ext cx="869622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39B77D0-DF19-47C0-AB59-005440236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28055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DEA6B5-91F7-45B4-A8D5-B698126DDC80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B2EB2C-FBCB-44B1-A2D0-EADB8AED7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A57E7B4-E81A-40D8-9853-4090417A7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66B0DC6-8C5F-458F-BE48-58B91437216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21.314,3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8091383-4E79-4E6C-BBF3-9CFBEB77B15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1.225,4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A80B5CA5-1E0E-41E9-96BA-DE37822100C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3.836,3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0.46073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738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414F37F-7BD7-4D1F-9F9F-A762528B290F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26.376,0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135254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E3" sqref="E3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Junio 2026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Junio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102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Junio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2" t="s">
        <v>120</v>
      </c>
      <c r="D7" s="37"/>
      <c r="E7" s="41"/>
    </row>
    <row r="8" spans="2:6" s="31" customFormat="1" ht="12.75" customHeight="1">
      <c r="B8" s="39"/>
      <c r="C8" s="262"/>
      <c r="D8" s="37"/>
      <c r="E8" s="41"/>
    </row>
    <row r="9" spans="2:6" s="31" customFormat="1" ht="12.75" customHeight="1">
      <c r="B9" s="39"/>
      <c r="C9" s="262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Junio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2" t="s">
        <v>125</v>
      </c>
      <c r="C7" s="190"/>
      <c r="D7" s="193"/>
      <c r="E7" s="185"/>
      <c r="F7" s="194"/>
    </row>
    <row r="8" spans="1:13" ht="12.75" customHeight="1">
      <c r="A8" s="186"/>
      <c r="B8" s="262"/>
      <c r="C8" s="190"/>
      <c r="D8" s="193"/>
      <c r="E8" s="185"/>
      <c r="F8" s="194"/>
    </row>
    <row r="9" spans="1:13">
      <c r="A9" s="187"/>
      <c r="B9" s="262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showRowColHeaders="0" workbookViewId="0">
      <selection activeCell="F10" sqref="F10:F11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Junio 2026</v>
      </c>
    </row>
    <row r="4" spans="1:14" s="58" customFormat="1" ht="20.25" customHeight="1">
      <c r="B4" s="57"/>
      <c r="C4" s="25" t="s">
        <v>119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126</v>
      </c>
      <c r="D7" s="55"/>
      <c r="E7" s="266" t="s">
        <v>127</v>
      </c>
      <c r="F7" s="266"/>
      <c r="G7" s="203"/>
    </row>
    <row r="8" spans="1:14" ht="12.75" customHeight="1">
      <c r="A8" s="58"/>
      <c r="B8" s="57"/>
      <c r="C8" s="263"/>
      <c r="D8" s="55"/>
      <c r="E8" s="267" t="str">
        <f>CONCATENATE(TEXT(SUM(Dat_01!R23:R24),"0,00")," MWh")</f>
        <v>0,00 MWh</v>
      </c>
      <c r="F8" s="267"/>
      <c r="G8" s="204"/>
    </row>
    <row r="9" spans="1:14">
      <c r="A9" s="58"/>
      <c r="B9" s="57"/>
      <c r="C9" s="263"/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C10" s="206"/>
      <c r="E10" s="264" t="s">
        <v>123</v>
      </c>
      <c r="F10" s="265" t="str">
        <f>CONCATENATE(TEXT(Dat_01!R23,"0,00")," MWh")</f>
        <v>0,00 MWh</v>
      </c>
    </row>
    <row r="11" spans="1:14">
      <c r="E11" s="264"/>
      <c r="F11" s="265"/>
    </row>
    <row r="12" spans="1:14">
      <c r="E12" s="210"/>
      <c r="F12" s="210"/>
    </row>
    <row r="13" spans="1:14">
      <c r="E13" s="210"/>
      <c r="F13" s="210"/>
    </row>
    <row r="14" spans="1:14">
      <c r="F14" s="210"/>
    </row>
    <row r="15" spans="1:14">
      <c r="E15" s="210"/>
      <c r="F15" s="211"/>
    </row>
    <row r="16" spans="1:14">
      <c r="E16" s="210"/>
      <c r="F16" s="210"/>
    </row>
    <row r="17" spans="1:14">
      <c r="E17" s="210"/>
      <c r="F17" s="210"/>
    </row>
    <row r="18" spans="1:14">
      <c r="E18" s="210"/>
      <c r="F18" s="210"/>
    </row>
    <row r="19" spans="1:14">
      <c r="E19" s="210"/>
      <c r="F19" s="210"/>
    </row>
    <row r="20" spans="1:14">
      <c r="E20" s="210"/>
      <c r="F20" s="210"/>
    </row>
    <row r="21" spans="1:14">
      <c r="E21" s="210"/>
      <c r="F21" s="210"/>
    </row>
    <row r="22" spans="1:14">
      <c r="E22" s="210"/>
      <c r="F22" s="210"/>
    </row>
    <row r="23" spans="1:14">
      <c r="E23" s="264" t="s">
        <v>124</v>
      </c>
      <c r="F23" s="265" t="str">
        <f>CONCATENATE(TEXT(Dat_01!R24,"0,00")," MWh")</f>
        <v>0,00 MWh</v>
      </c>
    </row>
    <row r="24" spans="1:14" s="212" customFormat="1">
      <c r="A24" s="54"/>
      <c r="B24" s="54"/>
      <c r="C24" s="54"/>
      <c r="D24" s="54"/>
      <c r="E24" s="264"/>
      <c r="F24" s="265"/>
      <c r="G24" s="205"/>
      <c r="H24" s="205"/>
      <c r="I24" s="205"/>
      <c r="J24" s="205"/>
      <c r="K24" s="205"/>
      <c r="L24" s="205"/>
      <c r="M24" s="205"/>
      <c r="N24" s="205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13AC2-E52D-4F92-B10A-F63D965553D1}">
  <sheetPr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Junio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2" t="s">
        <v>140</v>
      </c>
      <c r="D7" s="37"/>
      <c r="E7" s="41"/>
    </row>
    <row r="8" spans="2:6" s="31" customFormat="1" ht="12.75" customHeight="1">
      <c r="B8" s="39"/>
      <c r="C8" s="262"/>
      <c r="D8" s="37"/>
      <c r="E8" s="41"/>
    </row>
    <row r="9" spans="2:6" s="31" customFormat="1" ht="12.75" customHeight="1">
      <c r="B9" s="39"/>
      <c r="C9" s="262"/>
      <c r="D9" s="37"/>
      <c r="E9" s="41"/>
    </row>
    <row r="10" spans="2:6" s="31" customFormat="1" ht="12.75" customHeight="1">
      <c r="B10" s="39"/>
      <c r="C10" s="183" t="str">
        <f>CONCATENATE(TEXT(Dat_01!C47,"0,0")," MW")</f>
        <v>5,1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C5F00-2979-46CB-BEED-720244A67E2F}">
  <sheetPr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Junio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2" t="s">
        <v>141</v>
      </c>
      <c r="C7" s="190"/>
      <c r="D7" s="193"/>
      <c r="E7" s="185"/>
      <c r="F7" s="194"/>
    </row>
    <row r="8" spans="1:13" ht="12.75" customHeight="1">
      <c r="A8" s="186"/>
      <c r="B8" s="262"/>
      <c r="C8" s="190"/>
      <c r="D8" s="193"/>
      <c r="E8" s="185"/>
      <c r="F8" s="194"/>
    </row>
    <row r="9" spans="1:13">
      <c r="A9" s="187"/>
      <c r="B9" s="262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925EE-FC71-4BB2-B6EC-ACBE88198869}">
  <sheetPr>
    <pageSetUpPr autoPageBreaks="0"/>
  </sheetPr>
  <dimension ref="A1:N24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5703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5703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5703125" style="205"/>
    <col min="260" max="260" width="13.42578125" style="205" bestFit="1" customWidth="1"/>
    <col min="261" max="497" width="11.5703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5703125" style="205"/>
    <col min="516" max="516" width="13.42578125" style="205" bestFit="1" customWidth="1"/>
    <col min="517" max="753" width="11.5703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5703125" style="205"/>
    <col min="772" max="772" width="13.42578125" style="205" bestFit="1" customWidth="1"/>
    <col min="773" max="1009" width="11.5703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5703125" style="205"/>
    <col min="1028" max="1028" width="13.42578125" style="205" bestFit="1" customWidth="1"/>
    <col min="1029" max="1265" width="11.5703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5703125" style="205"/>
    <col min="1284" max="1284" width="13.42578125" style="205" bestFit="1" customWidth="1"/>
    <col min="1285" max="1521" width="11.5703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5703125" style="205"/>
    <col min="1540" max="1540" width="13.42578125" style="205" bestFit="1" customWidth="1"/>
    <col min="1541" max="1777" width="11.5703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5703125" style="205"/>
    <col min="1796" max="1796" width="13.42578125" style="205" bestFit="1" customWidth="1"/>
    <col min="1797" max="2033" width="11.5703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5703125" style="205"/>
    <col min="2052" max="2052" width="13.42578125" style="205" bestFit="1" customWidth="1"/>
    <col min="2053" max="2289" width="11.5703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5703125" style="205"/>
    <col min="2308" max="2308" width="13.42578125" style="205" bestFit="1" customWidth="1"/>
    <col min="2309" max="2545" width="11.5703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5703125" style="205"/>
    <col min="2564" max="2564" width="13.42578125" style="205" bestFit="1" customWidth="1"/>
    <col min="2565" max="2801" width="11.5703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5703125" style="205"/>
    <col min="2820" max="2820" width="13.42578125" style="205" bestFit="1" customWidth="1"/>
    <col min="2821" max="3057" width="11.5703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5703125" style="205"/>
    <col min="3076" max="3076" width="13.42578125" style="205" bestFit="1" customWidth="1"/>
    <col min="3077" max="3313" width="11.5703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5703125" style="205"/>
    <col min="3332" max="3332" width="13.42578125" style="205" bestFit="1" customWidth="1"/>
    <col min="3333" max="3569" width="11.5703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5703125" style="205"/>
    <col min="3588" max="3588" width="13.42578125" style="205" bestFit="1" customWidth="1"/>
    <col min="3589" max="3825" width="11.5703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5703125" style="205"/>
    <col min="3844" max="3844" width="13.42578125" style="205" bestFit="1" customWidth="1"/>
    <col min="3845" max="4081" width="11.5703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5703125" style="205"/>
    <col min="4100" max="4100" width="13.42578125" style="205" bestFit="1" customWidth="1"/>
    <col min="4101" max="4337" width="11.5703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5703125" style="205"/>
    <col min="4356" max="4356" width="13.42578125" style="205" bestFit="1" customWidth="1"/>
    <col min="4357" max="4593" width="11.5703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5703125" style="205"/>
    <col min="4612" max="4612" width="13.42578125" style="205" bestFit="1" customWidth="1"/>
    <col min="4613" max="4849" width="11.5703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5703125" style="205"/>
    <col min="4868" max="4868" width="13.42578125" style="205" bestFit="1" customWidth="1"/>
    <col min="4869" max="5105" width="11.5703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5703125" style="205"/>
    <col min="5124" max="5124" width="13.42578125" style="205" bestFit="1" customWidth="1"/>
    <col min="5125" max="5361" width="11.5703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5703125" style="205"/>
    <col min="5380" max="5380" width="13.42578125" style="205" bestFit="1" customWidth="1"/>
    <col min="5381" max="5617" width="11.5703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5703125" style="205"/>
    <col min="5636" max="5636" width="13.42578125" style="205" bestFit="1" customWidth="1"/>
    <col min="5637" max="5873" width="11.5703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5703125" style="205"/>
    <col min="5892" max="5892" width="13.42578125" style="205" bestFit="1" customWidth="1"/>
    <col min="5893" max="6129" width="11.5703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5703125" style="205"/>
    <col min="6148" max="6148" width="13.42578125" style="205" bestFit="1" customWidth="1"/>
    <col min="6149" max="6385" width="11.5703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5703125" style="205"/>
    <col min="6404" max="6404" width="13.42578125" style="205" bestFit="1" customWidth="1"/>
    <col min="6405" max="6641" width="11.5703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5703125" style="205"/>
    <col min="6660" max="6660" width="13.42578125" style="205" bestFit="1" customWidth="1"/>
    <col min="6661" max="6897" width="11.5703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5703125" style="205"/>
    <col min="6916" max="6916" width="13.42578125" style="205" bestFit="1" customWidth="1"/>
    <col min="6917" max="7153" width="11.5703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5703125" style="205"/>
    <col min="7172" max="7172" width="13.42578125" style="205" bestFit="1" customWidth="1"/>
    <col min="7173" max="7409" width="11.5703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5703125" style="205"/>
    <col min="7428" max="7428" width="13.42578125" style="205" bestFit="1" customWidth="1"/>
    <col min="7429" max="7665" width="11.5703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5703125" style="205"/>
    <col min="7684" max="7684" width="13.42578125" style="205" bestFit="1" customWidth="1"/>
    <col min="7685" max="7921" width="11.5703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5703125" style="205"/>
    <col min="7940" max="7940" width="13.42578125" style="205" bestFit="1" customWidth="1"/>
    <col min="7941" max="8177" width="11.5703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5703125" style="205"/>
    <col min="8196" max="8196" width="13.42578125" style="205" bestFit="1" customWidth="1"/>
    <col min="8197" max="8433" width="11.5703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5703125" style="205"/>
    <col min="8452" max="8452" width="13.42578125" style="205" bestFit="1" customWidth="1"/>
    <col min="8453" max="8689" width="11.5703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5703125" style="205"/>
    <col min="8708" max="8708" width="13.42578125" style="205" bestFit="1" customWidth="1"/>
    <col min="8709" max="8945" width="11.5703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5703125" style="205"/>
    <col min="8964" max="8964" width="13.42578125" style="205" bestFit="1" customWidth="1"/>
    <col min="8965" max="9201" width="11.5703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5703125" style="205"/>
    <col min="9220" max="9220" width="13.42578125" style="205" bestFit="1" customWidth="1"/>
    <col min="9221" max="9457" width="11.5703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5703125" style="205"/>
    <col min="9476" max="9476" width="13.42578125" style="205" bestFit="1" customWidth="1"/>
    <col min="9477" max="9713" width="11.5703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5703125" style="205"/>
    <col min="9732" max="9732" width="13.42578125" style="205" bestFit="1" customWidth="1"/>
    <col min="9733" max="9969" width="11.5703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5703125" style="205"/>
    <col min="9988" max="9988" width="13.42578125" style="205" bestFit="1" customWidth="1"/>
    <col min="9989" max="10225" width="11.5703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5703125" style="205"/>
    <col min="10244" max="10244" width="13.42578125" style="205" bestFit="1" customWidth="1"/>
    <col min="10245" max="10481" width="11.5703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5703125" style="205"/>
    <col min="10500" max="10500" width="13.42578125" style="205" bestFit="1" customWidth="1"/>
    <col min="10501" max="10737" width="11.5703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5703125" style="205"/>
    <col min="10756" max="10756" width="13.42578125" style="205" bestFit="1" customWidth="1"/>
    <col min="10757" max="10993" width="11.5703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5703125" style="205"/>
    <col min="11012" max="11012" width="13.42578125" style="205" bestFit="1" customWidth="1"/>
    <col min="11013" max="11249" width="11.5703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5703125" style="205"/>
    <col min="11268" max="11268" width="13.42578125" style="205" bestFit="1" customWidth="1"/>
    <col min="11269" max="11505" width="11.5703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5703125" style="205"/>
    <col min="11524" max="11524" width="13.42578125" style="205" bestFit="1" customWidth="1"/>
    <col min="11525" max="11761" width="11.5703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5703125" style="205"/>
    <col min="11780" max="11780" width="13.42578125" style="205" bestFit="1" customWidth="1"/>
    <col min="11781" max="12017" width="11.5703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5703125" style="205"/>
    <col min="12036" max="12036" width="13.42578125" style="205" bestFit="1" customWidth="1"/>
    <col min="12037" max="12273" width="11.5703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5703125" style="205"/>
    <col min="12292" max="12292" width="13.42578125" style="205" bestFit="1" customWidth="1"/>
    <col min="12293" max="12529" width="11.5703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5703125" style="205"/>
    <col min="12548" max="12548" width="13.42578125" style="205" bestFit="1" customWidth="1"/>
    <col min="12549" max="12785" width="11.5703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5703125" style="205"/>
    <col min="12804" max="12804" width="13.42578125" style="205" bestFit="1" customWidth="1"/>
    <col min="12805" max="13041" width="11.5703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5703125" style="205"/>
    <col min="13060" max="13060" width="13.42578125" style="205" bestFit="1" customWidth="1"/>
    <col min="13061" max="13297" width="11.5703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5703125" style="205"/>
    <col min="13316" max="13316" width="13.42578125" style="205" bestFit="1" customWidth="1"/>
    <col min="13317" max="13553" width="11.5703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5703125" style="205"/>
    <col min="13572" max="13572" width="13.42578125" style="205" bestFit="1" customWidth="1"/>
    <col min="13573" max="13809" width="11.5703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5703125" style="205"/>
    <col min="13828" max="13828" width="13.42578125" style="205" bestFit="1" customWidth="1"/>
    <col min="13829" max="14065" width="11.5703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5703125" style="205"/>
    <col min="14084" max="14084" width="13.42578125" style="205" bestFit="1" customWidth="1"/>
    <col min="14085" max="14321" width="11.5703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5703125" style="205"/>
    <col min="14340" max="14340" width="13.42578125" style="205" bestFit="1" customWidth="1"/>
    <col min="14341" max="14577" width="11.5703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5703125" style="205"/>
    <col min="14596" max="14596" width="13.42578125" style="205" bestFit="1" customWidth="1"/>
    <col min="14597" max="14833" width="11.5703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5703125" style="205"/>
    <col min="14852" max="14852" width="13.42578125" style="205" bestFit="1" customWidth="1"/>
    <col min="14853" max="15089" width="11.5703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5703125" style="205"/>
    <col min="15108" max="15108" width="13.42578125" style="205" bestFit="1" customWidth="1"/>
    <col min="15109" max="15345" width="11.5703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5703125" style="205"/>
    <col min="15364" max="15364" width="13.42578125" style="205" bestFit="1" customWidth="1"/>
    <col min="15365" max="15601" width="11.5703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5703125" style="205"/>
    <col min="15620" max="15620" width="13.42578125" style="205" bestFit="1" customWidth="1"/>
    <col min="15621" max="15857" width="11.5703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5703125" style="205"/>
    <col min="15876" max="15876" width="13.42578125" style="205" bestFit="1" customWidth="1"/>
    <col min="15877" max="16113" width="11.5703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5703125" style="205"/>
    <col min="16132" max="16132" width="13.42578125" style="205" bestFit="1" customWidth="1"/>
    <col min="16133" max="16384" width="11.5703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Junio 2026</v>
      </c>
    </row>
    <row r="4" spans="1:14" s="58" customFormat="1" ht="20.25" customHeight="1">
      <c r="B4" s="57"/>
      <c r="C4" s="25" t="s">
        <v>119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142</v>
      </c>
      <c r="D7" s="55"/>
      <c r="E7" s="266" t="s">
        <v>143</v>
      </c>
      <c r="F7" s="266"/>
      <c r="G7" s="203"/>
    </row>
    <row r="8" spans="1:14" ht="12.75" customHeight="1">
      <c r="A8" s="58"/>
      <c r="B8" s="57"/>
      <c r="C8" s="263"/>
      <c r="D8" s="55"/>
      <c r="E8" s="267" t="str">
        <f>CONCATENATE(TEXT(SUM(Dat_01!Z23:Z24),"0,00")," MWh")</f>
        <v>-12,04 MWh</v>
      </c>
      <c r="F8" s="267"/>
      <c r="G8" s="204"/>
    </row>
    <row r="9" spans="1:14">
      <c r="A9" s="58"/>
      <c r="B9" s="57"/>
      <c r="C9" s="263"/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C10" s="206"/>
      <c r="E10" s="264" t="s">
        <v>123</v>
      </c>
      <c r="F10" s="265" t="str">
        <f>CONCATENATE(TEXT(Dat_01!Z23,"0,00")," MWh")</f>
        <v>0,00 MWh</v>
      </c>
    </row>
    <row r="11" spans="1:14">
      <c r="E11" s="264"/>
      <c r="F11" s="265"/>
    </row>
    <row r="12" spans="1:14">
      <c r="E12" s="210"/>
      <c r="F12" s="210"/>
    </row>
    <row r="13" spans="1:14">
      <c r="E13" s="210"/>
      <c r="F13" s="210"/>
    </row>
    <row r="14" spans="1:14">
      <c r="F14" s="210"/>
    </row>
    <row r="15" spans="1:14">
      <c r="E15" s="210"/>
      <c r="F15" s="211"/>
    </row>
    <row r="16" spans="1:14">
      <c r="E16" s="210"/>
      <c r="F16" s="210"/>
    </row>
    <row r="17" spans="1:14">
      <c r="E17" s="210"/>
      <c r="F17" s="210"/>
    </row>
    <row r="18" spans="1:14">
      <c r="E18" s="210"/>
      <c r="F18" s="210"/>
    </row>
    <row r="19" spans="1:14">
      <c r="E19" s="210"/>
      <c r="F19" s="210"/>
    </row>
    <row r="20" spans="1:14">
      <c r="E20" s="210"/>
      <c r="F20" s="210"/>
    </row>
    <row r="21" spans="1:14">
      <c r="E21" s="210"/>
      <c r="F21" s="210"/>
    </row>
    <row r="22" spans="1:14">
      <c r="E22" s="210"/>
      <c r="F22" s="210"/>
    </row>
    <row r="23" spans="1:14">
      <c r="E23" s="264" t="s">
        <v>124</v>
      </c>
      <c r="F23" s="265" t="str">
        <f>CONCATENATE(TEXT(Dat_01!Z24,"0,00")," MWh")</f>
        <v>-12,04 MWh</v>
      </c>
    </row>
    <row r="24" spans="1:14" s="212" customFormat="1">
      <c r="A24" s="54"/>
      <c r="B24" s="54"/>
      <c r="C24" s="54"/>
      <c r="D24" s="54"/>
      <c r="E24" s="264"/>
      <c r="F24" s="265"/>
      <c r="G24" s="205"/>
      <c r="H24" s="205"/>
      <c r="I24" s="205"/>
      <c r="J24" s="205"/>
      <c r="K24" s="205"/>
      <c r="L24" s="205"/>
      <c r="M24" s="205"/>
      <c r="N24" s="205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2F24B-A72E-4F9F-945C-A0E2A12FD6EB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204</v>
      </c>
    </row>
    <row r="4" spans="3:25" ht="20.100000000000001" customHeight="1">
      <c r="C4" s="25" t="s">
        <v>151</v>
      </c>
    </row>
    <row r="5" spans="3:25" ht="12.6" customHeight="1"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</row>
    <row r="7" spans="3:25" ht="12.75" customHeight="1">
      <c r="C7" s="252" t="s">
        <v>152</v>
      </c>
      <c r="E7" s="222"/>
    </row>
    <row r="8" spans="3:25">
      <c r="C8" s="252"/>
      <c r="E8" s="222"/>
    </row>
    <row r="9" spans="3:25">
      <c r="C9" s="252"/>
      <c r="E9" s="222"/>
    </row>
    <row r="10" spans="3:25">
      <c r="C10" s="70" t="s">
        <v>27</v>
      </c>
      <c r="E10" s="222"/>
    </row>
    <row r="11" spans="3:25">
      <c r="E11" s="222"/>
    </row>
    <row r="12" spans="3:25">
      <c r="E12" s="222"/>
    </row>
    <row r="13" spans="3:25">
      <c r="E13" s="222"/>
    </row>
    <row r="14" spans="3:25">
      <c r="E14" s="222"/>
    </row>
    <row r="15" spans="3:25">
      <c r="E15" s="222"/>
    </row>
    <row r="16" spans="3:25">
      <c r="E16" s="222"/>
    </row>
    <row r="17" spans="5:11">
      <c r="E17" s="222"/>
    </row>
    <row r="18" spans="5:11">
      <c r="E18" s="222"/>
    </row>
    <row r="19" spans="5:11">
      <c r="E19" s="222"/>
    </row>
    <row r="20" spans="5:11">
      <c r="E20" s="222"/>
    </row>
    <row r="21" spans="5:11">
      <c r="E21" s="222"/>
    </row>
    <row r="22" spans="5:11">
      <c r="E22" s="222"/>
    </row>
    <row r="26" spans="5:11">
      <c r="E26" s="223"/>
      <c r="F26" s="224"/>
      <c r="G26" s="224"/>
      <c r="H26" s="224"/>
      <c r="I26" s="224"/>
      <c r="J26" s="224"/>
      <c r="K26" s="22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30CC6-279B-4312-B227-6607528E53DE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204</v>
      </c>
    </row>
    <row r="4" spans="1:14" s="58" customFormat="1" ht="20.25" customHeight="1">
      <c r="B4" s="57"/>
      <c r="C4" s="25" t="s">
        <v>151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153</v>
      </c>
      <c r="D7" s="55"/>
      <c r="G7" s="203"/>
    </row>
    <row r="8" spans="1:14" ht="12.75" customHeight="1">
      <c r="A8" s="58"/>
      <c r="B8" s="57"/>
      <c r="C8" s="263"/>
      <c r="D8" s="55"/>
      <c r="G8" s="204"/>
    </row>
    <row r="9" spans="1:14">
      <c r="A9" s="58"/>
      <c r="B9" s="57"/>
      <c r="C9" s="70" t="s">
        <v>93</v>
      </c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E10" s="210"/>
      <c r="F10" s="210"/>
    </row>
    <row r="11" spans="1:14">
      <c r="E11" s="210"/>
      <c r="F11" s="210"/>
    </row>
    <row r="12" spans="1:14">
      <c r="F12" s="210"/>
    </row>
    <row r="13" spans="1:14">
      <c r="E13" s="210"/>
      <c r="F13" s="211"/>
    </row>
    <row r="14" spans="1:14">
      <c r="E14" s="210"/>
      <c r="F14" s="210"/>
    </row>
    <row r="15" spans="1:14">
      <c r="E15" s="210"/>
      <c r="F15" s="210"/>
    </row>
    <row r="16" spans="1:14">
      <c r="E16" s="210"/>
      <c r="F16" s="210"/>
    </row>
    <row r="17" spans="5:6">
      <c r="E17" s="210"/>
      <c r="F17" s="210"/>
    </row>
    <row r="18" spans="5:6">
      <c r="E18" s="210"/>
      <c r="F18" s="210"/>
    </row>
    <row r="19" spans="5:6">
      <c r="E19" s="210"/>
      <c r="F19" s="210"/>
    </row>
    <row r="20" spans="5:6">
      <c r="E20" s="210"/>
      <c r="F20" s="210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67E8E-6A21-42D7-85DD-3E4AB547A165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204</v>
      </c>
    </row>
    <row r="4" spans="3:25" ht="20.100000000000001" customHeight="1">
      <c r="C4" s="25" t="s">
        <v>151</v>
      </c>
    </row>
    <row r="5" spans="3:25" ht="12.6" customHeight="1"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</row>
    <row r="7" spans="3:25" ht="12.75" customHeight="1">
      <c r="C7" s="252" t="s">
        <v>154</v>
      </c>
      <c r="E7" s="222"/>
    </row>
    <row r="8" spans="3:25">
      <c r="C8" s="252"/>
      <c r="E8" s="222"/>
    </row>
    <row r="9" spans="3:25">
      <c r="C9" s="252"/>
      <c r="E9" s="222"/>
    </row>
    <row r="10" spans="3:25">
      <c r="C10" s="70" t="s">
        <v>27</v>
      </c>
      <c r="E10" s="222"/>
    </row>
    <row r="11" spans="3:25">
      <c r="E11" s="222"/>
    </row>
    <row r="12" spans="3:25">
      <c r="E12" s="222"/>
    </row>
    <row r="13" spans="3:25">
      <c r="E13" s="222"/>
    </row>
    <row r="14" spans="3:25">
      <c r="E14" s="222"/>
    </row>
    <row r="15" spans="3:25">
      <c r="E15" s="222"/>
    </row>
    <row r="16" spans="3:25">
      <c r="E16" s="222"/>
    </row>
    <row r="17" spans="5:11">
      <c r="E17" s="222"/>
    </row>
    <row r="18" spans="5:11">
      <c r="E18" s="222"/>
    </row>
    <row r="19" spans="5:11">
      <c r="E19" s="222"/>
    </row>
    <row r="20" spans="5:11">
      <c r="E20" s="222"/>
    </row>
    <row r="21" spans="5:11">
      <c r="E21" s="222"/>
    </row>
    <row r="22" spans="5:11">
      <c r="E22" s="222"/>
    </row>
    <row r="26" spans="5:11">
      <c r="E26" s="223"/>
      <c r="F26" s="224"/>
      <c r="G26" s="224"/>
      <c r="H26" s="224"/>
      <c r="I26" s="224"/>
      <c r="J26" s="224"/>
      <c r="K26" s="22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K3" sqref="K3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Junio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2" t="s">
        <v>40</v>
      </c>
      <c r="E7" s="66"/>
      <c r="F7" s="253" t="str">
        <f>K3</f>
        <v>Junio 2026</v>
      </c>
      <c r="G7" s="254"/>
      <c r="H7" s="254" t="s">
        <v>30</v>
      </c>
      <c r="I7" s="254"/>
      <c r="J7" s="254" t="s">
        <v>31</v>
      </c>
      <c r="K7" s="254"/>
    </row>
    <row r="8" spans="3:12">
      <c r="C8" s="252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69" t="str">
        <f>G8</f>
        <v>% 26/25</v>
      </c>
      <c r="J8" s="68" t="s">
        <v>13</v>
      </c>
      <c r="K8" s="69" t="str">
        <f>G8</f>
        <v>% 26/25</v>
      </c>
    </row>
    <row r="9" spans="3:12">
      <c r="C9" s="70"/>
      <c r="E9" s="71" t="s">
        <v>32</v>
      </c>
      <c r="F9" s="72">
        <f>Dat_01!R26/1000</f>
        <v>618.95778399999995</v>
      </c>
      <c r="G9" s="140">
        <f>Dat_01!T26*100</f>
        <v>-1.1244566200000001</v>
      </c>
      <c r="H9" s="72">
        <f>Dat_01!U26/1000</f>
        <v>2922.1715550000004</v>
      </c>
      <c r="I9" s="140">
        <f>Dat_01!W26*100</f>
        <v>1.9595522600000002</v>
      </c>
      <c r="J9" s="72">
        <f>Dat_01!X26/1000</f>
        <v>6375.9111459999995</v>
      </c>
      <c r="K9" s="140">
        <f>Dat_01!Y26*100</f>
        <v>3.09471659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Dat_01!D161*100</f>
        <v>0.11900000000000001</v>
      </c>
      <c r="H12" s="91"/>
      <c r="I12" s="91">
        <f>Dat_01!H161*100</f>
        <v>7.4999999999999997E-2</v>
      </c>
      <c r="J12" s="91"/>
      <c r="K12" s="91">
        <f>Dat_01!L161*100</f>
        <v>0.16600000000000001</v>
      </c>
    </row>
    <row r="13" spans="3:12">
      <c r="E13" s="74" t="s">
        <v>35</v>
      </c>
      <c r="F13" s="73"/>
      <c r="G13" s="91">
        <f>Dat_01!E161*100</f>
        <v>-1.02</v>
      </c>
      <c r="H13" s="91"/>
      <c r="I13" s="91">
        <f>Dat_01!I161*100</f>
        <v>0.36399999999999999</v>
      </c>
      <c r="J13" s="91"/>
      <c r="K13" s="91">
        <f>Dat_01!M161*100</f>
        <v>0.91599999999999993</v>
      </c>
    </row>
    <row r="14" spans="3:12">
      <c r="E14" s="75" t="s">
        <v>36</v>
      </c>
      <c r="F14" s="76"/>
      <c r="G14" s="92">
        <f>Dat_01!F161*100</f>
        <v>-0.22300000000000003</v>
      </c>
      <c r="H14" s="92"/>
      <c r="I14" s="92">
        <f>Dat_01!J161*100</f>
        <v>1.5209999999999999</v>
      </c>
      <c r="J14" s="92"/>
      <c r="K14" s="92">
        <f>Dat_01!N161*100</f>
        <v>2.0129999999999999</v>
      </c>
    </row>
    <row r="15" spans="3:12">
      <c r="E15" s="255" t="s">
        <v>37</v>
      </c>
      <c r="F15" s="255"/>
      <c r="G15" s="255"/>
      <c r="H15" s="255"/>
      <c r="I15" s="255"/>
      <c r="J15" s="255"/>
      <c r="K15" s="255"/>
    </row>
    <row r="16" spans="3:12" ht="21.75" customHeight="1">
      <c r="E16" s="251" t="s">
        <v>38</v>
      </c>
      <c r="F16" s="251"/>
      <c r="G16" s="251"/>
      <c r="H16" s="251"/>
      <c r="I16" s="251"/>
      <c r="J16" s="251"/>
      <c r="K16" s="251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A951-DEA5-4FE7-B667-13944DDA7018}">
  <sheetPr>
    <pageSetUpPr autoPageBreaks="0"/>
  </sheetPr>
  <dimension ref="A1:N20"/>
  <sheetViews>
    <sheetView showGridLines="0" showRowColHeaders="0" topLeftCell="A2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204</v>
      </c>
    </row>
    <row r="4" spans="1:14" s="58" customFormat="1" ht="20.25" customHeight="1">
      <c r="B4" s="57"/>
      <c r="C4" s="25" t="s">
        <v>151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155</v>
      </c>
      <c r="D7" s="55"/>
      <c r="G7" s="203"/>
    </row>
    <row r="8" spans="1:14" ht="12.75" customHeight="1">
      <c r="A8" s="58"/>
      <c r="B8" s="57"/>
      <c r="C8" s="263"/>
      <c r="D8" s="55"/>
      <c r="G8" s="204"/>
    </row>
    <row r="9" spans="1:14">
      <c r="A9" s="58"/>
      <c r="B9" s="57"/>
      <c r="C9" s="70" t="s">
        <v>93</v>
      </c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E10" s="210"/>
      <c r="F10" s="210"/>
    </row>
    <row r="11" spans="1:14">
      <c r="E11" s="210"/>
      <c r="F11" s="210"/>
    </row>
    <row r="12" spans="1:14">
      <c r="F12" s="210"/>
    </row>
    <row r="13" spans="1:14">
      <c r="E13" s="210"/>
      <c r="F13" s="211"/>
    </row>
    <row r="14" spans="1:14">
      <c r="E14" s="210"/>
      <c r="F14" s="210"/>
    </row>
    <row r="15" spans="1:14">
      <c r="E15" s="210"/>
      <c r="F15" s="210"/>
    </row>
    <row r="16" spans="1:14">
      <c r="E16" s="210"/>
      <c r="F16" s="210"/>
    </row>
    <row r="17" spans="5:6">
      <c r="E17" s="210"/>
      <c r="F17" s="210"/>
    </row>
    <row r="18" spans="5:6">
      <c r="E18" s="210"/>
      <c r="F18" s="210"/>
    </row>
    <row r="19" spans="5:6">
      <c r="E19" s="210"/>
      <c r="F19" s="210"/>
    </row>
    <row r="20" spans="5:6">
      <c r="E20" s="210"/>
      <c r="F20" s="210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5"/>
  <sheetViews>
    <sheetView zoomScaleNormal="100" workbookViewId="0">
      <selection activeCell="A11" sqref="A11"/>
    </sheetView>
  </sheetViews>
  <sheetFormatPr baseColWidth="10" defaultColWidth="11.42578125" defaultRowHeight="12"/>
  <cols>
    <col min="1" max="1" width="8.42578125" style="99" bestFit="1" customWidth="1"/>
    <col min="2" max="2" width="14.5703125" style="99" bestFit="1" customWidth="1"/>
    <col min="3" max="3" width="26.5703125" style="99" bestFit="1" customWidth="1"/>
    <col min="4" max="4" width="22.42578125" style="99" bestFit="1" customWidth="1"/>
    <col min="5" max="5" width="23.5703125" style="99" bestFit="1" customWidth="1"/>
    <col min="6" max="6" width="36.140625" style="99" bestFit="1" customWidth="1"/>
    <col min="7" max="7" width="26.140625" style="99" bestFit="1" customWidth="1"/>
    <col min="8" max="8" width="22.140625" style="99" bestFit="1" customWidth="1"/>
    <col min="9" max="9" width="23.28515625" style="99" bestFit="1" customWidth="1"/>
    <col min="10" max="10" width="31.140625" style="99" bestFit="1" customWidth="1"/>
    <col min="11" max="11" width="30.85546875" style="99" bestFit="1" customWidth="1"/>
    <col min="12" max="12" width="26.85546875" style="99" bestFit="1" customWidth="1"/>
    <col min="13" max="13" width="28" style="99" bestFit="1" customWidth="1"/>
    <col min="14" max="14" width="35.85546875" style="99" bestFit="1" customWidth="1"/>
    <col min="15" max="33" width="15.710937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204</v>
      </c>
      <c r="B2" s="127" t="s">
        <v>206</v>
      </c>
    </row>
    <row r="4" spans="1:33" ht="15">
      <c r="A4" s="128" t="s">
        <v>59</v>
      </c>
      <c r="B4" s="268" t="s">
        <v>204</v>
      </c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</row>
    <row r="5" spans="1:33" ht="15">
      <c r="A5" s="128" t="s">
        <v>60</v>
      </c>
      <c r="B5" s="270" t="s">
        <v>15</v>
      </c>
      <c r="C5" s="271"/>
      <c r="D5" s="271"/>
      <c r="E5" s="271"/>
      <c r="F5" s="271"/>
      <c r="G5" s="271"/>
      <c r="H5" s="271"/>
      <c r="I5" s="272"/>
      <c r="J5" s="270" t="s">
        <v>14</v>
      </c>
      <c r="K5" s="271"/>
      <c r="L5" s="271"/>
      <c r="M5" s="271"/>
      <c r="N5" s="271"/>
      <c r="O5" s="271"/>
      <c r="P5" s="271"/>
      <c r="Q5" s="272"/>
      <c r="R5" s="270" t="s">
        <v>49</v>
      </c>
      <c r="S5" s="271"/>
      <c r="T5" s="271"/>
      <c r="U5" s="271"/>
      <c r="V5" s="271"/>
      <c r="W5" s="271"/>
      <c r="X5" s="271"/>
      <c r="Y5" s="272"/>
      <c r="Z5" s="270" t="s">
        <v>50</v>
      </c>
      <c r="AA5" s="271"/>
      <c r="AB5" s="271"/>
      <c r="AC5" s="271"/>
      <c r="AD5" s="271"/>
      <c r="AE5" s="271"/>
      <c r="AF5" s="271"/>
      <c r="AG5" s="271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39">
        <v>0</v>
      </c>
      <c r="C8" s="239">
        <v>0</v>
      </c>
      <c r="D8" s="240">
        <v>0</v>
      </c>
      <c r="E8" s="239">
        <v>0</v>
      </c>
      <c r="F8" s="239">
        <v>0</v>
      </c>
      <c r="G8" s="240">
        <v>0</v>
      </c>
      <c r="H8" s="239">
        <v>0</v>
      </c>
      <c r="I8" s="240">
        <v>0</v>
      </c>
      <c r="J8" s="239">
        <v>0</v>
      </c>
      <c r="K8" s="239">
        <v>0</v>
      </c>
      <c r="L8" s="240">
        <v>0</v>
      </c>
      <c r="M8" s="239">
        <v>0</v>
      </c>
      <c r="N8" s="239">
        <v>0</v>
      </c>
      <c r="O8" s="240">
        <v>0</v>
      </c>
      <c r="P8" s="239">
        <v>0</v>
      </c>
      <c r="Q8" s="240">
        <v>0</v>
      </c>
      <c r="R8" s="239">
        <v>0</v>
      </c>
      <c r="S8" s="239">
        <v>0</v>
      </c>
      <c r="T8" s="240">
        <v>0</v>
      </c>
      <c r="U8" s="239">
        <v>0</v>
      </c>
      <c r="V8" s="239">
        <v>0</v>
      </c>
      <c r="W8" s="240">
        <v>0</v>
      </c>
      <c r="X8" s="239">
        <v>0</v>
      </c>
      <c r="Y8" s="240">
        <v>0</v>
      </c>
      <c r="Z8" s="239">
        <v>73.203000000000003</v>
      </c>
      <c r="AA8" s="239">
        <v>0</v>
      </c>
      <c r="AB8" s="240">
        <v>0</v>
      </c>
      <c r="AC8" s="239">
        <v>73.203000000000003</v>
      </c>
      <c r="AD8" s="239">
        <v>339.86099999999999</v>
      </c>
      <c r="AE8" s="240">
        <v>-0.78460900190000005</v>
      </c>
      <c r="AF8" s="239">
        <v>73.203000000000003</v>
      </c>
      <c r="AG8" s="240">
        <v>-0.96444901390000004</v>
      </c>
    </row>
    <row r="9" spans="1:33">
      <c r="A9" s="127" t="s">
        <v>11</v>
      </c>
      <c r="B9" s="239">
        <v>0</v>
      </c>
      <c r="C9" s="239">
        <v>0</v>
      </c>
      <c r="D9" s="240">
        <v>0</v>
      </c>
      <c r="E9" s="239">
        <v>0</v>
      </c>
      <c r="F9" s="239">
        <v>0</v>
      </c>
      <c r="G9" s="240">
        <v>0</v>
      </c>
      <c r="H9" s="239">
        <v>0</v>
      </c>
      <c r="I9" s="240">
        <v>0</v>
      </c>
      <c r="J9" s="239">
        <v>0</v>
      </c>
      <c r="K9" s="239">
        <v>0</v>
      </c>
      <c r="L9" s="240">
        <v>0</v>
      </c>
      <c r="M9" s="239">
        <v>0</v>
      </c>
      <c r="N9" s="239">
        <v>0</v>
      </c>
      <c r="O9" s="240">
        <v>0</v>
      </c>
      <c r="P9" s="239">
        <v>0</v>
      </c>
      <c r="Q9" s="240">
        <v>0</v>
      </c>
      <c r="R9" s="239">
        <v>0</v>
      </c>
      <c r="S9" s="239">
        <v>0</v>
      </c>
      <c r="T9" s="240">
        <v>0</v>
      </c>
      <c r="U9" s="239">
        <v>0</v>
      </c>
      <c r="V9" s="239">
        <v>95245.187999999995</v>
      </c>
      <c r="W9" s="240">
        <v>-1</v>
      </c>
      <c r="X9" s="239">
        <v>0</v>
      </c>
      <c r="Y9" s="240">
        <v>-1</v>
      </c>
      <c r="Z9" s="239">
        <v>0</v>
      </c>
      <c r="AA9" s="239">
        <v>0</v>
      </c>
      <c r="AB9" s="240">
        <v>0</v>
      </c>
      <c r="AC9" s="239">
        <v>0</v>
      </c>
      <c r="AD9" s="239">
        <v>0</v>
      </c>
      <c r="AE9" s="240">
        <v>0</v>
      </c>
      <c r="AF9" s="239">
        <v>0</v>
      </c>
      <c r="AG9" s="240">
        <v>0</v>
      </c>
    </row>
    <row r="10" spans="1:33">
      <c r="A10" s="127" t="s">
        <v>69</v>
      </c>
      <c r="B10" s="239">
        <v>16619.151999999998</v>
      </c>
      <c r="C10" s="239">
        <v>16852.822</v>
      </c>
      <c r="D10" s="240">
        <v>-1.3865333699999999E-2</v>
      </c>
      <c r="E10" s="239">
        <v>95962.274000000005</v>
      </c>
      <c r="F10" s="239">
        <v>97147.781000000003</v>
      </c>
      <c r="G10" s="240">
        <v>-1.220313E-2</v>
      </c>
      <c r="H10" s="239">
        <v>204790.95800000001</v>
      </c>
      <c r="I10" s="240">
        <v>2.2769967200000001E-2</v>
      </c>
      <c r="J10" s="239">
        <v>19075.949000000001</v>
      </c>
      <c r="K10" s="239">
        <v>19073.338</v>
      </c>
      <c r="L10" s="240">
        <v>1.368927E-4</v>
      </c>
      <c r="M10" s="239">
        <v>102343.171</v>
      </c>
      <c r="N10" s="239">
        <v>98519.854000000007</v>
      </c>
      <c r="O10" s="240">
        <v>3.8807578799999999E-2</v>
      </c>
      <c r="P10" s="239">
        <v>218659.823</v>
      </c>
      <c r="Q10" s="240">
        <v>3.84719845E-2</v>
      </c>
      <c r="R10" s="239">
        <v>36617.978999999999</v>
      </c>
      <c r="S10" s="239">
        <v>36758.597999999998</v>
      </c>
      <c r="T10" s="240">
        <v>-3.8254723E-3</v>
      </c>
      <c r="U10" s="239">
        <v>97163.423999999999</v>
      </c>
      <c r="V10" s="239">
        <v>90696.29</v>
      </c>
      <c r="W10" s="240">
        <v>7.1305386400000004E-2</v>
      </c>
      <c r="X10" s="239">
        <v>322627.59399999998</v>
      </c>
      <c r="Y10" s="240">
        <v>0.1350385361</v>
      </c>
      <c r="Z10" s="239">
        <v>133397.61600000001</v>
      </c>
      <c r="AA10" s="239">
        <v>133454.46299999999</v>
      </c>
      <c r="AB10" s="240">
        <v>-4.259655E-4</v>
      </c>
      <c r="AC10" s="239">
        <v>878162.10499999998</v>
      </c>
      <c r="AD10" s="239">
        <v>905308.85699999996</v>
      </c>
      <c r="AE10" s="240">
        <v>-2.9986177400000001E-2</v>
      </c>
      <c r="AF10" s="239">
        <v>1781750.6839999999</v>
      </c>
      <c r="AG10" s="240">
        <v>-4.1798832399999999E-2</v>
      </c>
    </row>
    <row r="11" spans="1:33">
      <c r="A11" s="127" t="s">
        <v>9</v>
      </c>
      <c r="B11" s="239">
        <v>24.53</v>
      </c>
      <c r="C11" s="239">
        <v>9.1240000000000006</v>
      </c>
      <c r="D11" s="240">
        <v>1.6885138097000001</v>
      </c>
      <c r="E11" s="239">
        <v>141.827</v>
      </c>
      <c r="F11" s="239">
        <v>37.128</v>
      </c>
      <c r="G11" s="240">
        <v>2.8199472097</v>
      </c>
      <c r="H11" s="239">
        <v>288.10000000000002</v>
      </c>
      <c r="I11" s="240">
        <v>-0.2293700682</v>
      </c>
      <c r="J11" s="239">
        <v>5.15</v>
      </c>
      <c r="K11" s="239">
        <v>5.3070000000000004</v>
      </c>
      <c r="L11" s="240">
        <v>-2.9583568899999999E-2</v>
      </c>
      <c r="M11" s="239">
        <v>59.274000000000001</v>
      </c>
      <c r="N11" s="239">
        <v>22.585999999999999</v>
      </c>
      <c r="O11" s="240">
        <v>1.6243690782</v>
      </c>
      <c r="P11" s="239">
        <v>138.571</v>
      </c>
      <c r="Q11" s="240">
        <v>1.4950215164</v>
      </c>
      <c r="R11" s="239">
        <v>48031.368999999999</v>
      </c>
      <c r="S11" s="239">
        <v>46078.491000000002</v>
      </c>
      <c r="T11" s="240">
        <v>4.23815528E-2</v>
      </c>
      <c r="U11" s="239">
        <v>181195.81299999999</v>
      </c>
      <c r="V11" s="239">
        <v>167031.913</v>
      </c>
      <c r="W11" s="240">
        <v>8.4797568000000004E-2</v>
      </c>
      <c r="X11" s="239">
        <v>431610.848</v>
      </c>
      <c r="Y11" s="240">
        <v>7.1187468500000003E-2</v>
      </c>
      <c r="Z11" s="239">
        <v>18374.575000000001</v>
      </c>
      <c r="AA11" s="239">
        <v>14439.682000000001</v>
      </c>
      <c r="AB11" s="240">
        <v>0.27250551639999998</v>
      </c>
      <c r="AC11" s="239">
        <v>158431.361</v>
      </c>
      <c r="AD11" s="239">
        <v>132785.66500000001</v>
      </c>
      <c r="AE11" s="240">
        <v>0.19313602869999999</v>
      </c>
      <c r="AF11" s="239">
        <v>295047.06699999998</v>
      </c>
      <c r="AG11" s="240">
        <v>0.15162772090000001</v>
      </c>
    </row>
    <row r="12" spans="1:33">
      <c r="A12" s="127" t="s">
        <v>8</v>
      </c>
      <c r="B12" s="239">
        <v>0</v>
      </c>
      <c r="C12" s="239">
        <v>0</v>
      </c>
      <c r="D12" s="240">
        <v>0</v>
      </c>
      <c r="E12" s="239">
        <v>0</v>
      </c>
      <c r="F12" s="239">
        <v>0</v>
      </c>
      <c r="G12" s="240">
        <v>0</v>
      </c>
      <c r="H12" s="239">
        <v>0</v>
      </c>
      <c r="I12" s="240">
        <v>0</v>
      </c>
      <c r="J12" s="239">
        <v>0</v>
      </c>
      <c r="K12" s="239">
        <v>0</v>
      </c>
      <c r="L12" s="240">
        <v>0</v>
      </c>
      <c r="M12" s="239">
        <v>0</v>
      </c>
      <c r="N12" s="239">
        <v>0</v>
      </c>
      <c r="O12" s="240">
        <v>0</v>
      </c>
      <c r="P12" s="239">
        <v>0</v>
      </c>
      <c r="Q12" s="240">
        <v>0</v>
      </c>
      <c r="R12" s="239">
        <v>0</v>
      </c>
      <c r="S12" s="239">
        <v>0</v>
      </c>
      <c r="T12" s="240">
        <v>0</v>
      </c>
      <c r="U12" s="239">
        <v>0</v>
      </c>
      <c r="V12" s="239">
        <v>0</v>
      </c>
      <c r="W12" s="240">
        <v>0</v>
      </c>
      <c r="X12" s="239">
        <v>0</v>
      </c>
      <c r="Y12" s="240">
        <v>0</v>
      </c>
      <c r="Z12" s="239">
        <v>90531.129000000001</v>
      </c>
      <c r="AA12" s="239">
        <v>84304.407999999996</v>
      </c>
      <c r="AB12" s="240">
        <v>7.3859969499999997E-2</v>
      </c>
      <c r="AC12" s="239">
        <v>601975.34499999997</v>
      </c>
      <c r="AD12" s="239">
        <v>584976.93200000003</v>
      </c>
      <c r="AE12" s="240">
        <v>2.9058262099999999E-2</v>
      </c>
      <c r="AF12" s="239">
        <v>1256135.7579999999</v>
      </c>
      <c r="AG12" s="240">
        <v>0.1140691972</v>
      </c>
    </row>
    <row r="13" spans="1:33">
      <c r="A13" s="127" t="s">
        <v>25</v>
      </c>
      <c r="B13" s="239">
        <v>0</v>
      </c>
      <c r="C13" s="239">
        <v>0</v>
      </c>
      <c r="D13" s="240">
        <v>0</v>
      </c>
      <c r="E13" s="239">
        <v>0</v>
      </c>
      <c r="F13" s="239">
        <v>0</v>
      </c>
      <c r="G13" s="240">
        <v>0</v>
      </c>
      <c r="H13" s="239">
        <v>0</v>
      </c>
      <c r="I13" s="240">
        <v>0</v>
      </c>
      <c r="J13" s="239">
        <v>0</v>
      </c>
      <c r="K13" s="239">
        <v>0</v>
      </c>
      <c r="L13" s="240">
        <v>0</v>
      </c>
      <c r="M13" s="239">
        <v>0</v>
      </c>
      <c r="N13" s="239">
        <v>0</v>
      </c>
      <c r="O13" s="240">
        <v>0</v>
      </c>
      <c r="P13" s="239">
        <v>0</v>
      </c>
      <c r="Q13" s="240">
        <v>0</v>
      </c>
      <c r="R13" s="239">
        <v>278438.38</v>
      </c>
      <c r="S13" s="239">
        <v>274475.86300000001</v>
      </c>
      <c r="T13" s="240">
        <v>1.44366683E-2</v>
      </c>
      <c r="U13" s="239">
        <v>1489044.6170000001</v>
      </c>
      <c r="V13" s="239">
        <v>1442571.264</v>
      </c>
      <c r="W13" s="240">
        <v>3.2215637599999999E-2</v>
      </c>
      <c r="X13" s="239">
        <v>3173478.753</v>
      </c>
      <c r="Y13" s="240">
        <v>4.1518106700000001E-2</v>
      </c>
      <c r="Z13" s="239">
        <v>285737.19699999999</v>
      </c>
      <c r="AA13" s="239">
        <v>284166.90399999998</v>
      </c>
      <c r="AB13" s="240">
        <v>5.5259532000000002E-3</v>
      </c>
      <c r="AC13" s="239">
        <v>1773558.6640000001</v>
      </c>
      <c r="AD13" s="239">
        <v>1786534.7890000001</v>
      </c>
      <c r="AE13" s="240">
        <v>-7.2632926000000004E-3</v>
      </c>
      <c r="AF13" s="239">
        <v>3783074.0380000002</v>
      </c>
      <c r="AG13" s="240">
        <v>1.3419785599999999E-2</v>
      </c>
    </row>
    <row r="14" spans="1:33">
      <c r="A14" s="127" t="s">
        <v>24</v>
      </c>
      <c r="B14" s="239">
        <v>0</v>
      </c>
      <c r="C14" s="239">
        <v>0</v>
      </c>
      <c r="D14" s="240">
        <v>0</v>
      </c>
      <c r="E14" s="239">
        <v>0</v>
      </c>
      <c r="F14" s="239">
        <v>0</v>
      </c>
      <c r="G14" s="240">
        <v>0</v>
      </c>
      <c r="H14" s="239">
        <v>0</v>
      </c>
      <c r="I14" s="240">
        <v>0</v>
      </c>
      <c r="J14" s="239">
        <v>0</v>
      </c>
      <c r="K14" s="239">
        <v>0</v>
      </c>
      <c r="L14" s="240">
        <v>0</v>
      </c>
      <c r="M14" s="239">
        <v>0</v>
      </c>
      <c r="N14" s="239">
        <v>0</v>
      </c>
      <c r="O14" s="240">
        <v>0</v>
      </c>
      <c r="P14" s="239">
        <v>0</v>
      </c>
      <c r="Q14" s="240">
        <v>0</v>
      </c>
      <c r="R14" s="239">
        <v>0</v>
      </c>
      <c r="S14" s="239">
        <v>0</v>
      </c>
      <c r="T14" s="240">
        <v>0</v>
      </c>
      <c r="U14" s="239">
        <v>0</v>
      </c>
      <c r="V14" s="239">
        <v>0</v>
      </c>
      <c r="W14" s="240">
        <v>0</v>
      </c>
      <c r="X14" s="239">
        <v>0</v>
      </c>
      <c r="Y14" s="240">
        <v>0</v>
      </c>
      <c r="Z14" s="239">
        <v>0</v>
      </c>
      <c r="AA14" s="239">
        <v>0</v>
      </c>
      <c r="AB14" s="240">
        <v>0</v>
      </c>
      <c r="AC14" s="239">
        <v>0</v>
      </c>
      <c r="AD14" s="239">
        <v>0</v>
      </c>
      <c r="AE14" s="240">
        <v>0</v>
      </c>
      <c r="AF14" s="239">
        <v>0</v>
      </c>
      <c r="AG14" s="240">
        <v>0</v>
      </c>
    </row>
    <row r="15" spans="1:33">
      <c r="A15" s="127" t="s">
        <v>6</v>
      </c>
      <c r="B15" s="239">
        <v>0</v>
      </c>
      <c r="C15" s="239">
        <v>0</v>
      </c>
      <c r="D15" s="240">
        <v>0</v>
      </c>
      <c r="E15" s="239">
        <v>0</v>
      </c>
      <c r="F15" s="239">
        <v>0</v>
      </c>
      <c r="G15" s="240">
        <v>0</v>
      </c>
      <c r="H15" s="239">
        <v>0</v>
      </c>
      <c r="I15" s="240">
        <v>0</v>
      </c>
      <c r="J15" s="239">
        <v>0</v>
      </c>
      <c r="K15" s="239">
        <v>0</v>
      </c>
      <c r="L15" s="240">
        <v>0</v>
      </c>
      <c r="M15" s="239">
        <v>0</v>
      </c>
      <c r="N15" s="239">
        <v>0</v>
      </c>
      <c r="O15" s="240">
        <v>0</v>
      </c>
      <c r="P15" s="239">
        <v>0</v>
      </c>
      <c r="Q15" s="240">
        <v>0</v>
      </c>
      <c r="R15" s="239">
        <v>0</v>
      </c>
      <c r="S15" s="239">
        <v>0</v>
      </c>
      <c r="T15" s="240">
        <v>0</v>
      </c>
      <c r="U15" s="239">
        <v>0</v>
      </c>
      <c r="V15" s="239">
        <v>0</v>
      </c>
      <c r="W15" s="240">
        <v>0</v>
      </c>
      <c r="X15" s="239">
        <v>0</v>
      </c>
      <c r="Y15" s="240">
        <v>0</v>
      </c>
      <c r="Z15" s="239">
        <v>2755.1959999999999</v>
      </c>
      <c r="AA15" s="239">
        <v>2952.8670000000002</v>
      </c>
      <c r="AB15" s="240">
        <v>-6.6942059999999998E-2</v>
      </c>
      <c r="AC15" s="239">
        <v>10401.736999999999</v>
      </c>
      <c r="AD15" s="239">
        <v>10052.007</v>
      </c>
      <c r="AE15" s="240">
        <v>3.47920569E-2</v>
      </c>
      <c r="AF15" s="239">
        <v>22538.406999999999</v>
      </c>
      <c r="AG15" s="240">
        <v>-3.55026856E-2</v>
      </c>
    </row>
    <row r="16" spans="1:33">
      <c r="A16" s="127" t="s">
        <v>5</v>
      </c>
      <c r="B16" s="239">
        <v>0</v>
      </c>
      <c r="C16" s="239">
        <v>0</v>
      </c>
      <c r="D16" s="240">
        <v>0</v>
      </c>
      <c r="E16" s="239">
        <v>0</v>
      </c>
      <c r="F16" s="239">
        <v>0</v>
      </c>
      <c r="G16" s="240">
        <v>0</v>
      </c>
      <c r="H16" s="239">
        <v>0</v>
      </c>
      <c r="I16" s="240">
        <v>0</v>
      </c>
      <c r="J16" s="239">
        <v>0</v>
      </c>
      <c r="K16" s="239">
        <v>0</v>
      </c>
      <c r="L16" s="240">
        <v>0</v>
      </c>
      <c r="M16" s="239">
        <v>0</v>
      </c>
      <c r="N16" s="239">
        <v>0</v>
      </c>
      <c r="O16" s="240">
        <v>0</v>
      </c>
      <c r="P16" s="239">
        <v>0</v>
      </c>
      <c r="Q16" s="240">
        <v>0</v>
      </c>
      <c r="R16" s="239">
        <v>0</v>
      </c>
      <c r="S16" s="239">
        <v>0</v>
      </c>
      <c r="T16" s="240">
        <v>0</v>
      </c>
      <c r="U16" s="239">
        <v>0</v>
      </c>
      <c r="V16" s="239">
        <v>0</v>
      </c>
      <c r="W16" s="240">
        <v>0</v>
      </c>
      <c r="X16" s="239">
        <v>0</v>
      </c>
      <c r="Y16" s="240">
        <v>0</v>
      </c>
      <c r="Z16" s="239">
        <v>139963.837</v>
      </c>
      <c r="AA16" s="239">
        <v>143551.42300000001</v>
      </c>
      <c r="AB16" s="240">
        <v>-2.4991643599999998E-2</v>
      </c>
      <c r="AC16" s="239">
        <v>665372.799</v>
      </c>
      <c r="AD16" s="239">
        <v>628850.728</v>
      </c>
      <c r="AE16" s="240">
        <v>5.8077488599999998E-2</v>
      </c>
      <c r="AF16" s="239">
        <v>1409707.861</v>
      </c>
      <c r="AG16" s="240">
        <v>-3.6696043E-3</v>
      </c>
    </row>
    <row r="17" spans="1:33">
      <c r="A17" s="127" t="s">
        <v>4</v>
      </c>
      <c r="B17" s="239">
        <v>0</v>
      </c>
      <c r="C17" s="239">
        <v>8.0000000000000002E-3</v>
      </c>
      <c r="D17" s="240">
        <v>-1</v>
      </c>
      <c r="E17" s="239">
        <v>3.1E-2</v>
      </c>
      <c r="F17" s="239">
        <v>4.5999999999999999E-2</v>
      </c>
      <c r="G17" s="240">
        <v>-0.32608695650000002</v>
      </c>
      <c r="H17" s="239">
        <v>5.0999999999999997E-2</v>
      </c>
      <c r="I17" s="240">
        <v>-0.53636363639999995</v>
      </c>
      <c r="J17" s="239">
        <v>5.6669999999999998</v>
      </c>
      <c r="K17" s="239">
        <v>6.9820000000000002</v>
      </c>
      <c r="L17" s="240">
        <v>-0.1883414494</v>
      </c>
      <c r="M17" s="239">
        <v>26.33</v>
      </c>
      <c r="N17" s="239">
        <v>35.194000000000003</v>
      </c>
      <c r="O17" s="240">
        <v>-0.2518611127</v>
      </c>
      <c r="P17" s="239">
        <v>58.05</v>
      </c>
      <c r="Q17" s="240">
        <v>-0.1456450711</v>
      </c>
      <c r="R17" s="239">
        <v>69715.850000000006</v>
      </c>
      <c r="S17" s="239">
        <v>64616.387000000002</v>
      </c>
      <c r="T17" s="240">
        <v>7.8919036400000003E-2</v>
      </c>
      <c r="U17" s="239">
        <v>294613.93900000001</v>
      </c>
      <c r="V17" s="239">
        <v>259937.58900000001</v>
      </c>
      <c r="W17" s="240">
        <v>0.1334025992</v>
      </c>
      <c r="X17" s="239">
        <v>547278.21600000001</v>
      </c>
      <c r="Y17" s="240">
        <v>7.0588258400000006E-2</v>
      </c>
      <c r="Z17" s="239">
        <v>48060.447</v>
      </c>
      <c r="AA17" s="239">
        <v>42657.446000000004</v>
      </c>
      <c r="AB17" s="240">
        <v>0.1266602084</v>
      </c>
      <c r="AC17" s="239">
        <v>242720.00700000001</v>
      </c>
      <c r="AD17" s="239">
        <v>230997.25200000001</v>
      </c>
      <c r="AE17" s="240">
        <v>5.07484609E-2</v>
      </c>
      <c r="AF17" s="239">
        <v>473137.17300000001</v>
      </c>
      <c r="AG17" s="240">
        <v>6.3560706600000003E-2</v>
      </c>
    </row>
    <row r="18" spans="1:33">
      <c r="A18" s="127" t="s">
        <v>22</v>
      </c>
      <c r="B18" s="239">
        <v>0</v>
      </c>
      <c r="C18" s="239">
        <v>0</v>
      </c>
      <c r="D18" s="240">
        <v>0</v>
      </c>
      <c r="E18" s="239">
        <v>0</v>
      </c>
      <c r="F18" s="239">
        <v>0</v>
      </c>
      <c r="G18" s="240">
        <v>0</v>
      </c>
      <c r="H18" s="239">
        <v>0</v>
      </c>
      <c r="I18" s="240">
        <v>0</v>
      </c>
      <c r="J18" s="239">
        <v>0</v>
      </c>
      <c r="K18" s="239">
        <v>0</v>
      </c>
      <c r="L18" s="240">
        <v>0</v>
      </c>
      <c r="M18" s="239">
        <v>0</v>
      </c>
      <c r="N18" s="239">
        <v>0</v>
      </c>
      <c r="O18" s="240">
        <v>0</v>
      </c>
      <c r="P18" s="239">
        <v>0</v>
      </c>
      <c r="Q18" s="240">
        <v>0</v>
      </c>
      <c r="R18" s="239">
        <v>1947.5360000000001</v>
      </c>
      <c r="S18" s="239">
        <v>253.75800000000001</v>
      </c>
      <c r="T18" s="240">
        <v>6.6747767558</v>
      </c>
      <c r="U18" s="239">
        <v>8594.5509999999995</v>
      </c>
      <c r="V18" s="239">
        <v>1498.0350000000001</v>
      </c>
      <c r="W18" s="240">
        <v>4.7372164202000002</v>
      </c>
      <c r="X18" s="239">
        <v>11820.536</v>
      </c>
      <c r="Y18" s="240">
        <v>2.7088130203</v>
      </c>
      <c r="Z18" s="239">
        <v>926.42399999999998</v>
      </c>
      <c r="AA18" s="239">
        <v>1280.53</v>
      </c>
      <c r="AB18" s="240">
        <v>-0.27653081149999997</v>
      </c>
      <c r="AC18" s="239">
        <v>5521.1210000000001</v>
      </c>
      <c r="AD18" s="239">
        <v>8023.1530000000002</v>
      </c>
      <c r="AE18" s="240">
        <v>-0.31185146289999999</v>
      </c>
      <c r="AF18" s="239">
        <v>10344.121999999999</v>
      </c>
      <c r="AG18" s="240">
        <v>-0.2864423015</v>
      </c>
    </row>
    <row r="19" spans="1:33">
      <c r="A19" s="127" t="s">
        <v>23</v>
      </c>
      <c r="B19" s="239">
        <v>0</v>
      </c>
      <c r="C19" s="239">
        <v>0</v>
      </c>
      <c r="D19" s="240">
        <v>0</v>
      </c>
      <c r="E19" s="239">
        <v>0</v>
      </c>
      <c r="F19" s="239">
        <v>0</v>
      </c>
      <c r="G19" s="240">
        <v>0</v>
      </c>
      <c r="H19" s="239">
        <v>0</v>
      </c>
      <c r="I19" s="240">
        <v>0</v>
      </c>
      <c r="J19" s="239">
        <v>0</v>
      </c>
      <c r="K19" s="239">
        <v>0</v>
      </c>
      <c r="L19" s="240">
        <v>0</v>
      </c>
      <c r="M19" s="239">
        <v>0</v>
      </c>
      <c r="N19" s="239">
        <v>0</v>
      </c>
      <c r="O19" s="240">
        <v>0</v>
      </c>
      <c r="P19" s="239">
        <v>0</v>
      </c>
      <c r="Q19" s="240">
        <v>0</v>
      </c>
      <c r="R19" s="239">
        <v>3092.1350000000002</v>
      </c>
      <c r="S19" s="239">
        <v>4120.8810000000003</v>
      </c>
      <c r="T19" s="240">
        <v>-0.24964224879999999</v>
      </c>
      <c r="U19" s="239">
        <v>14234.511</v>
      </c>
      <c r="V19" s="239">
        <v>19398.990000000002</v>
      </c>
      <c r="W19" s="240">
        <v>-0.2662241179</v>
      </c>
      <c r="X19" s="239">
        <v>32652.080999999998</v>
      </c>
      <c r="Y19" s="240">
        <v>-9.3271053199999995E-2</v>
      </c>
      <c r="Z19" s="239">
        <v>0</v>
      </c>
      <c r="AA19" s="239">
        <v>0</v>
      </c>
      <c r="AB19" s="240">
        <v>0</v>
      </c>
      <c r="AC19" s="239">
        <v>0</v>
      </c>
      <c r="AD19" s="239">
        <v>0</v>
      </c>
      <c r="AE19" s="240">
        <v>0</v>
      </c>
      <c r="AF19" s="239">
        <v>0</v>
      </c>
      <c r="AG19" s="240">
        <v>0</v>
      </c>
    </row>
    <row r="20" spans="1:33">
      <c r="A20" s="127" t="s">
        <v>46</v>
      </c>
      <c r="B20" s="239">
        <v>0</v>
      </c>
      <c r="C20" s="239">
        <v>0</v>
      </c>
      <c r="D20" s="240">
        <v>0</v>
      </c>
      <c r="E20" s="239">
        <v>0</v>
      </c>
      <c r="F20" s="239">
        <v>0</v>
      </c>
      <c r="G20" s="240">
        <v>0</v>
      </c>
      <c r="H20" s="239">
        <v>0</v>
      </c>
      <c r="I20" s="240">
        <v>0</v>
      </c>
      <c r="J20" s="239">
        <v>486.94450000000001</v>
      </c>
      <c r="K20" s="239">
        <v>496.51600000000002</v>
      </c>
      <c r="L20" s="240">
        <v>-1.92773244E-2</v>
      </c>
      <c r="M20" s="239">
        <v>2842.2689999999998</v>
      </c>
      <c r="N20" s="239">
        <v>3345.5839999999998</v>
      </c>
      <c r="O20" s="240">
        <v>-0.15044159700000001</v>
      </c>
      <c r="P20" s="239">
        <v>5667.9435000000003</v>
      </c>
      <c r="Q20" s="240">
        <v>-6.1281863200000002E-2</v>
      </c>
      <c r="R20" s="239">
        <v>13462.050999999999</v>
      </c>
      <c r="S20" s="239">
        <v>14345.347</v>
      </c>
      <c r="T20" s="240">
        <v>-6.1573693499999999E-2</v>
      </c>
      <c r="U20" s="239">
        <v>62783.514000000003</v>
      </c>
      <c r="V20" s="239">
        <v>66735.159</v>
      </c>
      <c r="W20" s="240">
        <v>-5.9213839599999998E-2</v>
      </c>
      <c r="X20" s="239">
        <v>132588.86600000001</v>
      </c>
      <c r="Y20" s="240">
        <v>-7.4444692600000001E-2</v>
      </c>
      <c r="Z20" s="239">
        <v>0</v>
      </c>
      <c r="AA20" s="239">
        <v>0</v>
      </c>
      <c r="AB20" s="240">
        <v>0</v>
      </c>
      <c r="AC20" s="239">
        <v>0</v>
      </c>
      <c r="AD20" s="239">
        <v>0</v>
      </c>
      <c r="AE20" s="240">
        <v>0</v>
      </c>
      <c r="AF20" s="239">
        <v>0</v>
      </c>
      <c r="AG20" s="240">
        <v>0</v>
      </c>
    </row>
    <row r="21" spans="1:33">
      <c r="A21" s="127" t="s">
        <v>47</v>
      </c>
      <c r="B21" s="239">
        <v>0</v>
      </c>
      <c r="C21" s="239">
        <v>0</v>
      </c>
      <c r="D21" s="240">
        <v>0</v>
      </c>
      <c r="E21" s="239">
        <v>0</v>
      </c>
      <c r="F21" s="239">
        <v>0</v>
      </c>
      <c r="G21" s="240">
        <v>0</v>
      </c>
      <c r="H21" s="239">
        <v>0</v>
      </c>
      <c r="I21" s="240">
        <v>0</v>
      </c>
      <c r="J21" s="239">
        <v>486.94450000000001</v>
      </c>
      <c r="K21" s="239">
        <v>496.51600000000002</v>
      </c>
      <c r="L21" s="240">
        <v>-1.92773244E-2</v>
      </c>
      <c r="M21" s="239">
        <v>2842.2689999999998</v>
      </c>
      <c r="N21" s="239">
        <v>3345.5839999999998</v>
      </c>
      <c r="O21" s="240">
        <v>-0.15044159700000001</v>
      </c>
      <c r="P21" s="239">
        <v>5667.9435000000003</v>
      </c>
      <c r="Q21" s="240">
        <v>-6.1281863200000002E-2</v>
      </c>
      <c r="R21" s="239">
        <v>13462.050999999999</v>
      </c>
      <c r="S21" s="239">
        <v>14345.347</v>
      </c>
      <c r="T21" s="240">
        <v>-6.1573693499999999E-2</v>
      </c>
      <c r="U21" s="239">
        <v>62783.514000000003</v>
      </c>
      <c r="V21" s="239">
        <v>66735.159</v>
      </c>
      <c r="W21" s="240">
        <v>-5.9213839599999998E-2</v>
      </c>
      <c r="X21" s="239">
        <v>132588.86600000001</v>
      </c>
      <c r="Y21" s="240">
        <v>-7.4444692600000001E-2</v>
      </c>
      <c r="Z21" s="239">
        <v>0</v>
      </c>
      <c r="AA21" s="239">
        <v>0</v>
      </c>
      <c r="AB21" s="240">
        <v>0</v>
      </c>
      <c r="AC21" s="239">
        <v>0</v>
      </c>
      <c r="AD21" s="239">
        <v>0</v>
      </c>
      <c r="AE21" s="240">
        <v>0</v>
      </c>
      <c r="AF21" s="239">
        <v>0</v>
      </c>
      <c r="AG21" s="240">
        <v>0</v>
      </c>
    </row>
    <row r="22" spans="1:33">
      <c r="A22" s="131" t="s">
        <v>2</v>
      </c>
      <c r="B22" s="241">
        <v>16643.682000000001</v>
      </c>
      <c r="C22" s="241">
        <v>16861.954000000002</v>
      </c>
      <c r="D22" s="242">
        <v>-1.29446445E-2</v>
      </c>
      <c r="E22" s="241">
        <v>96104.131999999998</v>
      </c>
      <c r="F22" s="241">
        <v>97184.955000000002</v>
      </c>
      <c r="G22" s="242">
        <v>-1.11212996E-2</v>
      </c>
      <c r="H22" s="241">
        <v>205079.109</v>
      </c>
      <c r="I22" s="242">
        <v>2.22997708E-2</v>
      </c>
      <c r="J22" s="241">
        <v>20060.654999999999</v>
      </c>
      <c r="K22" s="241">
        <v>20078.659</v>
      </c>
      <c r="L22" s="242">
        <v>-8.9667339999999999E-4</v>
      </c>
      <c r="M22" s="241">
        <v>108113.31299999999</v>
      </c>
      <c r="N22" s="241">
        <v>105268.802</v>
      </c>
      <c r="O22" s="242">
        <v>2.7021405599999999E-2</v>
      </c>
      <c r="P22" s="241">
        <v>230192.33100000001</v>
      </c>
      <c r="Q22" s="242">
        <v>3.33712413E-2</v>
      </c>
      <c r="R22" s="241">
        <v>464767.35100000002</v>
      </c>
      <c r="S22" s="241">
        <v>454994.67200000002</v>
      </c>
      <c r="T22" s="242">
        <v>2.1478666899999999E-2</v>
      </c>
      <c r="U22" s="241">
        <v>2210413.8829999999</v>
      </c>
      <c r="V22" s="241">
        <v>2209849.5869999998</v>
      </c>
      <c r="W22" s="242">
        <v>2.5535489999999999E-4</v>
      </c>
      <c r="X22" s="241">
        <v>4784645.76</v>
      </c>
      <c r="Y22" s="242">
        <v>2.46917509E-2</v>
      </c>
      <c r="Z22" s="241">
        <v>719819.62399999995</v>
      </c>
      <c r="AA22" s="241">
        <v>706807.723</v>
      </c>
      <c r="AB22" s="242">
        <v>1.84093928E-2</v>
      </c>
      <c r="AC22" s="241">
        <v>4336216.3420000002</v>
      </c>
      <c r="AD22" s="241">
        <v>4287869.2439999999</v>
      </c>
      <c r="AE22" s="242">
        <v>1.127532E-2</v>
      </c>
      <c r="AF22" s="241">
        <v>9031808.3129999992</v>
      </c>
      <c r="AG22" s="242">
        <v>1.75701222E-2</v>
      </c>
    </row>
    <row r="23" spans="1:33">
      <c r="A23" s="127" t="s">
        <v>95</v>
      </c>
      <c r="B23" s="239">
        <v>0</v>
      </c>
      <c r="C23" s="239">
        <v>0</v>
      </c>
      <c r="D23" s="240">
        <v>0</v>
      </c>
      <c r="E23" s="239">
        <v>0</v>
      </c>
      <c r="F23" s="239">
        <v>0</v>
      </c>
      <c r="G23" s="240">
        <v>0</v>
      </c>
      <c r="H23" s="239">
        <v>0</v>
      </c>
      <c r="I23" s="240">
        <v>0</v>
      </c>
      <c r="J23" s="239">
        <v>0</v>
      </c>
      <c r="K23" s="239">
        <v>0</v>
      </c>
      <c r="L23" s="240">
        <v>0</v>
      </c>
      <c r="M23" s="239">
        <v>0</v>
      </c>
      <c r="N23" s="239">
        <v>0</v>
      </c>
      <c r="O23" s="240">
        <v>0</v>
      </c>
      <c r="P23" s="239">
        <v>0</v>
      </c>
      <c r="Q23" s="240">
        <v>0</v>
      </c>
      <c r="R23" s="239">
        <v>0</v>
      </c>
      <c r="S23" s="239">
        <v>33.307000000000002</v>
      </c>
      <c r="T23" s="240">
        <v>-1</v>
      </c>
      <c r="U23" s="239">
        <v>0</v>
      </c>
      <c r="V23" s="239">
        <v>58.399000000000001</v>
      </c>
      <c r="W23" s="240">
        <v>-1</v>
      </c>
      <c r="X23" s="239">
        <v>31.091999999999999</v>
      </c>
      <c r="Y23" s="240">
        <v>-0.81672531790000003</v>
      </c>
      <c r="Z23" s="239">
        <v>1E-3</v>
      </c>
      <c r="AA23" s="239">
        <v>0</v>
      </c>
      <c r="AB23" s="240">
        <v>0</v>
      </c>
      <c r="AC23" s="239">
        <v>44.155999999999999</v>
      </c>
      <c r="AD23" s="239">
        <v>0</v>
      </c>
      <c r="AE23" s="240">
        <v>0</v>
      </c>
      <c r="AF23" s="239">
        <v>50.47</v>
      </c>
      <c r="AG23" s="240">
        <v>0</v>
      </c>
    </row>
    <row r="24" spans="1:33">
      <c r="A24" s="127" t="s">
        <v>96</v>
      </c>
      <c r="B24" s="239">
        <v>0</v>
      </c>
      <c r="C24" s="239">
        <v>0</v>
      </c>
      <c r="D24" s="240">
        <v>0</v>
      </c>
      <c r="E24" s="239">
        <v>0</v>
      </c>
      <c r="F24" s="239">
        <v>0</v>
      </c>
      <c r="G24" s="240">
        <v>0</v>
      </c>
      <c r="H24" s="239">
        <v>0</v>
      </c>
      <c r="I24" s="240">
        <v>0</v>
      </c>
      <c r="J24" s="239">
        <v>0</v>
      </c>
      <c r="K24" s="239">
        <v>0</v>
      </c>
      <c r="L24" s="240">
        <v>0</v>
      </c>
      <c r="M24" s="239">
        <v>0</v>
      </c>
      <c r="N24" s="239">
        <v>0</v>
      </c>
      <c r="O24" s="240">
        <v>0</v>
      </c>
      <c r="P24" s="239">
        <v>0</v>
      </c>
      <c r="Q24" s="240">
        <v>0</v>
      </c>
      <c r="R24" s="239">
        <v>0</v>
      </c>
      <c r="S24" s="239">
        <v>-66.456000000000003</v>
      </c>
      <c r="T24" s="240">
        <v>-1</v>
      </c>
      <c r="U24" s="239">
        <v>-0.38700000000000001</v>
      </c>
      <c r="V24" s="239">
        <v>-146.52199999999999</v>
      </c>
      <c r="W24" s="240">
        <v>-0.99735875839999999</v>
      </c>
      <c r="X24" s="239">
        <v>-112.964</v>
      </c>
      <c r="Y24" s="240">
        <v>-0.71559633030000003</v>
      </c>
      <c r="Z24" s="239">
        <v>-12.041</v>
      </c>
      <c r="AA24" s="239">
        <v>0</v>
      </c>
      <c r="AB24" s="240">
        <v>0</v>
      </c>
      <c r="AC24" s="239">
        <v>-140.36699999999999</v>
      </c>
      <c r="AD24" s="239">
        <v>0</v>
      </c>
      <c r="AE24" s="240">
        <v>0</v>
      </c>
      <c r="AF24" s="239">
        <v>-202.261</v>
      </c>
      <c r="AG24" s="240">
        <v>0</v>
      </c>
    </row>
    <row r="25" spans="1:33">
      <c r="A25" s="127" t="s">
        <v>21</v>
      </c>
      <c r="B25" s="239">
        <v>0</v>
      </c>
      <c r="C25" s="239">
        <v>0</v>
      </c>
      <c r="D25" s="240">
        <v>0</v>
      </c>
      <c r="E25" s="239">
        <v>0</v>
      </c>
      <c r="F25" s="239">
        <v>0</v>
      </c>
      <c r="G25" s="240">
        <v>0</v>
      </c>
      <c r="H25" s="239">
        <v>0</v>
      </c>
      <c r="I25" s="240">
        <v>0</v>
      </c>
      <c r="J25" s="239">
        <v>0</v>
      </c>
      <c r="K25" s="239">
        <v>0</v>
      </c>
      <c r="L25" s="240">
        <v>0</v>
      </c>
      <c r="M25" s="239">
        <v>0</v>
      </c>
      <c r="N25" s="239">
        <v>0</v>
      </c>
      <c r="O25" s="240">
        <v>0</v>
      </c>
      <c r="P25" s="239">
        <v>0</v>
      </c>
      <c r="Q25" s="240">
        <v>0</v>
      </c>
      <c r="R25" s="239">
        <v>154190.43299999999</v>
      </c>
      <c r="S25" s="239">
        <v>171035.32399999999</v>
      </c>
      <c r="T25" s="240">
        <v>-9.84877896E-2</v>
      </c>
      <c r="U25" s="239">
        <v>711758.05900000001</v>
      </c>
      <c r="V25" s="239">
        <v>656249.11600000004</v>
      </c>
      <c r="W25" s="240">
        <v>8.4585169900000007E-2</v>
      </c>
      <c r="X25" s="239">
        <v>1591347.2579999999</v>
      </c>
      <c r="Y25" s="240">
        <v>5.0121063799999997E-2</v>
      </c>
      <c r="Z25" s="239">
        <v>0</v>
      </c>
      <c r="AA25" s="239">
        <v>0</v>
      </c>
      <c r="AB25" s="240">
        <v>0</v>
      </c>
      <c r="AC25" s="239">
        <v>0</v>
      </c>
      <c r="AD25" s="239">
        <v>0</v>
      </c>
      <c r="AE25" s="240">
        <v>0</v>
      </c>
      <c r="AF25" s="239">
        <v>0</v>
      </c>
      <c r="AG25" s="240">
        <v>0</v>
      </c>
    </row>
    <row r="26" spans="1:33">
      <c r="A26" s="131" t="s">
        <v>70</v>
      </c>
      <c r="B26" s="241">
        <v>16643.682000000001</v>
      </c>
      <c r="C26" s="241">
        <v>16861.954000000002</v>
      </c>
      <c r="D26" s="242">
        <v>-1.29446445E-2</v>
      </c>
      <c r="E26" s="241">
        <v>96104.131999999998</v>
      </c>
      <c r="F26" s="241">
        <v>97184.955000000002</v>
      </c>
      <c r="G26" s="242">
        <v>-1.11212996E-2</v>
      </c>
      <c r="H26" s="241">
        <v>205079.109</v>
      </c>
      <c r="I26" s="242">
        <v>2.22997708E-2</v>
      </c>
      <c r="J26" s="241">
        <v>20060.654999999999</v>
      </c>
      <c r="K26" s="241">
        <v>20078.659</v>
      </c>
      <c r="L26" s="242">
        <v>-8.9667339999999999E-4</v>
      </c>
      <c r="M26" s="241">
        <v>108113.31299999999</v>
      </c>
      <c r="N26" s="241">
        <v>105268.802</v>
      </c>
      <c r="O26" s="242">
        <v>2.7021405599999999E-2</v>
      </c>
      <c r="P26" s="241">
        <v>230192.33100000001</v>
      </c>
      <c r="Q26" s="242">
        <v>3.33712413E-2</v>
      </c>
      <c r="R26" s="241">
        <v>618957.78399999999</v>
      </c>
      <c r="S26" s="241">
        <v>625996.84699999995</v>
      </c>
      <c r="T26" s="242">
        <v>-1.12445662E-2</v>
      </c>
      <c r="U26" s="241">
        <v>2922171.5550000002</v>
      </c>
      <c r="V26" s="241">
        <v>2866010.58</v>
      </c>
      <c r="W26" s="242">
        <v>1.9595522600000002E-2</v>
      </c>
      <c r="X26" s="241">
        <v>6375911.1459999997</v>
      </c>
      <c r="Y26" s="242">
        <v>3.09471659E-2</v>
      </c>
      <c r="Z26" s="241">
        <v>719807.58400000003</v>
      </c>
      <c r="AA26" s="241">
        <v>706807.723</v>
      </c>
      <c r="AB26" s="242">
        <v>1.8392358500000001E-2</v>
      </c>
      <c r="AC26" s="241">
        <v>4336120.1310000001</v>
      </c>
      <c r="AD26" s="241">
        <v>4287869.2439999999</v>
      </c>
      <c r="AE26" s="242">
        <v>1.12528821E-2</v>
      </c>
      <c r="AF26" s="241">
        <v>9031656.5219999999</v>
      </c>
      <c r="AG26" s="242">
        <v>1.7553020700000001E-2</v>
      </c>
    </row>
    <row r="27" spans="1:33">
      <c r="A27" s="127" t="s">
        <v>203</v>
      </c>
      <c r="B27" s="239">
        <v>0</v>
      </c>
      <c r="C27" s="239">
        <v>0</v>
      </c>
      <c r="D27" s="240">
        <v>0</v>
      </c>
      <c r="E27" s="239">
        <v>0</v>
      </c>
      <c r="F27" s="239">
        <v>0</v>
      </c>
      <c r="G27" s="240">
        <v>0</v>
      </c>
      <c r="H27" s="239">
        <v>0</v>
      </c>
      <c r="I27" s="240">
        <v>0</v>
      </c>
      <c r="J27" s="239">
        <v>0</v>
      </c>
      <c r="K27" s="239">
        <v>0</v>
      </c>
      <c r="L27" s="240">
        <v>0</v>
      </c>
      <c r="M27" s="239">
        <v>0</v>
      </c>
      <c r="N27" s="239">
        <v>0</v>
      </c>
      <c r="O27" s="240">
        <v>0</v>
      </c>
      <c r="P27" s="239">
        <v>0</v>
      </c>
      <c r="Q27" s="240">
        <v>0</v>
      </c>
      <c r="R27" s="239">
        <v>0</v>
      </c>
      <c r="S27" s="239">
        <v>0</v>
      </c>
      <c r="T27" s="240">
        <v>0</v>
      </c>
      <c r="U27" s="239">
        <v>0</v>
      </c>
      <c r="V27" s="239">
        <v>0</v>
      </c>
      <c r="W27" s="240">
        <v>0</v>
      </c>
      <c r="X27" s="239">
        <v>0</v>
      </c>
      <c r="Y27" s="240">
        <v>0</v>
      </c>
      <c r="Z27" s="239">
        <v>427.99400000000003</v>
      </c>
      <c r="AA27" s="239">
        <v>0</v>
      </c>
      <c r="AB27" s="240">
        <v>0</v>
      </c>
      <c r="AC27" s="239">
        <v>499.36599999999999</v>
      </c>
      <c r="AD27" s="239">
        <v>0</v>
      </c>
      <c r="AE27" s="240">
        <v>0</v>
      </c>
      <c r="AF27" s="239">
        <v>499.36599999999999</v>
      </c>
      <c r="AG27" s="240">
        <v>0</v>
      </c>
    </row>
    <row r="28" spans="1:33">
      <c r="R28" s="201"/>
      <c r="S28" s="201"/>
    </row>
    <row r="29" spans="1:33" ht="15">
      <c r="A29" s="128" t="s">
        <v>59</v>
      </c>
      <c r="B29" s="268" t="str">
        <f>A2</f>
        <v>Junio 2026</v>
      </c>
      <c r="C29" s="269"/>
    </row>
    <row r="30" spans="1:33" ht="15">
      <c r="A30" s="128" t="s">
        <v>61</v>
      </c>
      <c r="B30" s="273" t="s">
        <v>64</v>
      </c>
      <c r="C30" s="274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591.6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677.43499999999995</v>
      </c>
      <c r="D41" s="156"/>
    </row>
    <row r="42" spans="1:6">
      <c r="A42" s="127" t="s">
        <v>4</v>
      </c>
      <c r="B42" s="157">
        <v>445.991445</v>
      </c>
      <c r="C42" s="157">
        <v>345.60493500000001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 ht="15">
      <c r="A47" s="127" t="s">
        <v>121</v>
      </c>
      <c r="B47" s="99">
        <v>1.2</v>
      </c>
      <c r="C47" s="99">
        <v>5.08</v>
      </c>
      <c r="D47" s="202">
        <f>+C47</f>
        <v>5.08</v>
      </c>
      <c r="E47" s="99" t="str">
        <f>CONCATENATE(A47," ",TEXT(C47,"0,0")," MW")</f>
        <v>Baterías 5,1 MW</v>
      </c>
      <c r="F47" s="172">
        <f>+D47/C47</f>
        <v>1</v>
      </c>
    </row>
    <row r="48" spans="1:6" ht="15">
      <c r="A48" s="131" t="s">
        <v>2</v>
      </c>
      <c r="B48" s="158">
        <f>SUM(B33:B47)</f>
        <v>2339.0879450000002</v>
      </c>
      <c r="C48" s="158">
        <f>SUM(C33:C47)</f>
        <v>3443.6389349999999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113</v>
      </c>
      <c r="L51" s="176" t="s">
        <v>114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10.317004307920326</v>
      </c>
      <c r="D52" s="155"/>
      <c r="F52" s="102" t="s">
        <v>10</v>
      </c>
      <c r="G52" s="103">
        <f>C35</f>
        <v>487.64</v>
      </c>
      <c r="H52" s="104">
        <f>G52/$G$62*100</f>
        <v>14.181522237018166</v>
      </c>
      <c r="J52" s="174" t="s">
        <v>111</v>
      </c>
      <c r="K52" s="177">
        <f>SUM(C52:C58)</f>
        <v>78.832820193185086</v>
      </c>
      <c r="L52" s="177">
        <f>SUM(H52:H56)</f>
        <v>69.640510611169731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5.9626467683420135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15.144425610957285</v>
      </c>
      <c r="J53" s="178" t="s">
        <v>112</v>
      </c>
      <c r="K53" s="179">
        <f>SUM(C59:C62)</f>
        <v>21.167179806814907</v>
      </c>
      <c r="L53" s="179">
        <f>SUM(H57:H61)</f>
        <v>30.359489388830269</v>
      </c>
    </row>
    <row r="54" spans="1:12">
      <c r="A54" s="102" t="s">
        <v>9</v>
      </c>
      <c r="B54" s="103">
        <f t="shared" si="1"/>
        <v>591.6</v>
      </c>
      <c r="C54" s="104">
        <f t="shared" si="0"/>
        <v>25.304891163207571</v>
      </c>
      <c r="D54" s="155"/>
      <c r="F54" s="102" t="s">
        <v>8</v>
      </c>
      <c r="G54" s="103">
        <f>C37</f>
        <v>482.64</v>
      </c>
      <c r="H54" s="104">
        <f t="shared" si="2"/>
        <v>14.036112485592749</v>
      </c>
    </row>
    <row r="55" spans="1:12">
      <c r="A55" s="102" t="s">
        <v>25</v>
      </c>
      <c r="B55" s="103">
        <f>B38</f>
        <v>822.9</v>
      </c>
      <c r="C55" s="104">
        <f t="shared" si="0"/>
        <v>35.198436339086385</v>
      </c>
      <c r="D55" s="155"/>
      <c r="F55" s="102" t="s">
        <v>25</v>
      </c>
      <c r="G55" s="103">
        <f>C38</f>
        <v>865.4</v>
      </c>
      <c r="H55" s="104">
        <f t="shared" si="2"/>
        <v>25.167519776711352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1.1109305008901937</v>
      </c>
    </row>
    <row r="57" spans="1:12">
      <c r="A57" s="102" t="s">
        <v>23</v>
      </c>
      <c r="B57" s="103">
        <f>B44</f>
        <v>10.523</v>
      </c>
      <c r="C57" s="104">
        <f t="shared" si="0"/>
        <v>0.45010711580533003</v>
      </c>
      <c r="D57" s="155"/>
      <c r="F57" s="102" t="s">
        <v>12</v>
      </c>
      <c r="G57" s="104">
        <f>C33</f>
        <v>0.76300000000000001</v>
      </c>
      <c r="H57" s="104">
        <f t="shared" si="2"/>
        <v>2.2189528067518786E-2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1.5997344988234667</v>
      </c>
      <c r="D58" s="155"/>
      <c r="F58" s="102" t="s">
        <v>6</v>
      </c>
      <c r="G58" s="103">
        <f>C40</f>
        <v>11.32</v>
      </c>
      <c r="H58" s="104">
        <f t="shared" si="2"/>
        <v>0.32920767722714633</v>
      </c>
    </row>
    <row r="59" spans="1:12">
      <c r="A59" s="102" t="s">
        <v>46</v>
      </c>
      <c r="B59" s="103">
        <f>B45</f>
        <v>37.4</v>
      </c>
      <c r="C59" s="104">
        <f t="shared" si="3"/>
        <v>1.5997344988234667</v>
      </c>
      <c r="D59" s="155"/>
      <c r="F59" s="102" t="s">
        <v>5</v>
      </c>
      <c r="G59" s="103">
        <f>C41</f>
        <v>677.43499999999995</v>
      </c>
      <c r="H59" s="104">
        <f t="shared" si="2"/>
        <v>19.701130991375607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0.15216725881188459</v>
      </c>
      <c r="D60" s="155"/>
      <c r="F60" s="102" t="s">
        <v>4</v>
      </c>
      <c r="G60" s="103">
        <f>C42</f>
        <v>345.60493500000001</v>
      </c>
      <c r="H60" s="104">
        <f t="shared" si="2"/>
        <v>10.05086553794955</v>
      </c>
    </row>
    <row r="61" spans="1:12">
      <c r="A61" s="102" t="s">
        <v>4</v>
      </c>
      <c r="B61" s="103">
        <f>B42</f>
        <v>445.991445</v>
      </c>
      <c r="C61" s="104">
        <f t="shared" si="3"/>
        <v>19.076681838145156</v>
      </c>
      <c r="D61" s="155"/>
      <c r="F61" s="102" t="s">
        <v>22</v>
      </c>
      <c r="G61" s="103">
        <f>C43</f>
        <v>8.8059999999999992</v>
      </c>
      <c r="H61" s="104">
        <f t="shared" si="2"/>
        <v>0.25609565421044617</v>
      </c>
    </row>
    <row r="62" spans="1:12">
      <c r="A62" s="102" t="s">
        <v>22</v>
      </c>
      <c r="B62" s="103">
        <f>B43</f>
        <v>7.9160000000000004</v>
      </c>
      <c r="C62" s="104">
        <f>B62/$B$63*100</f>
        <v>0.33859621103440013</v>
      </c>
      <c r="D62" s="155"/>
      <c r="F62" s="105" t="s">
        <v>20</v>
      </c>
      <c r="G62" s="106">
        <f>SUM(G52:G61)</f>
        <v>3438.5589349999996</v>
      </c>
      <c r="H62" s="107">
        <f>SUM(H52:H61)</f>
        <v>99.999999999999986</v>
      </c>
    </row>
    <row r="63" spans="1:12">
      <c r="A63" s="105" t="s">
        <v>20</v>
      </c>
      <c r="B63" s="106">
        <f>SUM(B52:B62)</f>
        <v>2337.8879449999999</v>
      </c>
      <c r="C63" s="107">
        <f>SUM(C52:C62)</f>
        <v>100</v>
      </c>
    </row>
    <row r="66" spans="1:15">
      <c r="A66" s="97" t="s">
        <v>103</v>
      </c>
      <c r="B66" s="98"/>
      <c r="F66" s="97" t="s">
        <v>104</v>
      </c>
      <c r="G66" s="98"/>
    </row>
    <row r="67" spans="1:15">
      <c r="A67" s="100"/>
      <c r="B67" s="101" t="s">
        <v>106</v>
      </c>
      <c r="C67" s="101" t="s">
        <v>105</v>
      </c>
      <c r="D67" s="101" t="s">
        <v>93</v>
      </c>
      <c r="F67" s="100"/>
      <c r="G67" s="101" t="s">
        <v>26</v>
      </c>
      <c r="H67" s="101" t="s">
        <v>93</v>
      </c>
      <c r="J67" s="235"/>
      <c r="K67" s="231" t="s">
        <v>113</v>
      </c>
      <c r="L67" s="231" t="s">
        <v>114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18.53208936687728</v>
      </c>
      <c r="H68" s="103">
        <f>Z10</f>
        <v>133397.61600000001</v>
      </c>
      <c r="J68" s="236" t="s">
        <v>111</v>
      </c>
      <c r="K68" s="12">
        <f>SUM(C68:C74)</f>
        <v>81.684290685039969</v>
      </c>
      <c r="L68" s="12">
        <f>SUM(G68:G72)</f>
        <v>73.357338337861165</v>
      </c>
    </row>
    <row r="69" spans="1:15">
      <c r="A69" s="102" t="s">
        <v>10</v>
      </c>
      <c r="B69" s="104">
        <f t="shared" si="4"/>
        <v>5.916070521539802</v>
      </c>
      <c r="C69" s="104">
        <f>(D69/SUM($D$68:$D$78))*100</f>
        <v>7.8787761061985622</v>
      </c>
      <c r="D69" s="103">
        <f>R10</f>
        <v>36617.978999999999</v>
      </c>
      <c r="F69" s="102" t="s">
        <v>9</v>
      </c>
      <c r="G69" s="104">
        <f>Z11/Z$22*100</f>
        <v>2.5526638045644612</v>
      </c>
      <c r="H69" s="103">
        <f>Z11</f>
        <v>18374.575000000001</v>
      </c>
      <c r="J69" s="237" t="s">
        <v>112</v>
      </c>
      <c r="K69" s="238">
        <f>SUM(C75:C78)</f>
        <v>18.315709314960039</v>
      </c>
      <c r="L69" s="238">
        <f>SUM(G73:G77)</f>
        <v>26.642661662138849</v>
      </c>
    </row>
    <row r="70" spans="1:15">
      <c r="A70" s="102" t="s">
        <v>9</v>
      </c>
      <c r="B70" s="104">
        <f t="shared" si="4"/>
        <v>7.7600395764632637</v>
      </c>
      <c r="C70" s="104">
        <f>(D70/SUM($D$68:$D$78))*100</f>
        <v>10.334497226764107</v>
      </c>
      <c r="D70" s="103">
        <f>R11</f>
        <v>48031.368999999999</v>
      </c>
      <c r="F70" s="102" t="s">
        <v>8</v>
      </c>
      <c r="G70" s="104">
        <f>Z12/Z$22*100</f>
        <v>12.576918714291679</v>
      </c>
      <c r="H70" s="103">
        <f>Z12</f>
        <v>90531.129000000001</v>
      </c>
    </row>
    <row r="71" spans="1:15">
      <c r="A71" s="102" t="s">
        <v>25</v>
      </c>
      <c r="B71" s="104">
        <f t="shared" si="4"/>
        <v>44.985035683790677</v>
      </c>
      <c r="C71" s="104">
        <f>(D71/SUM($D$68:$D$78))*100</f>
        <v>59.909195299736105</v>
      </c>
      <c r="D71" s="103">
        <f>R13</f>
        <v>278438.38</v>
      </c>
      <c r="F71" s="102" t="s">
        <v>25</v>
      </c>
      <c r="G71" s="104">
        <f>Z13/Z$22*100</f>
        <v>39.695666452127739</v>
      </c>
      <c r="H71" s="103">
        <f>Z13</f>
        <v>285737.19699999999</v>
      </c>
      <c r="J71" s="213" t="s">
        <v>129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3">
        <f>Z19</f>
        <v>0</v>
      </c>
      <c r="J72" s="231"/>
      <c r="K72" s="231" t="s">
        <v>105</v>
      </c>
      <c r="L72" s="231" t="s">
        <v>93</v>
      </c>
    </row>
    <row r="73" spans="1:15" ht="12.75">
      <c r="A73" s="102" t="s">
        <v>23</v>
      </c>
      <c r="B73" s="104">
        <f t="shared" si="4"/>
        <v>0.4995712276234982</v>
      </c>
      <c r="C73" s="104">
        <f t="shared" ref="C73:C77" si="5">(D73/SUM($D$68:$D$78))*100</f>
        <v>0.66530813606999695</v>
      </c>
      <c r="D73" s="103">
        <f>R19</f>
        <v>3092.1350000000002</v>
      </c>
      <c r="F73" s="102" t="s">
        <v>12</v>
      </c>
      <c r="G73" s="104">
        <f>Z8/Z$22*100</f>
        <v>1.0169631051903638E-2</v>
      </c>
      <c r="H73" s="103">
        <f>Z8</f>
        <v>73.203000000000003</v>
      </c>
      <c r="J73" s="232" t="s">
        <v>128</v>
      </c>
      <c r="K73" s="233">
        <f>IF(L73=0,0,L73/L73)</f>
        <v>0</v>
      </c>
      <c r="L73" s="234">
        <f>R23</f>
        <v>0</v>
      </c>
      <c r="M73" s="214" t="str">
        <f>CONCATENATE(J73," ",TEXT(L73,"0,00")," MWh")</f>
        <v>Entrega baterías 0,00 MWh</v>
      </c>
      <c r="N73" s="215">
        <f>1-K73</f>
        <v>1</v>
      </c>
      <c r="O73" s="220">
        <f>1-N73</f>
        <v>0</v>
      </c>
    </row>
    <row r="74" spans="1:15" ht="12.75">
      <c r="A74" s="102" t="s">
        <v>47</v>
      </c>
      <c r="B74" s="104">
        <f t="shared" si="4"/>
        <v>2.1749546330933613</v>
      </c>
      <c r="C74" s="104">
        <f t="shared" si="5"/>
        <v>2.8965139162711968</v>
      </c>
      <c r="D74" s="103">
        <f>R21</f>
        <v>13462.050999999999</v>
      </c>
      <c r="F74" s="102" t="s">
        <v>6</v>
      </c>
      <c r="G74" s="104">
        <f>Z15/Z$22*100</f>
        <v>0.38276200149830869</v>
      </c>
      <c r="H74" s="103">
        <f>Z15</f>
        <v>2755.1959999999999</v>
      </c>
      <c r="J74" s="232" t="s">
        <v>132</v>
      </c>
      <c r="K74" s="233">
        <f>IF(L74=0,0,L74/L74)</f>
        <v>0</v>
      </c>
      <c r="L74" s="234">
        <f>R24</f>
        <v>0</v>
      </c>
      <c r="M74" s="214" t="str">
        <f>CONCATENATE(J74," ",TEXT(L74,"0,00")," MWh")</f>
        <v>Carga baterías 0,00 MWh</v>
      </c>
      <c r="N74" s="215">
        <f>1-K74</f>
        <v>1</v>
      </c>
      <c r="O74" s="220">
        <f>1-N74</f>
        <v>0</v>
      </c>
    </row>
    <row r="75" spans="1:15">
      <c r="A75" s="102" t="s">
        <v>46</v>
      </c>
      <c r="B75" s="104">
        <f t="shared" si="4"/>
        <v>2.1749546330933613</v>
      </c>
      <c r="C75" s="104">
        <f t="shared" si="5"/>
        <v>2.8965139162711968</v>
      </c>
      <c r="D75" s="103">
        <f>R20</f>
        <v>13462.050999999999</v>
      </c>
      <c r="F75" s="102" t="s">
        <v>5</v>
      </c>
      <c r="G75" s="104">
        <f>Z16/Z$22*100</f>
        <v>19.444293033055736</v>
      </c>
      <c r="H75" s="103">
        <f>Z16</f>
        <v>139963.837</v>
      </c>
      <c r="L75" s="219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6.6767347537610346</v>
      </c>
      <c r="H76" s="103">
        <f>Z17</f>
        <v>48060.447</v>
      </c>
    </row>
    <row r="77" spans="1:15">
      <c r="A77" s="102" t="s">
        <v>4</v>
      </c>
      <c r="B77" s="104">
        <f t="shared" si="4"/>
        <v>11.263425681387021</v>
      </c>
      <c r="C77" s="104">
        <f t="shared" si="5"/>
        <v>15.000160800882076</v>
      </c>
      <c r="D77" s="103">
        <f>R17</f>
        <v>69715.850000000006</v>
      </c>
      <c r="F77" s="102" t="s">
        <v>22</v>
      </c>
      <c r="G77" s="104">
        <f>Z18/Z$22*100</f>
        <v>0.12870224277186421</v>
      </c>
      <c r="H77" s="103">
        <f>Z18</f>
        <v>926.42399999999998</v>
      </c>
      <c r="J77" s="213" t="s">
        <v>136</v>
      </c>
    </row>
    <row r="78" spans="1:15">
      <c r="A78" s="102" t="s">
        <v>22</v>
      </c>
      <c r="B78" s="104">
        <f t="shared" si="4"/>
        <v>0.31464763031399245</v>
      </c>
      <c r="C78" s="104">
        <f>(D78/SUM($D$68:$D$78))*100</f>
        <v>0.41903459780676378</v>
      </c>
      <c r="D78" s="103">
        <f>R18</f>
        <v>1947.5360000000001</v>
      </c>
      <c r="F78" s="105" t="s">
        <v>20</v>
      </c>
      <c r="G78" s="107">
        <f>SUM(G68:G77)</f>
        <v>100.00000000000003</v>
      </c>
      <c r="H78" s="106">
        <f>SUM(H68:H77)</f>
        <v>719819.62400000007</v>
      </c>
      <c r="J78" s="231"/>
      <c r="K78" s="231" t="s">
        <v>105</v>
      </c>
      <c r="L78" s="231" t="s">
        <v>93</v>
      </c>
    </row>
    <row r="79" spans="1:15" ht="12.75">
      <c r="A79" s="102" t="s">
        <v>21</v>
      </c>
      <c r="B79" s="104">
        <f t="shared" si="4"/>
        <v>24.911300412695027</v>
      </c>
      <c r="C79" s="104"/>
      <c r="D79" s="103">
        <f>R25</f>
        <v>154190.43299999999</v>
      </c>
      <c r="J79" s="232" t="s">
        <v>128</v>
      </c>
      <c r="K79" s="233">
        <f>IF(L79=0,0,L79/L79)</f>
        <v>1</v>
      </c>
      <c r="L79" s="234">
        <f>Z23</f>
        <v>1E-3</v>
      </c>
      <c r="M79" s="214" t="str">
        <f>CONCATENATE(J79," ",TEXT(L79,"0,00")," MWh")</f>
        <v>Entrega baterías 0,00 MWh</v>
      </c>
      <c r="N79" s="215">
        <f>1-K79</f>
        <v>0</v>
      </c>
      <c r="O79" s="220">
        <f>1-N79</f>
        <v>1</v>
      </c>
    </row>
    <row r="80" spans="1:15" ht="12.75">
      <c r="A80" s="105" t="s">
        <v>20</v>
      </c>
      <c r="B80" s="107">
        <f>SUM(B68:B79)</f>
        <v>100.00000000000001</v>
      </c>
      <c r="C80" s="107">
        <f>SUM(C68:C79)</f>
        <v>100</v>
      </c>
      <c r="D80" s="106">
        <f>SUM(D68:D79)</f>
        <v>618957.78399999999</v>
      </c>
      <c r="J80" s="232" t="s">
        <v>132</v>
      </c>
      <c r="K80" s="233">
        <f>IF(L80=0,0,L80/L80)</f>
        <v>1</v>
      </c>
      <c r="L80" s="234">
        <f>Z24</f>
        <v>-12.041</v>
      </c>
      <c r="M80" s="214" t="str">
        <f>CONCATENATE(J80," ",TEXT(L80,"0,00")," MWh")</f>
        <v>Carga baterías -12,04 MWh</v>
      </c>
      <c r="N80" s="215">
        <f>1-K80</f>
        <v>0</v>
      </c>
      <c r="O80" s="220">
        <f>1-N80</f>
        <v>1</v>
      </c>
    </row>
    <row r="85" spans="1:26" ht="15">
      <c r="A85" s="128"/>
      <c r="B85" s="128" t="s">
        <v>61</v>
      </c>
      <c r="C85" s="282" t="s">
        <v>13</v>
      </c>
      <c r="D85" s="283"/>
      <c r="E85" s="283"/>
      <c r="F85" s="283"/>
      <c r="G85" s="283"/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3"/>
      <c r="V85"/>
      <c r="W85"/>
      <c r="X85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97</v>
      </c>
      <c r="E86" s="181" t="s">
        <v>110</v>
      </c>
      <c r="F86" s="181" t="s">
        <v>117</v>
      </c>
      <c r="G86" s="181" t="s">
        <v>118</v>
      </c>
      <c r="H86" s="181" t="s">
        <v>130</v>
      </c>
      <c r="I86" s="181" t="s">
        <v>131</v>
      </c>
      <c r="J86" s="181" t="s">
        <v>133</v>
      </c>
      <c r="K86" s="181" t="s">
        <v>134</v>
      </c>
      <c r="L86" s="181" t="s">
        <v>135</v>
      </c>
      <c r="M86" s="181" t="s">
        <v>145</v>
      </c>
      <c r="N86" s="181" t="s">
        <v>146</v>
      </c>
      <c r="O86" s="181" t="s">
        <v>147</v>
      </c>
      <c r="P86" s="181" t="s">
        <v>148</v>
      </c>
      <c r="Q86" s="181" t="s">
        <v>149</v>
      </c>
      <c r="R86" s="181" t="s">
        <v>144</v>
      </c>
      <c r="S86" s="181" t="s">
        <v>150</v>
      </c>
      <c r="T86" s="181" t="s">
        <v>204</v>
      </c>
      <c r="U86" s="181" t="s">
        <v>209</v>
      </c>
      <c r="V86"/>
      <c r="W86"/>
      <c r="X86"/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/>
      <c r="W87"/>
      <c r="X87"/>
      <c r="Y87"/>
      <c r="Z87"/>
    </row>
    <row r="88" spans="1:26" ht="15">
      <c r="A88" s="290" t="s">
        <v>49</v>
      </c>
      <c r="B88" s="127" t="s">
        <v>11</v>
      </c>
      <c r="C88" s="243">
        <v>4.6319679999999996</v>
      </c>
      <c r="D88" s="243">
        <v>61.004249999999999</v>
      </c>
      <c r="E88" s="243">
        <v>29.608969999999999</v>
      </c>
      <c r="F88" s="243">
        <v>0</v>
      </c>
      <c r="G88" s="243">
        <v>0</v>
      </c>
      <c r="H88" s="243">
        <v>0</v>
      </c>
      <c r="I88" s="243">
        <v>0</v>
      </c>
      <c r="J88" s="243">
        <v>0</v>
      </c>
      <c r="K88" s="243">
        <v>0</v>
      </c>
      <c r="L88" s="243">
        <v>0</v>
      </c>
      <c r="M88" s="243">
        <v>0</v>
      </c>
      <c r="N88" s="243">
        <v>0</v>
      </c>
      <c r="O88" s="243">
        <v>0</v>
      </c>
      <c r="P88" s="243">
        <v>0</v>
      </c>
      <c r="Q88" s="243">
        <v>0</v>
      </c>
      <c r="R88" s="243">
        <v>0</v>
      </c>
      <c r="S88" s="243">
        <v>0</v>
      </c>
      <c r="T88" s="243">
        <v>0</v>
      </c>
      <c r="U88" s="243">
        <v>1.3435999999999999</v>
      </c>
      <c r="V88"/>
      <c r="W88"/>
      <c r="X88"/>
      <c r="Y88"/>
      <c r="Z88"/>
    </row>
    <row r="89" spans="1:26" ht="15">
      <c r="A89" s="280"/>
      <c r="B89" s="127" t="s">
        <v>69</v>
      </c>
      <c r="C89" s="243">
        <v>8.5854890000000008</v>
      </c>
      <c r="D89" s="243">
        <v>6.4758909999999998</v>
      </c>
      <c r="E89" s="243">
        <v>7.3957850000000001</v>
      </c>
      <c r="F89" s="243">
        <v>13.863616</v>
      </c>
      <c r="G89" s="243">
        <v>17.616911000000002</v>
      </c>
      <c r="H89" s="243">
        <v>36.758597999999999</v>
      </c>
      <c r="I89" s="243">
        <v>62.363782</v>
      </c>
      <c r="J89" s="243">
        <v>66.467855</v>
      </c>
      <c r="K89" s="243">
        <v>45.454340000000002</v>
      </c>
      <c r="L89" s="243">
        <v>22.456917000000001</v>
      </c>
      <c r="M89" s="243">
        <v>17.069234000000002</v>
      </c>
      <c r="N89" s="243">
        <v>11.652042</v>
      </c>
      <c r="O89" s="243">
        <v>14.892018999999999</v>
      </c>
      <c r="P89" s="243">
        <v>6.0359920000000002</v>
      </c>
      <c r="Q89" s="243">
        <v>8.5326330000000006</v>
      </c>
      <c r="R89" s="243">
        <v>8.6196000000000002</v>
      </c>
      <c r="S89" s="243">
        <v>22.465201</v>
      </c>
      <c r="T89" s="243">
        <v>36.617978999999998</v>
      </c>
      <c r="U89" s="243">
        <v>14.372156</v>
      </c>
      <c r="V89"/>
      <c r="W89"/>
      <c r="X89"/>
      <c r="Y89"/>
      <c r="Z89"/>
    </row>
    <row r="90" spans="1:26" ht="15">
      <c r="A90" s="280"/>
      <c r="B90" s="127" t="s">
        <v>9</v>
      </c>
      <c r="C90" s="243">
        <v>23.827804</v>
      </c>
      <c r="D90" s="243">
        <v>22.326347999999999</v>
      </c>
      <c r="E90" s="243">
        <v>24.290578</v>
      </c>
      <c r="F90" s="243">
        <v>25.040586000000001</v>
      </c>
      <c r="G90" s="243">
        <v>25.468105999999999</v>
      </c>
      <c r="H90" s="243">
        <v>46.078491</v>
      </c>
      <c r="I90" s="243">
        <v>58.218541000000002</v>
      </c>
      <c r="J90" s="243">
        <v>51.241262999999996</v>
      </c>
      <c r="K90" s="243">
        <v>39.777388999999999</v>
      </c>
      <c r="L90" s="243">
        <v>43.751629999999999</v>
      </c>
      <c r="M90" s="243">
        <v>32.383879</v>
      </c>
      <c r="N90" s="243">
        <v>25.042332999999999</v>
      </c>
      <c r="O90" s="243">
        <v>28.074463000000002</v>
      </c>
      <c r="P90" s="243">
        <v>21.743562000000001</v>
      </c>
      <c r="Q90" s="243">
        <v>24.257366999999999</v>
      </c>
      <c r="R90" s="243">
        <v>22.619537000000001</v>
      </c>
      <c r="S90" s="243">
        <v>36.469515000000001</v>
      </c>
      <c r="T90" s="243">
        <v>48.031368999999998</v>
      </c>
      <c r="U90" s="243">
        <v>15.571614</v>
      </c>
      <c r="V90"/>
      <c r="W90"/>
      <c r="X90"/>
      <c r="Y90"/>
      <c r="Z90"/>
    </row>
    <row r="91" spans="1:26" ht="15">
      <c r="A91" s="280"/>
      <c r="B91" s="127" t="s">
        <v>25</v>
      </c>
      <c r="C91" s="243">
        <v>284.762474</v>
      </c>
      <c r="D91" s="243">
        <v>188.665806</v>
      </c>
      <c r="E91" s="243">
        <v>223.33681300000001</v>
      </c>
      <c r="F91" s="243">
        <v>226.59007600000001</v>
      </c>
      <c r="G91" s="243">
        <v>244.74023199999999</v>
      </c>
      <c r="H91" s="243">
        <v>274.475863</v>
      </c>
      <c r="I91" s="243">
        <v>334.267562</v>
      </c>
      <c r="J91" s="243">
        <v>319.07413400000002</v>
      </c>
      <c r="K91" s="243">
        <v>274.82982800000002</v>
      </c>
      <c r="L91" s="243">
        <v>257.021049</v>
      </c>
      <c r="M91" s="243">
        <v>234.20941099999999</v>
      </c>
      <c r="N91" s="243">
        <v>265.032152</v>
      </c>
      <c r="O91" s="243">
        <v>271.90836200000001</v>
      </c>
      <c r="P91" s="243">
        <v>219.728983</v>
      </c>
      <c r="Q91" s="243">
        <v>263.66985</v>
      </c>
      <c r="R91" s="243">
        <v>217.826639</v>
      </c>
      <c r="S91" s="243">
        <v>237.47240300000001</v>
      </c>
      <c r="T91" s="243">
        <v>278.43838</v>
      </c>
      <c r="U91" s="243">
        <v>95.544849999999997</v>
      </c>
      <c r="V91"/>
      <c r="W91"/>
      <c r="X91"/>
      <c r="Y91"/>
      <c r="Z91"/>
    </row>
    <row r="92" spans="1:26" ht="15">
      <c r="A92" s="280"/>
      <c r="B92" s="127" t="s">
        <v>24</v>
      </c>
      <c r="C92" s="243">
        <v>0</v>
      </c>
      <c r="D92" s="243">
        <v>0</v>
      </c>
      <c r="E92" s="243">
        <v>0</v>
      </c>
      <c r="F92" s="243">
        <v>0</v>
      </c>
      <c r="G92" s="243">
        <v>0</v>
      </c>
      <c r="H92" s="243">
        <v>0</v>
      </c>
      <c r="I92" s="243">
        <v>0</v>
      </c>
      <c r="J92" s="243">
        <v>0</v>
      </c>
      <c r="K92" s="243">
        <v>0</v>
      </c>
      <c r="L92" s="243">
        <v>0</v>
      </c>
      <c r="M92" s="243">
        <v>0</v>
      </c>
      <c r="N92" s="243">
        <v>0</v>
      </c>
      <c r="O92" s="243">
        <v>0</v>
      </c>
      <c r="P92" s="243">
        <v>0</v>
      </c>
      <c r="Q92" s="243">
        <v>0</v>
      </c>
      <c r="R92" s="243">
        <v>0</v>
      </c>
      <c r="S92" s="243">
        <v>0</v>
      </c>
      <c r="T92" s="243">
        <v>0</v>
      </c>
      <c r="U92" s="243">
        <v>0</v>
      </c>
      <c r="V92"/>
      <c r="W92"/>
      <c r="X92"/>
      <c r="Y92"/>
      <c r="Z92"/>
    </row>
    <row r="93" spans="1:26" ht="15">
      <c r="A93" s="280"/>
      <c r="B93" s="127" t="s">
        <v>5</v>
      </c>
      <c r="C93" s="243">
        <v>0</v>
      </c>
      <c r="D93" s="243">
        <v>0</v>
      </c>
      <c r="E93" s="243">
        <v>0</v>
      </c>
      <c r="F93" s="243">
        <v>0</v>
      </c>
      <c r="G93" s="243">
        <v>0</v>
      </c>
      <c r="H93" s="243">
        <v>0</v>
      </c>
      <c r="I93" s="243">
        <v>0</v>
      </c>
      <c r="J93" s="243">
        <v>0</v>
      </c>
      <c r="K93" s="243">
        <v>0</v>
      </c>
      <c r="L93" s="243">
        <v>0</v>
      </c>
      <c r="M93" s="243">
        <v>0</v>
      </c>
      <c r="N93" s="243">
        <v>0</v>
      </c>
      <c r="O93" s="243">
        <v>0</v>
      </c>
      <c r="P93" s="243">
        <v>0</v>
      </c>
      <c r="Q93" s="243">
        <v>0</v>
      </c>
      <c r="R93" s="243">
        <v>0</v>
      </c>
      <c r="S93" s="243">
        <v>0</v>
      </c>
      <c r="T93" s="243">
        <v>0</v>
      </c>
      <c r="U93" s="243">
        <v>0</v>
      </c>
      <c r="V93"/>
      <c r="W93"/>
      <c r="X93"/>
      <c r="Y93"/>
      <c r="Z93"/>
    </row>
    <row r="94" spans="1:26" ht="15">
      <c r="A94" s="280"/>
      <c r="B94" s="127" t="s">
        <v>4</v>
      </c>
      <c r="C94" s="243">
        <v>27.366243000000001</v>
      </c>
      <c r="D94" s="243">
        <v>29.824808999999998</v>
      </c>
      <c r="E94" s="243">
        <v>33.932969999999997</v>
      </c>
      <c r="F94" s="243">
        <v>49.048960999999998</v>
      </c>
      <c r="G94" s="243">
        <v>55.148218999999997</v>
      </c>
      <c r="H94" s="243">
        <v>64.616387000000003</v>
      </c>
      <c r="I94" s="243">
        <v>58.301254</v>
      </c>
      <c r="J94" s="243">
        <v>58.388308000000002</v>
      </c>
      <c r="K94" s="243">
        <v>48.070135000000001</v>
      </c>
      <c r="L94" s="243">
        <v>38.159438000000002</v>
      </c>
      <c r="M94" s="243">
        <v>28.287680999999999</v>
      </c>
      <c r="N94" s="243">
        <v>21.457460999999999</v>
      </c>
      <c r="O94" s="243">
        <v>26.531222</v>
      </c>
      <c r="P94" s="243">
        <v>38.510109999999997</v>
      </c>
      <c r="Q94" s="243">
        <v>42.581280999999997</v>
      </c>
      <c r="R94" s="243">
        <v>59.468370999999998</v>
      </c>
      <c r="S94" s="243">
        <v>57.807105</v>
      </c>
      <c r="T94" s="243">
        <v>69.715850000000003</v>
      </c>
      <c r="U94" s="243">
        <v>22.450472000000001</v>
      </c>
      <c r="V94"/>
      <c r="W94"/>
      <c r="X94"/>
      <c r="Y94"/>
      <c r="Z94"/>
    </row>
    <row r="95" spans="1:26" ht="15">
      <c r="A95" s="280"/>
      <c r="B95" s="127" t="s">
        <v>22</v>
      </c>
      <c r="C95" s="243">
        <v>0.256185</v>
      </c>
      <c r="D95" s="243">
        <v>0.25728499999999999</v>
      </c>
      <c r="E95" s="243">
        <v>0.27165699999999998</v>
      </c>
      <c r="F95" s="243">
        <v>0.216173</v>
      </c>
      <c r="G95" s="243">
        <v>0.242977</v>
      </c>
      <c r="H95" s="243">
        <v>0.25375799999999998</v>
      </c>
      <c r="I95" s="243">
        <v>0.13533500000000001</v>
      </c>
      <c r="J95" s="243">
        <v>6.2700000000000006E-2</v>
      </c>
      <c r="K95" s="243">
        <v>0.16319</v>
      </c>
      <c r="L95" s="243">
        <v>0.72397699999999998</v>
      </c>
      <c r="M95" s="243">
        <v>1.328557</v>
      </c>
      <c r="N95" s="243">
        <v>0.812226</v>
      </c>
      <c r="O95" s="243">
        <v>0.97993699999999995</v>
      </c>
      <c r="P95" s="243">
        <v>0.94255900000000004</v>
      </c>
      <c r="Q95" s="243">
        <v>1.3661909999999999</v>
      </c>
      <c r="R95" s="243">
        <v>1.581583</v>
      </c>
      <c r="S95" s="243">
        <v>1.776745</v>
      </c>
      <c r="T95" s="243">
        <v>1.9475359999999999</v>
      </c>
      <c r="U95" s="243">
        <v>0.66892300000000005</v>
      </c>
      <c r="V95"/>
      <c r="W95"/>
      <c r="X95"/>
      <c r="Y95"/>
      <c r="Z95"/>
    </row>
    <row r="96" spans="1:26" ht="15">
      <c r="A96" s="280"/>
      <c r="B96" s="127" t="s">
        <v>23</v>
      </c>
      <c r="C96" s="243">
        <v>3.6863090000000001</v>
      </c>
      <c r="D96" s="243">
        <v>3.272465</v>
      </c>
      <c r="E96" s="243">
        <v>2.6087359999999999</v>
      </c>
      <c r="F96" s="243">
        <v>2.4437060000000002</v>
      </c>
      <c r="G96" s="243">
        <v>3.266893</v>
      </c>
      <c r="H96" s="243">
        <v>4.1208809999999998</v>
      </c>
      <c r="I96" s="243">
        <v>3.573118</v>
      </c>
      <c r="J96" s="243">
        <v>3.1659009999999999</v>
      </c>
      <c r="K96" s="243">
        <v>2.336195</v>
      </c>
      <c r="L96" s="243">
        <v>3.0284080000000002</v>
      </c>
      <c r="M96" s="243">
        <v>2.5220250000000002</v>
      </c>
      <c r="N96" s="243">
        <v>3.7919230000000002</v>
      </c>
      <c r="O96" s="243">
        <v>3.4251860000000001</v>
      </c>
      <c r="P96" s="243">
        <v>1.3775310000000001</v>
      </c>
      <c r="Q96" s="243">
        <v>0.98716599999999999</v>
      </c>
      <c r="R96" s="243">
        <v>2.6262699999999999</v>
      </c>
      <c r="S96" s="243">
        <v>2.7262230000000001</v>
      </c>
      <c r="T96" s="243">
        <v>3.0921349999999999</v>
      </c>
      <c r="U96" s="243">
        <v>0.93154499999999996</v>
      </c>
      <c r="V96"/>
      <c r="W96"/>
      <c r="X96"/>
      <c r="Y96"/>
      <c r="Z96"/>
    </row>
    <row r="97" spans="1:26" ht="15">
      <c r="A97" s="280"/>
      <c r="B97" s="127" t="s">
        <v>46</v>
      </c>
      <c r="C97" s="243">
        <v>10.134332000000001</v>
      </c>
      <c r="D97" s="243">
        <v>8.8925330000000002</v>
      </c>
      <c r="E97" s="243">
        <v>9.8915330000000008</v>
      </c>
      <c r="F97" s="243">
        <v>12.984987</v>
      </c>
      <c r="G97" s="243">
        <v>10.486427000000001</v>
      </c>
      <c r="H97" s="243">
        <v>14.345347</v>
      </c>
      <c r="I97" s="243">
        <v>13.9802175</v>
      </c>
      <c r="J97" s="243">
        <v>11.851319</v>
      </c>
      <c r="K97" s="243">
        <v>13.92998</v>
      </c>
      <c r="L97" s="243">
        <v>8.0829000000000004</v>
      </c>
      <c r="M97" s="243">
        <v>12.386824499999999</v>
      </c>
      <c r="N97" s="243">
        <v>9.5741110000000003</v>
      </c>
      <c r="O97" s="243">
        <v>8.3717509999999997</v>
      </c>
      <c r="P97" s="243">
        <v>4.8198524999999997</v>
      </c>
      <c r="Q97" s="243">
        <v>9.7177954999999994</v>
      </c>
      <c r="R97" s="243">
        <v>15.144128</v>
      </c>
      <c r="S97" s="243">
        <v>11.267936000000001</v>
      </c>
      <c r="T97" s="243">
        <v>13.462051000000001</v>
      </c>
      <c r="U97" s="243">
        <v>4.3221749999999997</v>
      </c>
      <c r="V97"/>
      <c r="W97"/>
      <c r="X97"/>
      <c r="Y97"/>
      <c r="Z97"/>
    </row>
    <row r="98" spans="1:26" ht="15">
      <c r="A98" s="280"/>
      <c r="B98" s="127" t="s">
        <v>47</v>
      </c>
      <c r="C98" s="243">
        <v>10.134332000000001</v>
      </c>
      <c r="D98" s="243">
        <v>8.8925330000000002</v>
      </c>
      <c r="E98" s="243">
        <v>9.8915330000000008</v>
      </c>
      <c r="F98" s="243">
        <v>12.984987</v>
      </c>
      <c r="G98" s="243">
        <v>10.486427000000001</v>
      </c>
      <c r="H98" s="243">
        <v>14.345347</v>
      </c>
      <c r="I98" s="243">
        <v>13.9802175</v>
      </c>
      <c r="J98" s="243">
        <v>11.851319</v>
      </c>
      <c r="K98" s="243">
        <v>13.92998</v>
      </c>
      <c r="L98" s="243">
        <v>8.0829000000000004</v>
      </c>
      <c r="M98" s="243">
        <v>12.386824499999999</v>
      </c>
      <c r="N98" s="243">
        <v>9.5741110000000003</v>
      </c>
      <c r="O98" s="243">
        <v>8.3717509999999997</v>
      </c>
      <c r="P98" s="243">
        <v>4.8198524999999997</v>
      </c>
      <c r="Q98" s="243">
        <v>9.7177954999999994</v>
      </c>
      <c r="R98" s="243">
        <v>15.144128</v>
      </c>
      <c r="S98" s="243">
        <v>11.267936000000001</v>
      </c>
      <c r="T98" s="243">
        <v>13.462051000000001</v>
      </c>
      <c r="U98" s="243">
        <v>4.3221749999999997</v>
      </c>
      <c r="V98"/>
      <c r="W98"/>
      <c r="X98"/>
      <c r="Y98"/>
      <c r="Z98"/>
    </row>
    <row r="99" spans="1:26" ht="15">
      <c r="A99" s="280"/>
      <c r="B99" s="131" t="s">
        <v>2</v>
      </c>
      <c r="C99" s="244">
        <v>373.38513599999999</v>
      </c>
      <c r="D99" s="244">
        <v>329.61192</v>
      </c>
      <c r="E99" s="244">
        <v>341.22857499999998</v>
      </c>
      <c r="F99" s="244">
        <v>343.173092</v>
      </c>
      <c r="G99" s="244">
        <v>367.45619199999999</v>
      </c>
      <c r="H99" s="244">
        <v>454.99467199999998</v>
      </c>
      <c r="I99" s="244">
        <v>544.82002699999998</v>
      </c>
      <c r="J99" s="244">
        <v>522.102799</v>
      </c>
      <c r="K99" s="244">
        <v>438.49103700000001</v>
      </c>
      <c r="L99" s="244">
        <v>381.30721899999998</v>
      </c>
      <c r="M99" s="244">
        <v>340.57443599999999</v>
      </c>
      <c r="N99" s="244">
        <v>346.93635899999998</v>
      </c>
      <c r="O99" s="244">
        <v>362.55469099999999</v>
      </c>
      <c r="P99" s="244">
        <v>297.97844199999997</v>
      </c>
      <c r="Q99" s="244">
        <v>360.83007900000001</v>
      </c>
      <c r="R99" s="244">
        <v>343.03025600000001</v>
      </c>
      <c r="S99" s="244">
        <v>381.25306399999999</v>
      </c>
      <c r="T99" s="244">
        <v>464.76735100000002</v>
      </c>
      <c r="U99" s="244">
        <v>159.52751000000001</v>
      </c>
      <c r="V99"/>
      <c r="W99"/>
      <c r="X99"/>
      <c r="Y99"/>
      <c r="Z99"/>
    </row>
    <row r="100" spans="1:26" ht="15">
      <c r="A100" s="280"/>
      <c r="B100" s="127" t="s">
        <v>95</v>
      </c>
      <c r="C100" s="243">
        <v>5.3210000000000002E-3</v>
      </c>
      <c r="D100" s="243">
        <v>9.2090000000000002E-3</v>
      </c>
      <c r="E100" s="243">
        <v>1.562E-3</v>
      </c>
      <c r="F100" s="243">
        <v>9.810000000000001E-4</v>
      </c>
      <c r="G100" s="243">
        <v>8.0190000000000001E-3</v>
      </c>
      <c r="H100" s="243">
        <v>3.3307000000000003E-2</v>
      </c>
      <c r="I100" s="243">
        <v>2.5804000000000001E-2</v>
      </c>
      <c r="J100" s="243">
        <v>0</v>
      </c>
      <c r="K100" s="243">
        <v>2.65E-3</v>
      </c>
      <c r="L100" s="243">
        <v>1.1019999999999999E-3</v>
      </c>
      <c r="M100" s="243">
        <v>1.536E-3</v>
      </c>
      <c r="N100" s="243">
        <v>0</v>
      </c>
      <c r="O100" s="243">
        <v>0</v>
      </c>
      <c r="P100" s="243">
        <v>0</v>
      </c>
      <c r="Q100" s="243">
        <v>0</v>
      </c>
      <c r="R100" s="243">
        <v>0</v>
      </c>
      <c r="S100" s="243">
        <v>0</v>
      </c>
      <c r="T100" s="243">
        <v>0</v>
      </c>
      <c r="U100" s="243">
        <v>0</v>
      </c>
      <c r="V100"/>
      <c r="W100"/>
      <c r="X100"/>
      <c r="Y100"/>
      <c r="Z100"/>
    </row>
    <row r="101" spans="1:26" ht="15">
      <c r="A101" s="280"/>
      <c r="B101" s="127" t="s">
        <v>96</v>
      </c>
      <c r="C101" s="243">
        <v>-2.0024E-2</v>
      </c>
      <c r="D101" s="243">
        <v>-1.9650000000000001E-2</v>
      </c>
      <c r="E101" s="243">
        <v>-6.5550000000000001E-3</v>
      </c>
      <c r="F101" s="243">
        <v>-6.4229999999999999E-3</v>
      </c>
      <c r="G101" s="243">
        <v>-2.7414000000000001E-2</v>
      </c>
      <c r="H101" s="243">
        <v>-6.6456000000000001E-2</v>
      </c>
      <c r="I101" s="243">
        <v>-8.4402000000000005E-2</v>
      </c>
      <c r="J101" s="243">
        <v>-3.7090000000000001E-3</v>
      </c>
      <c r="K101" s="243">
        <v>-8.4089999999999998E-3</v>
      </c>
      <c r="L101" s="243">
        <v>-6.4120000000000002E-3</v>
      </c>
      <c r="M101" s="243">
        <v>-5.6010000000000001E-3</v>
      </c>
      <c r="N101" s="243">
        <v>-4.0439999999999999E-3</v>
      </c>
      <c r="O101" s="243">
        <v>-3.8699999999999997E-4</v>
      </c>
      <c r="P101" s="243">
        <v>0</v>
      </c>
      <c r="Q101" s="243">
        <v>0</v>
      </c>
      <c r="R101" s="243">
        <v>0</v>
      </c>
      <c r="S101" s="243">
        <v>0</v>
      </c>
      <c r="T101" s="243">
        <v>0</v>
      </c>
      <c r="U101" s="243">
        <v>0</v>
      </c>
      <c r="V101"/>
      <c r="W101"/>
      <c r="X101"/>
      <c r="Y101"/>
      <c r="Z101"/>
    </row>
    <row r="102" spans="1:26" ht="15">
      <c r="A102" s="280"/>
      <c r="B102" s="127" t="s">
        <v>21</v>
      </c>
      <c r="C102" s="243">
        <v>85.443509000000006</v>
      </c>
      <c r="D102" s="243">
        <v>90.795297000000005</v>
      </c>
      <c r="E102" s="243">
        <v>113.220591</v>
      </c>
      <c r="F102" s="243">
        <v>85.306769000000003</v>
      </c>
      <c r="G102" s="243">
        <v>110.447626</v>
      </c>
      <c r="H102" s="243">
        <v>171.035324</v>
      </c>
      <c r="I102" s="243">
        <v>188.42781500000001</v>
      </c>
      <c r="J102" s="243">
        <v>208.61120199999999</v>
      </c>
      <c r="K102" s="243">
        <v>166.21217300000001</v>
      </c>
      <c r="L102" s="243">
        <v>119.248762</v>
      </c>
      <c r="M102" s="243">
        <v>76.900411000000005</v>
      </c>
      <c r="N102" s="243">
        <v>120.18883599999999</v>
      </c>
      <c r="O102" s="243">
        <v>138.53626600000001</v>
      </c>
      <c r="P102" s="243">
        <v>102.627172</v>
      </c>
      <c r="Q102" s="243">
        <v>104.897592</v>
      </c>
      <c r="R102" s="243">
        <v>97.533116000000007</v>
      </c>
      <c r="S102" s="243">
        <v>113.97348</v>
      </c>
      <c r="T102" s="243">
        <v>154.19043300000001</v>
      </c>
      <c r="U102" s="243">
        <v>63.801920000000003</v>
      </c>
      <c r="V102"/>
      <c r="W102"/>
      <c r="X102"/>
      <c r="Y102"/>
      <c r="Z102"/>
    </row>
    <row r="103" spans="1:26" ht="15">
      <c r="A103" s="281"/>
      <c r="B103" s="131" t="s">
        <v>70</v>
      </c>
      <c r="C103" s="244">
        <v>458.813942</v>
      </c>
      <c r="D103" s="244">
        <v>420.39677599999999</v>
      </c>
      <c r="E103" s="244">
        <v>454.44417299999998</v>
      </c>
      <c r="F103" s="244">
        <v>428.47441900000001</v>
      </c>
      <c r="G103" s="244">
        <v>477.88442300000003</v>
      </c>
      <c r="H103" s="244">
        <v>625.996847</v>
      </c>
      <c r="I103" s="244">
        <v>733.18924400000003</v>
      </c>
      <c r="J103" s="244">
        <v>730.71029199999998</v>
      </c>
      <c r="K103" s="244">
        <v>604.697451</v>
      </c>
      <c r="L103" s="244">
        <v>500.55067100000002</v>
      </c>
      <c r="M103" s="244">
        <v>417.47078199999999</v>
      </c>
      <c r="N103" s="244">
        <v>467.121151</v>
      </c>
      <c r="O103" s="244">
        <v>501.09057000000001</v>
      </c>
      <c r="P103" s="244">
        <v>400.605614</v>
      </c>
      <c r="Q103" s="244">
        <v>465.72767099999999</v>
      </c>
      <c r="R103" s="244">
        <v>440.56337200000002</v>
      </c>
      <c r="S103" s="244">
        <v>495.22654399999999</v>
      </c>
      <c r="T103" s="244">
        <v>618.95778399999995</v>
      </c>
      <c r="U103" s="244">
        <v>223.32943</v>
      </c>
      <c r="V103"/>
      <c r="W103"/>
      <c r="X103"/>
      <c r="Y103"/>
      <c r="Z103"/>
    </row>
    <row r="104" spans="1:26" ht="15">
      <c r="A104" s="279" t="s">
        <v>50</v>
      </c>
      <c r="B104" s="127" t="s">
        <v>12</v>
      </c>
      <c r="C104" s="243">
        <v>0.285242</v>
      </c>
      <c r="D104" s="243">
        <v>5.4619000000000001E-2</v>
      </c>
      <c r="E104" s="243">
        <v>0</v>
      </c>
      <c r="F104" s="243">
        <v>0</v>
      </c>
      <c r="G104" s="243">
        <v>0</v>
      </c>
      <c r="H104" s="243">
        <v>0</v>
      </c>
      <c r="I104" s="243">
        <v>0</v>
      </c>
      <c r="J104" s="243">
        <v>0</v>
      </c>
      <c r="K104" s="243">
        <v>0</v>
      </c>
      <c r="L104" s="243">
        <v>0</v>
      </c>
      <c r="M104" s="243">
        <v>0</v>
      </c>
      <c r="N104" s="243">
        <v>0</v>
      </c>
      <c r="O104" s="243">
        <v>0</v>
      </c>
      <c r="P104" s="243">
        <v>0</v>
      </c>
      <c r="Q104" s="243">
        <v>0</v>
      </c>
      <c r="R104" s="243">
        <v>0</v>
      </c>
      <c r="S104" s="243">
        <v>0</v>
      </c>
      <c r="T104" s="243">
        <v>7.3203000000000004E-2</v>
      </c>
      <c r="U104" s="243">
        <v>0</v>
      </c>
      <c r="V104"/>
      <c r="W104"/>
      <c r="X104"/>
      <c r="Y104"/>
      <c r="Z104"/>
    </row>
    <row r="105" spans="1:26" ht="15">
      <c r="A105" s="280"/>
      <c r="B105" s="127" t="s">
        <v>69</v>
      </c>
      <c r="C105" s="243">
        <v>164.446281</v>
      </c>
      <c r="D105" s="243">
        <v>147.685913</v>
      </c>
      <c r="E105" s="243">
        <v>173.83343199999999</v>
      </c>
      <c r="F105" s="243">
        <v>146.76996600000001</v>
      </c>
      <c r="G105" s="243">
        <v>139.11880199999999</v>
      </c>
      <c r="H105" s="243">
        <v>133.454463</v>
      </c>
      <c r="I105" s="243">
        <v>138.95366799999999</v>
      </c>
      <c r="J105" s="243">
        <v>156.429901</v>
      </c>
      <c r="K105" s="243">
        <v>146.533942</v>
      </c>
      <c r="L105" s="243">
        <v>159.05462600000001</v>
      </c>
      <c r="M105" s="243">
        <v>144.58958999999999</v>
      </c>
      <c r="N105" s="243">
        <v>158.02685199999999</v>
      </c>
      <c r="O105" s="243">
        <v>158.381069</v>
      </c>
      <c r="P105" s="243">
        <v>143.06514300000001</v>
      </c>
      <c r="Q105" s="243">
        <v>149.59031300000001</v>
      </c>
      <c r="R105" s="243">
        <v>153.416853</v>
      </c>
      <c r="S105" s="243">
        <v>140.31111100000001</v>
      </c>
      <c r="T105" s="243">
        <v>133.397616</v>
      </c>
      <c r="U105" s="243">
        <v>45.785176999999997</v>
      </c>
      <c r="V105"/>
      <c r="W105"/>
      <c r="X105"/>
      <c r="Y105"/>
      <c r="Z105"/>
    </row>
    <row r="106" spans="1:26" ht="15">
      <c r="A106" s="280"/>
      <c r="B106" s="127" t="s">
        <v>9</v>
      </c>
      <c r="C106" s="243">
        <v>37.045735999999998</v>
      </c>
      <c r="D106" s="243">
        <v>22.268398999999999</v>
      </c>
      <c r="E106" s="243">
        <v>28.510366000000001</v>
      </c>
      <c r="F106" s="243">
        <v>15.002691</v>
      </c>
      <c r="G106" s="243">
        <v>15.518791</v>
      </c>
      <c r="H106" s="243">
        <v>14.439681999999999</v>
      </c>
      <c r="I106" s="243">
        <v>17.277450000000002</v>
      </c>
      <c r="J106" s="243">
        <v>21.905804</v>
      </c>
      <c r="K106" s="243">
        <v>21.204673</v>
      </c>
      <c r="L106" s="243">
        <v>28.975633999999999</v>
      </c>
      <c r="M106" s="243">
        <v>21.440819999999999</v>
      </c>
      <c r="N106" s="243">
        <v>25.811325</v>
      </c>
      <c r="O106" s="243">
        <v>28.873301000000001</v>
      </c>
      <c r="P106" s="243">
        <v>25.555015999999998</v>
      </c>
      <c r="Q106" s="243">
        <v>29.612995000000002</v>
      </c>
      <c r="R106" s="243">
        <v>34.690565999999997</v>
      </c>
      <c r="S106" s="243">
        <v>21.324908000000001</v>
      </c>
      <c r="T106" s="243">
        <v>18.374575</v>
      </c>
      <c r="U106" s="243">
        <v>5.6932850000000004</v>
      </c>
      <c r="V106"/>
      <c r="W106"/>
      <c r="X106"/>
      <c r="Y106"/>
      <c r="Z106"/>
    </row>
    <row r="107" spans="1:26" ht="15">
      <c r="A107" s="280"/>
      <c r="B107" s="127" t="s">
        <v>8</v>
      </c>
      <c r="C107" s="243">
        <v>82.867552000000003</v>
      </c>
      <c r="D107" s="243">
        <v>111.33840600000001</v>
      </c>
      <c r="E107" s="243">
        <v>126.580506</v>
      </c>
      <c r="F107" s="243">
        <v>98.063034000000002</v>
      </c>
      <c r="G107" s="243">
        <v>81.823025999999999</v>
      </c>
      <c r="H107" s="243">
        <v>84.304407999999995</v>
      </c>
      <c r="I107" s="243">
        <v>97.398498000000004</v>
      </c>
      <c r="J107" s="243">
        <v>100.21077</v>
      </c>
      <c r="K107" s="243">
        <v>99.346721000000002</v>
      </c>
      <c r="L107" s="243">
        <v>125.06728200000001</v>
      </c>
      <c r="M107" s="243">
        <v>112.30573</v>
      </c>
      <c r="N107" s="243">
        <v>119.831412</v>
      </c>
      <c r="O107" s="243">
        <v>117.60937199999999</v>
      </c>
      <c r="P107" s="243">
        <v>92.890253999999999</v>
      </c>
      <c r="Q107" s="243">
        <v>82.571079999999995</v>
      </c>
      <c r="R107" s="243">
        <v>106.513632</v>
      </c>
      <c r="S107" s="243">
        <v>111.85987799999999</v>
      </c>
      <c r="T107" s="243">
        <v>90.531129000000007</v>
      </c>
      <c r="U107" s="243">
        <v>32.250011000000001</v>
      </c>
      <c r="V107"/>
      <c r="W107"/>
      <c r="X107"/>
      <c r="Y107"/>
      <c r="Z107"/>
    </row>
    <row r="108" spans="1:26" ht="15">
      <c r="A108" s="280"/>
      <c r="B108" s="127" t="s">
        <v>25</v>
      </c>
      <c r="C108" s="243">
        <v>342.56568199999998</v>
      </c>
      <c r="D108" s="243">
        <v>249.83534599999999</v>
      </c>
      <c r="E108" s="243">
        <v>290.37200899999999</v>
      </c>
      <c r="F108" s="243">
        <v>290.70250900000002</v>
      </c>
      <c r="G108" s="243">
        <v>328.89233899999999</v>
      </c>
      <c r="H108" s="243">
        <v>284.16690399999999</v>
      </c>
      <c r="I108" s="243">
        <v>316.70403900000002</v>
      </c>
      <c r="J108" s="243">
        <v>340.02993600000002</v>
      </c>
      <c r="K108" s="243">
        <v>307.60187999999999</v>
      </c>
      <c r="L108" s="243">
        <v>357.47449</v>
      </c>
      <c r="M108" s="243">
        <v>343.63677799999999</v>
      </c>
      <c r="N108" s="243">
        <v>344.06825099999998</v>
      </c>
      <c r="O108" s="243">
        <v>331.93350299999997</v>
      </c>
      <c r="P108" s="243">
        <v>287.05643500000002</v>
      </c>
      <c r="Q108" s="243">
        <v>282.06847599999998</v>
      </c>
      <c r="R108" s="243">
        <v>284.69147199999998</v>
      </c>
      <c r="S108" s="243">
        <v>302.07158099999998</v>
      </c>
      <c r="T108" s="243">
        <v>285.73719699999998</v>
      </c>
      <c r="U108" s="243">
        <v>99.885638</v>
      </c>
      <c r="V108"/>
      <c r="W108"/>
      <c r="X108"/>
      <c r="Y108"/>
      <c r="Z108"/>
    </row>
    <row r="109" spans="1:26" ht="15">
      <c r="A109" s="280"/>
      <c r="B109" s="127" t="s">
        <v>6</v>
      </c>
      <c r="C109" s="243">
        <v>1.249555</v>
      </c>
      <c r="D109" s="243">
        <v>1.142978</v>
      </c>
      <c r="E109" s="243">
        <v>1.2419039999999999</v>
      </c>
      <c r="F109" s="243">
        <v>1.7632380000000001</v>
      </c>
      <c r="G109" s="243">
        <v>1.701465</v>
      </c>
      <c r="H109" s="243">
        <v>2.9528669999999999</v>
      </c>
      <c r="I109" s="243">
        <v>3.2914970000000001</v>
      </c>
      <c r="J109" s="243">
        <v>2.7481429999999998</v>
      </c>
      <c r="K109" s="243">
        <v>2.5908169999999999</v>
      </c>
      <c r="L109" s="243">
        <v>1.167157</v>
      </c>
      <c r="M109" s="243">
        <v>0.94978899999999999</v>
      </c>
      <c r="N109" s="243">
        <v>1.389267</v>
      </c>
      <c r="O109" s="243">
        <v>1.2355400000000001</v>
      </c>
      <c r="P109" s="243">
        <v>1.2530779999999999</v>
      </c>
      <c r="Q109" s="243">
        <v>2.036778</v>
      </c>
      <c r="R109" s="243">
        <v>1.462315</v>
      </c>
      <c r="S109" s="243">
        <v>1.65883</v>
      </c>
      <c r="T109" s="243">
        <v>2.7551960000000002</v>
      </c>
      <c r="U109" s="243">
        <v>0</v>
      </c>
      <c r="V109"/>
      <c r="W109"/>
      <c r="X109"/>
      <c r="Y109"/>
      <c r="Z109"/>
    </row>
    <row r="110" spans="1:26" ht="15">
      <c r="A110" s="280"/>
      <c r="B110" s="127" t="s">
        <v>5</v>
      </c>
      <c r="C110" s="243">
        <v>94.891767999999999</v>
      </c>
      <c r="D110" s="243">
        <v>107.781023</v>
      </c>
      <c r="E110" s="243">
        <v>77.912910999999994</v>
      </c>
      <c r="F110" s="243">
        <v>105.25716</v>
      </c>
      <c r="G110" s="243">
        <v>99.456442999999993</v>
      </c>
      <c r="H110" s="243">
        <v>143.551423</v>
      </c>
      <c r="I110" s="243">
        <v>166.964561</v>
      </c>
      <c r="J110" s="243">
        <v>149.445853</v>
      </c>
      <c r="K110" s="243">
        <v>165.43614400000001</v>
      </c>
      <c r="L110" s="243">
        <v>84.341824000000003</v>
      </c>
      <c r="M110" s="243">
        <v>95.968860000000006</v>
      </c>
      <c r="N110" s="243">
        <v>82.177819999999997</v>
      </c>
      <c r="O110" s="243">
        <v>97.153379000000001</v>
      </c>
      <c r="P110" s="243">
        <v>91.083347000000003</v>
      </c>
      <c r="Q110" s="243">
        <v>165.14311699999999</v>
      </c>
      <c r="R110" s="243">
        <v>81.914609999999996</v>
      </c>
      <c r="S110" s="243">
        <v>90.114508999999998</v>
      </c>
      <c r="T110" s="243">
        <v>139.96383700000001</v>
      </c>
      <c r="U110" s="243">
        <v>21.843502000000001</v>
      </c>
      <c r="V110"/>
      <c r="W110"/>
      <c r="X110"/>
      <c r="Y110"/>
      <c r="Z110"/>
    </row>
    <row r="111" spans="1:26" ht="15">
      <c r="A111" s="280"/>
      <c r="B111" s="127" t="s">
        <v>4</v>
      </c>
      <c r="C111" s="243">
        <v>32.201141</v>
      </c>
      <c r="D111" s="243">
        <v>35.576335999999998</v>
      </c>
      <c r="E111" s="243">
        <v>37.483338000000003</v>
      </c>
      <c r="F111" s="243">
        <v>38.331471000000001</v>
      </c>
      <c r="G111" s="243">
        <v>44.747520000000002</v>
      </c>
      <c r="H111" s="243">
        <v>42.657446</v>
      </c>
      <c r="I111" s="243">
        <v>44.683625999999997</v>
      </c>
      <c r="J111" s="243">
        <v>46.097631</v>
      </c>
      <c r="K111" s="243">
        <v>39.592024000000002</v>
      </c>
      <c r="L111" s="243">
        <v>35.989100999999998</v>
      </c>
      <c r="M111" s="243">
        <v>32.078172000000002</v>
      </c>
      <c r="N111" s="243">
        <v>31.976611999999999</v>
      </c>
      <c r="O111" s="243">
        <v>33.762532</v>
      </c>
      <c r="P111" s="243">
        <v>36.724344000000002</v>
      </c>
      <c r="Q111" s="243">
        <v>36.337868999999998</v>
      </c>
      <c r="R111" s="243">
        <v>41.012202000000002</v>
      </c>
      <c r="S111" s="243">
        <v>46.822612999999997</v>
      </c>
      <c r="T111" s="243">
        <v>48.060447000000003</v>
      </c>
      <c r="U111" s="243">
        <v>14.848890000000001</v>
      </c>
      <c r="V111"/>
      <c r="W111"/>
      <c r="X111"/>
      <c r="Y111"/>
      <c r="Z111"/>
    </row>
    <row r="112" spans="1:26" ht="15">
      <c r="A112" s="280"/>
      <c r="B112" s="127" t="s">
        <v>22</v>
      </c>
      <c r="C112" s="243">
        <v>1.1695549999999999</v>
      </c>
      <c r="D112" s="243">
        <v>1.2032910000000001</v>
      </c>
      <c r="E112" s="243">
        <v>1.447702</v>
      </c>
      <c r="F112" s="243">
        <v>1.4667380000000001</v>
      </c>
      <c r="G112" s="243">
        <v>1.4553370000000001</v>
      </c>
      <c r="H112" s="243">
        <v>1.2805299999999999</v>
      </c>
      <c r="I112" s="243">
        <v>1.163958</v>
      </c>
      <c r="J112" s="243">
        <v>0.98014500000000004</v>
      </c>
      <c r="K112" s="243">
        <v>0.36074600000000001</v>
      </c>
      <c r="L112" s="243">
        <v>0.77339199999999997</v>
      </c>
      <c r="M112" s="243">
        <v>0.74605500000000002</v>
      </c>
      <c r="N112" s="243">
        <v>0.798705</v>
      </c>
      <c r="O112" s="243">
        <v>0.99824000000000002</v>
      </c>
      <c r="P112" s="243">
        <v>0.82315300000000002</v>
      </c>
      <c r="Q112" s="243">
        <v>0.86323799999999995</v>
      </c>
      <c r="R112" s="243">
        <v>0.83965599999999996</v>
      </c>
      <c r="S112" s="243">
        <v>1.0704100000000001</v>
      </c>
      <c r="T112" s="243">
        <v>0.92642400000000003</v>
      </c>
      <c r="U112" s="243">
        <v>0</v>
      </c>
      <c r="V112"/>
      <c r="W112"/>
      <c r="X112"/>
      <c r="Y112"/>
      <c r="Z112"/>
    </row>
    <row r="113" spans="1:26" ht="15">
      <c r="A113" s="280"/>
      <c r="B113" s="131" t="s">
        <v>2</v>
      </c>
      <c r="C113" s="244">
        <v>756.72251200000005</v>
      </c>
      <c r="D113" s="244">
        <v>676.88631099999998</v>
      </c>
      <c r="E113" s="244">
        <v>737.38216799999998</v>
      </c>
      <c r="F113" s="244">
        <v>697.356807</v>
      </c>
      <c r="G113" s="244">
        <v>712.71372299999996</v>
      </c>
      <c r="H113" s="244">
        <v>706.80772300000001</v>
      </c>
      <c r="I113" s="244">
        <v>786.43729699999994</v>
      </c>
      <c r="J113" s="244">
        <v>817.84818299999995</v>
      </c>
      <c r="K113" s="244">
        <v>782.66694700000005</v>
      </c>
      <c r="L113" s="244">
        <v>792.84350600000005</v>
      </c>
      <c r="M113" s="244">
        <v>751.71579399999996</v>
      </c>
      <c r="N113" s="244">
        <v>764.08024399999999</v>
      </c>
      <c r="O113" s="244">
        <v>769.94693600000005</v>
      </c>
      <c r="P113" s="244">
        <v>678.45077000000003</v>
      </c>
      <c r="Q113" s="244">
        <v>748.22386600000004</v>
      </c>
      <c r="R113" s="244">
        <v>704.54130599999996</v>
      </c>
      <c r="S113" s="244">
        <v>715.23383999999999</v>
      </c>
      <c r="T113" s="244">
        <v>719.81962399999998</v>
      </c>
      <c r="U113" s="244">
        <v>220.30650299999999</v>
      </c>
      <c r="V113"/>
      <c r="W113"/>
      <c r="X113"/>
      <c r="Y113"/>
      <c r="Z113"/>
    </row>
    <row r="114" spans="1:26" ht="15">
      <c r="A114" s="280"/>
      <c r="B114" s="127" t="s">
        <v>95</v>
      </c>
      <c r="C114" s="243">
        <v>0</v>
      </c>
      <c r="D114" s="243">
        <v>0</v>
      </c>
      <c r="E114" s="243">
        <v>0</v>
      </c>
      <c r="F114" s="243">
        <v>0</v>
      </c>
      <c r="G114" s="243">
        <v>0</v>
      </c>
      <c r="H114" s="243">
        <v>0</v>
      </c>
      <c r="I114" s="243">
        <v>0</v>
      </c>
      <c r="J114" s="243">
        <v>0</v>
      </c>
      <c r="K114" s="243">
        <v>0</v>
      </c>
      <c r="L114" s="243">
        <v>6.3000000000000003E-4</v>
      </c>
      <c r="M114" s="243">
        <v>5.5779999999999996E-3</v>
      </c>
      <c r="N114" s="243">
        <v>1.06E-4</v>
      </c>
      <c r="O114" s="243">
        <v>9.9999999999999995E-7</v>
      </c>
      <c r="P114" s="243">
        <v>3.7019000000000003E-2</v>
      </c>
      <c r="Q114" s="243">
        <v>4.1999999999999998E-5</v>
      </c>
      <c r="R114" s="243">
        <v>0</v>
      </c>
      <c r="S114" s="243">
        <v>7.0930000000000003E-3</v>
      </c>
      <c r="T114" s="243">
        <v>9.9999999999999995E-7</v>
      </c>
      <c r="U114" s="243">
        <v>0</v>
      </c>
      <c r="V114"/>
      <c r="W114"/>
      <c r="X114"/>
      <c r="Y114"/>
      <c r="Z114"/>
    </row>
    <row r="115" spans="1:26" ht="15">
      <c r="A115" s="280"/>
      <c r="B115" s="127" t="s">
        <v>96</v>
      </c>
      <c r="C115" s="243">
        <v>0</v>
      </c>
      <c r="D115" s="243">
        <v>0</v>
      </c>
      <c r="E115" s="243">
        <v>0</v>
      </c>
      <c r="F115" s="243">
        <v>0</v>
      </c>
      <c r="G115" s="243">
        <v>0</v>
      </c>
      <c r="H115" s="243">
        <v>0</v>
      </c>
      <c r="I115" s="243">
        <v>-1.4660000000000001E-3</v>
      </c>
      <c r="J115" s="243">
        <v>-3.5109999999999998E-3</v>
      </c>
      <c r="K115" s="243">
        <v>-8.7720000000000003E-3</v>
      </c>
      <c r="L115" s="243">
        <v>-1.4031E-2</v>
      </c>
      <c r="M115" s="243">
        <v>-1.7222999999999999E-2</v>
      </c>
      <c r="N115" s="243">
        <v>-1.6891E-2</v>
      </c>
      <c r="O115" s="243">
        <v>-1.1672999999999999E-2</v>
      </c>
      <c r="P115" s="243">
        <v>-5.8445999999999998E-2</v>
      </c>
      <c r="Q115" s="243">
        <v>-1.3491E-2</v>
      </c>
      <c r="R115" s="243">
        <v>-2.2315000000000002E-2</v>
      </c>
      <c r="S115" s="243">
        <v>-2.2401000000000001E-2</v>
      </c>
      <c r="T115" s="243">
        <v>-1.2041E-2</v>
      </c>
      <c r="U115" s="243">
        <v>0</v>
      </c>
      <c r="V115"/>
      <c r="W115"/>
      <c r="X115"/>
      <c r="Y115"/>
      <c r="Z115"/>
    </row>
    <row r="116" spans="1:26" ht="15">
      <c r="A116" s="280"/>
      <c r="B116" s="131" t="s">
        <v>70</v>
      </c>
      <c r="C116" s="244">
        <v>756.72251200000005</v>
      </c>
      <c r="D116" s="244">
        <v>676.88631099999998</v>
      </c>
      <c r="E116" s="244">
        <v>737.38216799999998</v>
      </c>
      <c r="F116" s="244">
        <v>697.356807</v>
      </c>
      <c r="G116" s="244">
        <v>712.71372299999996</v>
      </c>
      <c r="H116" s="244">
        <v>706.80772300000001</v>
      </c>
      <c r="I116" s="244">
        <v>786.43583100000001</v>
      </c>
      <c r="J116" s="244">
        <v>817.84467199999995</v>
      </c>
      <c r="K116" s="244">
        <v>782.65817500000003</v>
      </c>
      <c r="L116" s="244">
        <v>792.830105</v>
      </c>
      <c r="M116" s="244">
        <v>751.70414900000003</v>
      </c>
      <c r="N116" s="244">
        <v>764.06345899999997</v>
      </c>
      <c r="O116" s="244">
        <v>769.93526399999996</v>
      </c>
      <c r="P116" s="244">
        <v>678.42934300000002</v>
      </c>
      <c r="Q116" s="244">
        <v>748.21041700000001</v>
      </c>
      <c r="R116" s="244">
        <v>704.51899100000003</v>
      </c>
      <c r="S116" s="244">
        <v>715.21853199999998</v>
      </c>
      <c r="T116" s="244">
        <v>719.80758400000002</v>
      </c>
      <c r="U116" s="244">
        <v>220.30650299999999</v>
      </c>
      <c r="V116"/>
      <c r="W116"/>
      <c r="X116"/>
      <c r="Y116"/>
      <c r="Z116"/>
    </row>
    <row r="117" spans="1:26" ht="15">
      <c r="A117" s="281"/>
      <c r="B117" s="127" t="s">
        <v>203</v>
      </c>
      <c r="C117" s="243">
        <v>0</v>
      </c>
      <c r="D117" s="243">
        <v>0</v>
      </c>
      <c r="E117" s="243">
        <v>0</v>
      </c>
      <c r="F117" s="243">
        <v>0</v>
      </c>
      <c r="G117" s="243">
        <v>0</v>
      </c>
      <c r="H117" s="243">
        <v>0</v>
      </c>
      <c r="I117" s="243">
        <v>0</v>
      </c>
      <c r="J117" s="243">
        <v>0</v>
      </c>
      <c r="K117" s="243">
        <v>0</v>
      </c>
      <c r="L117" s="243">
        <v>0</v>
      </c>
      <c r="M117" s="243">
        <v>0</v>
      </c>
      <c r="N117" s="243">
        <v>0</v>
      </c>
      <c r="O117" s="243">
        <v>0</v>
      </c>
      <c r="P117" s="243">
        <v>0</v>
      </c>
      <c r="Q117" s="243">
        <v>0</v>
      </c>
      <c r="R117" s="243">
        <v>0</v>
      </c>
      <c r="S117" s="243">
        <v>7.1372000000000005E-2</v>
      </c>
      <c r="T117" s="243">
        <v>0.42799399999999999</v>
      </c>
      <c r="U117" s="243">
        <v>8.9800000000000005E-2</v>
      </c>
      <c r="V117"/>
      <c r="W117"/>
      <c r="X117"/>
      <c r="Y117"/>
      <c r="Z117"/>
    </row>
    <row r="118" spans="1:26" ht="1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ht="12" customHeight="1">
      <c r="A119"/>
      <c r="B119" s="99" t="s">
        <v>137</v>
      </c>
      <c r="C119" s="201">
        <f t="shared" ref="C119:O119" si="6">+C135+C136</f>
        <v>-3.3148999999999998E-2</v>
      </c>
      <c r="D119" s="201">
        <f t="shared" si="6"/>
        <v>-5.8598000000000004E-2</v>
      </c>
      <c r="E119" s="201">
        <f t="shared" si="6"/>
        <v>-3.7090000000000001E-3</v>
      </c>
      <c r="F119" s="201">
        <f t="shared" si="6"/>
        <v>-5.7590000000000002E-3</v>
      </c>
      <c r="G119" s="201">
        <f t="shared" si="6"/>
        <v>-5.3100000000000005E-3</v>
      </c>
      <c r="H119" s="201">
        <f t="shared" si="6"/>
        <v>-4.065E-3</v>
      </c>
      <c r="I119" s="201">
        <f t="shared" si="6"/>
        <v>-4.0439999999999999E-3</v>
      </c>
      <c r="J119" s="201">
        <f t="shared" si="6"/>
        <v>-3.8699999999999997E-4</v>
      </c>
      <c r="K119" s="201">
        <f t="shared" si="6"/>
        <v>0</v>
      </c>
      <c r="L119" s="201">
        <f t="shared" si="6"/>
        <v>0</v>
      </c>
      <c r="M119" s="201">
        <f t="shared" si="6"/>
        <v>0</v>
      </c>
      <c r="N119" s="201">
        <f t="shared" si="6"/>
        <v>0</v>
      </c>
      <c r="O119" s="201">
        <f t="shared" si="6"/>
        <v>0</v>
      </c>
      <c r="P119"/>
      <c r="Q119"/>
      <c r="R119"/>
      <c r="S119"/>
    </row>
    <row r="120" spans="1:26">
      <c r="B120" s="99" t="s">
        <v>138</v>
      </c>
      <c r="C120" s="201">
        <f>+C151+C152</f>
        <v>0</v>
      </c>
      <c r="D120" s="201">
        <f t="shared" ref="D120:N120" si="7">+D151+D152</f>
        <v>-1.4660000000000001E-3</v>
      </c>
      <c r="E120" s="201">
        <f t="shared" si="7"/>
        <v>-3.5109999999999998E-3</v>
      </c>
      <c r="F120" s="201">
        <f t="shared" si="7"/>
        <v>-8.7720000000000003E-3</v>
      </c>
      <c r="G120" s="201">
        <f t="shared" si="7"/>
        <v>-1.3401E-2</v>
      </c>
      <c r="H120" s="201">
        <f t="shared" si="7"/>
        <v>-1.1644999999999999E-2</v>
      </c>
      <c r="I120" s="201">
        <f t="shared" si="7"/>
        <v>-1.6785000000000001E-2</v>
      </c>
      <c r="J120" s="201">
        <f t="shared" si="7"/>
        <v>-1.1672E-2</v>
      </c>
      <c r="K120" s="201">
        <f t="shared" si="7"/>
        <v>-2.1426999999999995E-2</v>
      </c>
      <c r="L120" s="201">
        <f t="shared" si="7"/>
        <v>-1.3448999999999999E-2</v>
      </c>
      <c r="M120" s="201">
        <f t="shared" si="7"/>
        <v>-2.2315000000000002E-2</v>
      </c>
      <c r="N120" s="201">
        <f t="shared" si="7"/>
        <v>-1.5308E-2</v>
      </c>
      <c r="O120" s="201">
        <f>+O151+O152</f>
        <v>-1.204E-2</v>
      </c>
    </row>
    <row r="121" spans="1:26">
      <c r="B121" s="275" t="s">
        <v>65</v>
      </c>
      <c r="C121" s="108" t="str">
        <f>TEXT(EDATE(D121,-1),"mmmm aaaa")</f>
        <v>junio 2025</v>
      </c>
      <c r="D121" s="108" t="str">
        <f t="shared" ref="D121:M121" si="8">TEXT(EDATE(E121,-1),"mmmm aaaa")</f>
        <v>julio 2025</v>
      </c>
      <c r="E121" s="108" t="str">
        <f t="shared" si="8"/>
        <v>agosto 2025</v>
      </c>
      <c r="F121" s="108" t="str">
        <f t="shared" si="8"/>
        <v>septiembre 2025</v>
      </c>
      <c r="G121" s="108" t="str">
        <f t="shared" si="8"/>
        <v>octubre 2025</v>
      </c>
      <c r="H121" s="108" t="str">
        <f t="shared" si="8"/>
        <v>noviembre 2025</v>
      </c>
      <c r="I121" s="108" t="str">
        <f t="shared" si="8"/>
        <v>diciembre 2025</v>
      </c>
      <c r="J121" s="108" t="str">
        <f t="shared" si="8"/>
        <v>enero 2026</v>
      </c>
      <c r="K121" s="108" t="str">
        <f t="shared" si="8"/>
        <v>febrero 2026</v>
      </c>
      <c r="L121" s="108" t="str">
        <f t="shared" si="8"/>
        <v>marzo 2026</v>
      </c>
      <c r="M121" s="108" t="str">
        <f t="shared" si="8"/>
        <v>abril 2026</v>
      </c>
      <c r="N121" s="108" t="str">
        <f>TEXT(EDATE(O121,-1),"mmmm aaaa")</f>
        <v>mayo 2026</v>
      </c>
      <c r="O121" s="109" t="str">
        <f>A2</f>
        <v>Junio 2026</v>
      </c>
    </row>
    <row r="122" spans="1:26">
      <c r="B122" s="276"/>
      <c r="C122" s="116" t="str">
        <f>TEXT(EDATE($A$2,-12),"mmm")&amp;".-"&amp;TEXT(EDATE($A$2,-12),"aa")</f>
        <v>jun.-25</v>
      </c>
      <c r="D122" s="116" t="str">
        <f>TEXT(EDATE($A$2,-11),"mmm")&amp;".-"&amp;TEXT(EDATE($A$2,-11),"aa")</f>
        <v>jul.-25</v>
      </c>
      <c r="E122" s="116" t="str">
        <f>TEXT(EDATE($A$2,-10),"mmm")&amp;".-"&amp;TEXT(EDATE($A$2,-10),"aa")</f>
        <v>ago.-25</v>
      </c>
      <c r="F122" s="116" t="str">
        <f>TEXT(EDATE($A$2,-9),"mmm")&amp;".-"&amp;TEXT(EDATE($A$2,-9),"aa")</f>
        <v>sep.-25</v>
      </c>
      <c r="G122" s="116" t="str">
        <f>TEXT(EDATE($A$2,-8),"mmm")&amp;".-"&amp;TEXT(EDATE($A$2,-8),"aa")</f>
        <v>oct.-25</v>
      </c>
      <c r="H122" s="116" t="str">
        <f>TEXT(EDATE($A$2,-7),"mmm")&amp;".-"&amp;TEXT(EDATE($A$2,-7),"aa")</f>
        <v>nov.-25</v>
      </c>
      <c r="I122" s="116" t="str">
        <f>TEXT(EDATE($A$2,-6),"mmm")&amp;".-"&amp;TEXT(EDATE($A$2,-6),"aa")</f>
        <v>dic.-25</v>
      </c>
      <c r="J122" s="116" t="str">
        <f>TEXT(EDATE($A$2,-5),"mmm")&amp;".-"&amp;TEXT(EDATE($A$2,-5),"aa")</f>
        <v>ene.-26</v>
      </c>
      <c r="K122" s="116" t="str">
        <f>TEXT(EDATE($A$2,-4),"mmm")&amp;".-"&amp;TEXT(EDATE($A$2,-4),"aa")</f>
        <v>feb.-26</v>
      </c>
      <c r="L122" s="116" t="str">
        <f>TEXT(EDATE($A$2,-3),"mmm")&amp;".-"&amp;TEXT(EDATE($A$2,-3),"aa")</f>
        <v>mar.-26</v>
      </c>
      <c r="M122" s="116" t="str">
        <f>TEXT(EDATE($A$2,-2),"mmm")&amp;".-"&amp;TEXT(EDATE($A$2,-2),"aa")</f>
        <v>abr.-26</v>
      </c>
      <c r="N122" s="116" t="str">
        <f>TEXT(EDATE($A$2,-1),"mmm")&amp;".-"&amp;TEXT(EDATE($A$2,-1),"aa")</f>
        <v>may.-26</v>
      </c>
      <c r="O122" s="136" t="str">
        <f>TEXT($A$2,"mmm")&amp;".-"&amp;TEXT($A$2,"aa")</f>
        <v>jun.-26</v>
      </c>
    </row>
    <row r="123" spans="1:26">
      <c r="A123" s="287" t="s">
        <v>67</v>
      </c>
      <c r="B123" s="117" t="s">
        <v>11</v>
      </c>
      <c r="C123" s="118">
        <f t="shared" ref="C123:O123" si="9">HLOOKUP(C$121,$86:$103,3,FALSE)</f>
        <v>0</v>
      </c>
      <c r="D123" s="118">
        <f t="shared" si="9"/>
        <v>0</v>
      </c>
      <c r="E123" s="118">
        <f t="shared" si="9"/>
        <v>0</v>
      </c>
      <c r="F123" s="118">
        <f t="shared" si="9"/>
        <v>0</v>
      </c>
      <c r="G123" s="118">
        <f t="shared" si="9"/>
        <v>0</v>
      </c>
      <c r="H123" s="118">
        <f t="shared" si="9"/>
        <v>0</v>
      </c>
      <c r="I123" s="118">
        <f t="shared" si="9"/>
        <v>0</v>
      </c>
      <c r="J123" s="118">
        <f t="shared" si="9"/>
        <v>0</v>
      </c>
      <c r="K123" s="118">
        <f t="shared" si="9"/>
        <v>0</v>
      </c>
      <c r="L123" s="118">
        <f t="shared" si="9"/>
        <v>0</v>
      </c>
      <c r="M123" s="118">
        <f t="shared" si="9"/>
        <v>0</v>
      </c>
      <c r="N123" s="118">
        <f t="shared" si="9"/>
        <v>0</v>
      </c>
      <c r="O123" s="119">
        <f t="shared" si="9"/>
        <v>0</v>
      </c>
    </row>
    <row r="124" spans="1:26">
      <c r="A124" s="288"/>
      <c r="B124" s="102" t="s">
        <v>10</v>
      </c>
      <c r="C124" s="104">
        <f t="shared" ref="C124:O124" si="10">HLOOKUP(C$121,$86:$103,4,FALSE)</f>
        <v>36.758597999999999</v>
      </c>
      <c r="D124" s="104">
        <f t="shared" si="10"/>
        <v>62.363782</v>
      </c>
      <c r="E124" s="104">
        <f t="shared" si="10"/>
        <v>66.467855</v>
      </c>
      <c r="F124" s="104">
        <f t="shared" si="10"/>
        <v>45.454340000000002</v>
      </c>
      <c r="G124" s="104">
        <f t="shared" si="10"/>
        <v>22.456917000000001</v>
      </c>
      <c r="H124" s="104">
        <f t="shared" si="10"/>
        <v>17.069234000000002</v>
      </c>
      <c r="I124" s="104">
        <f t="shared" si="10"/>
        <v>11.652042</v>
      </c>
      <c r="J124" s="104">
        <f t="shared" si="10"/>
        <v>14.892018999999999</v>
      </c>
      <c r="K124" s="104">
        <f t="shared" si="10"/>
        <v>6.0359920000000002</v>
      </c>
      <c r="L124" s="104">
        <f t="shared" si="10"/>
        <v>8.5326330000000006</v>
      </c>
      <c r="M124" s="104">
        <f t="shared" si="10"/>
        <v>8.6196000000000002</v>
      </c>
      <c r="N124" s="104">
        <f t="shared" si="10"/>
        <v>22.465201</v>
      </c>
      <c r="O124" s="119">
        <f t="shared" si="10"/>
        <v>36.617978999999998</v>
      </c>
    </row>
    <row r="125" spans="1:26">
      <c r="A125" s="288"/>
      <c r="B125" s="102" t="s">
        <v>9</v>
      </c>
      <c r="C125" s="104">
        <f t="shared" ref="C125:O125" si="11">HLOOKUP(C$121,$86:$103,5,FALSE)</f>
        <v>46.078491</v>
      </c>
      <c r="D125" s="104">
        <f t="shared" si="11"/>
        <v>58.218541000000002</v>
      </c>
      <c r="E125" s="104">
        <f t="shared" si="11"/>
        <v>51.241262999999996</v>
      </c>
      <c r="F125" s="104">
        <f t="shared" si="11"/>
        <v>39.777388999999999</v>
      </c>
      <c r="G125" s="104">
        <f t="shared" si="11"/>
        <v>43.751629999999999</v>
      </c>
      <c r="H125" s="104">
        <f t="shared" si="11"/>
        <v>32.383879</v>
      </c>
      <c r="I125" s="104">
        <f t="shared" si="11"/>
        <v>25.042332999999999</v>
      </c>
      <c r="J125" s="104">
        <f t="shared" si="11"/>
        <v>28.074463000000002</v>
      </c>
      <c r="K125" s="104">
        <f t="shared" si="11"/>
        <v>21.743562000000001</v>
      </c>
      <c r="L125" s="104">
        <f t="shared" si="11"/>
        <v>24.257366999999999</v>
      </c>
      <c r="M125" s="104">
        <f t="shared" si="11"/>
        <v>22.619537000000001</v>
      </c>
      <c r="N125" s="104">
        <f t="shared" si="11"/>
        <v>36.469515000000001</v>
      </c>
      <c r="O125" s="119">
        <f t="shared" si="11"/>
        <v>48.031368999999998</v>
      </c>
    </row>
    <row r="126" spans="1:26" ht="14.25">
      <c r="A126" s="288"/>
      <c r="B126" s="102" t="s">
        <v>116</v>
      </c>
      <c r="C126" s="104">
        <f t="shared" ref="C126:O126" si="12">HLOOKUP(C$121,$86:$103,6,FALSE)</f>
        <v>274.475863</v>
      </c>
      <c r="D126" s="104">
        <f t="shared" si="12"/>
        <v>334.267562</v>
      </c>
      <c r="E126" s="104">
        <f t="shared" si="12"/>
        <v>319.07413400000002</v>
      </c>
      <c r="F126" s="104">
        <f t="shared" si="12"/>
        <v>274.82982800000002</v>
      </c>
      <c r="G126" s="104">
        <f t="shared" si="12"/>
        <v>257.021049</v>
      </c>
      <c r="H126" s="104">
        <f t="shared" si="12"/>
        <v>234.20941099999999</v>
      </c>
      <c r="I126" s="104">
        <f t="shared" si="12"/>
        <v>265.032152</v>
      </c>
      <c r="J126" s="104">
        <f t="shared" si="12"/>
        <v>271.90836200000001</v>
      </c>
      <c r="K126" s="104">
        <f t="shared" si="12"/>
        <v>219.728983</v>
      </c>
      <c r="L126" s="104">
        <f t="shared" si="12"/>
        <v>263.66985</v>
      </c>
      <c r="M126" s="104">
        <f t="shared" si="12"/>
        <v>217.826639</v>
      </c>
      <c r="N126" s="104">
        <f t="shared" si="12"/>
        <v>237.47240300000001</v>
      </c>
      <c r="O126" s="119">
        <f t="shared" si="12"/>
        <v>278.43838</v>
      </c>
    </row>
    <row r="127" spans="1:26">
      <c r="A127" s="288"/>
      <c r="B127" s="102" t="s">
        <v>24</v>
      </c>
      <c r="C127" s="104">
        <f t="shared" ref="C127:O127" si="13">HLOOKUP(C$121,$86:$103,7,FALSE)</f>
        <v>0</v>
      </c>
      <c r="D127" s="104">
        <f t="shared" si="13"/>
        <v>0</v>
      </c>
      <c r="E127" s="104">
        <f t="shared" si="13"/>
        <v>0</v>
      </c>
      <c r="F127" s="104">
        <f t="shared" si="13"/>
        <v>0</v>
      </c>
      <c r="G127" s="104">
        <f t="shared" si="13"/>
        <v>0</v>
      </c>
      <c r="H127" s="104">
        <f t="shared" si="13"/>
        <v>0</v>
      </c>
      <c r="I127" s="104">
        <f t="shared" si="13"/>
        <v>0</v>
      </c>
      <c r="J127" s="104">
        <f t="shared" si="13"/>
        <v>0</v>
      </c>
      <c r="K127" s="104">
        <f t="shared" si="13"/>
        <v>0</v>
      </c>
      <c r="L127" s="104">
        <f t="shared" si="13"/>
        <v>0</v>
      </c>
      <c r="M127" s="104">
        <f t="shared" si="13"/>
        <v>0</v>
      </c>
      <c r="N127" s="104">
        <f t="shared" si="13"/>
        <v>0</v>
      </c>
      <c r="O127" s="119">
        <f t="shared" si="13"/>
        <v>0</v>
      </c>
    </row>
    <row r="128" spans="1:26">
      <c r="A128" s="288"/>
      <c r="B128" s="102" t="s">
        <v>5</v>
      </c>
      <c r="C128" s="104">
        <f t="shared" ref="C128:O128" si="14">HLOOKUP(C$121,$86:$104,8,FALSE)</f>
        <v>0</v>
      </c>
      <c r="D128" s="104">
        <f t="shared" si="14"/>
        <v>0</v>
      </c>
      <c r="E128" s="104">
        <f t="shared" si="14"/>
        <v>0</v>
      </c>
      <c r="F128" s="104">
        <f t="shared" si="14"/>
        <v>0</v>
      </c>
      <c r="G128" s="104">
        <f t="shared" si="14"/>
        <v>0</v>
      </c>
      <c r="H128" s="104">
        <f t="shared" si="14"/>
        <v>0</v>
      </c>
      <c r="I128" s="104">
        <f t="shared" si="14"/>
        <v>0</v>
      </c>
      <c r="J128" s="104">
        <f t="shared" si="14"/>
        <v>0</v>
      </c>
      <c r="K128" s="104">
        <f t="shared" si="14"/>
        <v>0</v>
      </c>
      <c r="L128" s="104">
        <f t="shared" si="14"/>
        <v>0</v>
      </c>
      <c r="M128" s="104">
        <f t="shared" si="14"/>
        <v>0</v>
      </c>
      <c r="N128" s="104">
        <f t="shared" si="14"/>
        <v>0</v>
      </c>
      <c r="O128" s="119">
        <f t="shared" si="14"/>
        <v>0</v>
      </c>
    </row>
    <row r="129" spans="1:15">
      <c r="A129" s="288"/>
      <c r="B129" s="102" t="s">
        <v>4</v>
      </c>
      <c r="C129" s="104">
        <f t="shared" ref="C129:O129" si="15">HLOOKUP(C$121,$86:$104,9,FALSE)</f>
        <v>64.616387000000003</v>
      </c>
      <c r="D129" s="104">
        <f t="shared" si="15"/>
        <v>58.301254</v>
      </c>
      <c r="E129" s="104">
        <f t="shared" si="15"/>
        <v>58.388308000000002</v>
      </c>
      <c r="F129" s="104">
        <f t="shared" si="15"/>
        <v>48.070135000000001</v>
      </c>
      <c r="G129" s="104">
        <f t="shared" si="15"/>
        <v>38.159438000000002</v>
      </c>
      <c r="H129" s="104">
        <f t="shared" si="15"/>
        <v>28.287680999999999</v>
      </c>
      <c r="I129" s="104">
        <f t="shared" si="15"/>
        <v>21.457460999999999</v>
      </c>
      <c r="J129" s="104">
        <f t="shared" si="15"/>
        <v>26.531222</v>
      </c>
      <c r="K129" s="104">
        <f t="shared" si="15"/>
        <v>38.510109999999997</v>
      </c>
      <c r="L129" s="104">
        <f t="shared" si="15"/>
        <v>42.581280999999997</v>
      </c>
      <c r="M129" s="104">
        <f t="shared" si="15"/>
        <v>59.468370999999998</v>
      </c>
      <c r="N129" s="104">
        <f t="shared" si="15"/>
        <v>57.807105</v>
      </c>
      <c r="O129" s="119">
        <f t="shared" si="15"/>
        <v>69.715850000000003</v>
      </c>
    </row>
    <row r="130" spans="1:15">
      <c r="A130" s="288"/>
      <c r="B130" s="110" t="s">
        <v>22</v>
      </c>
      <c r="C130" s="104">
        <f t="shared" ref="C130:O130" si="16">HLOOKUP(C$121,$86:$104,10,FALSE)</f>
        <v>0.25375799999999998</v>
      </c>
      <c r="D130" s="104">
        <f t="shared" si="16"/>
        <v>0.13533500000000001</v>
      </c>
      <c r="E130" s="104">
        <f t="shared" si="16"/>
        <v>6.2700000000000006E-2</v>
      </c>
      <c r="F130" s="104">
        <f t="shared" si="16"/>
        <v>0.16319</v>
      </c>
      <c r="G130" s="104">
        <f t="shared" si="16"/>
        <v>0.72397699999999998</v>
      </c>
      <c r="H130" s="104">
        <f t="shared" si="16"/>
        <v>1.328557</v>
      </c>
      <c r="I130" s="104">
        <f t="shared" si="16"/>
        <v>0.812226</v>
      </c>
      <c r="J130" s="104">
        <f t="shared" si="16"/>
        <v>0.97993699999999995</v>
      </c>
      <c r="K130" s="104">
        <f t="shared" si="16"/>
        <v>0.94255900000000004</v>
      </c>
      <c r="L130" s="104">
        <f t="shared" si="16"/>
        <v>1.3661909999999999</v>
      </c>
      <c r="M130" s="104">
        <f t="shared" si="16"/>
        <v>1.581583</v>
      </c>
      <c r="N130" s="104">
        <f t="shared" si="16"/>
        <v>1.776745</v>
      </c>
      <c r="O130" s="119">
        <f t="shared" si="16"/>
        <v>1.9475359999999999</v>
      </c>
    </row>
    <row r="131" spans="1:15">
      <c r="A131" s="288"/>
      <c r="B131" s="110" t="s">
        <v>23</v>
      </c>
      <c r="C131" s="104">
        <f t="shared" ref="C131:O131" si="17">HLOOKUP(C$121,$86:$104,11,FALSE)</f>
        <v>4.1208809999999998</v>
      </c>
      <c r="D131" s="104">
        <f t="shared" si="17"/>
        <v>3.573118</v>
      </c>
      <c r="E131" s="104">
        <f t="shared" si="17"/>
        <v>3.1659009999999999</v>
      </c>
      <c r="F131" s="104">
        <f t="shared" si="17"/>
        <v>2.336195</v>
      </c>
      <c r="G131" s="104">
        <f t="shared" si="17"/>
        <v>3.0284080000000002</v>
      </c>
      <c r="H131" s="104">
        <f t="shared" si="17"/>
        <v>2.5220250000000002</v>
      </c>
      <c r="I131" s="104">
        <f t="shared" si="17"/>
        <v>3.7919230000000002</v>
      </c>
      <c r="J131" s="104">
        <f t="shared" si="17"/>
        <v>3.4251860000000001</v>
      </c>
      <c r="K131" s="104">
        <f t="shared" si="17"/>
        <v>1.3775310000000001</v>
      </c>
      <c r="L131" s="104">
        <f t="shared" si="17"/>
        <v>0.98716599999999999</v>
      </c>
      <c r="M131" s="104">
        <f t="shared" si="17"/>
        <v>2.6262699999999999</v>
      </c>
      <c r="N131" s="104">
        <f t="shared" si="17"/>
        <v>2.7262230000000001</v>
      </c>
      <c r="O131" s="119">
        <f t="shared" si="17"/>
        <v>3.0921349999999999</v>
      </c>
    </row>
    <row r="132" spans="1:15">
      <c r="A132" s="288"/>
      <c r="B132" s="102" t="s">
        <v>47</v>
      </c>
      <c r="C132" s="104">
        <f t="shared" ref="C132:O132" si="18">HLOOKUP(C$121,$86:$104,13,FALSE)</f>
        <v>14.345347</v>
      </c>
      <c r="D132" s="104">
        <f t="shared" si="18"/>
        <v>13.9802175</v>
      </c>
      <c r="E132" s="104">
        <f t="shared" si="18"/>
        <v>11.851319</v>
      </c>
      <c r="F132" s="104">
        <f t="shared" si="18"/>
        <v>13.92998</v>
      </c>
      <c r="G132" s="104">
        <f t="shared" si="18"/>
        <v>8.0829000000000004</v>
      </c>
      <c r="H132" s="104">
        <f t="shared" si="18"/>
        <v>12.386824499999999</v>
      </c>
      <c r="I132" s="104">
        <f t="shared" si="18"/>
        <v>9.5741110000000003</v>
      </c>
      <c r="J132" s="104">
        <f t="shared" si="18"/>
        <v>8.3717509999999997</v>
      </c>
      <c r="K132" s="104">
        <f t="shared" si="18"/>
        <v>4.8198524999999997</v>
      </c>
      <c r="L132" s="104">
        <f t="shared" si="18"/>
        <v>9.7177954999999994</v>
      </c>
      <c r="M132" s="104">
        <f t="shared" si="18"/>
        <v>15.144128</v>
      </c>
      <c r="N132" s="104">
        <f t="shared" si="18"/>
        <v>11.267936000000001</v>
      </c>
      <c r="O132" s="119">
        <f t="shared" si="18"/>
        <v>13.462051000000001</v>
      </c>
    </row>
    <row r="133" spans="1:15">
      <c r="A133" s="288"/>
      <c r="B133" s="102" t="s">
        <v>46</v>
      </c>
      <c r="C133" s="104">
        <f t="shared" ref="C133:O133" si="19">HLOOKUP(C$121,$86:$104,12,FALSE)</f>
        <v>14.345347</v>
      </c>
      <c r="D133" s="104">
        <f t="shared" si="19"/>
        <v>13.9802175</v>
      </c>
      <c r="E133" s="104">
        <f t="shared" si="19"/>
        <v>11.851319</v>
      </c>
      <c r="F133" s="104">
        <f t="shared" si="19"/>
        <v>13.92998</v>
      </c>
      <c r="G133" s="104">
        <f t="shared" si="19"/>
        <v>8.0829000000000004</v>
      </c>
      <c r="H133" s="104">
        <f t="shared" si="19"/>
        <v>12.386824499999999</v>
      </c>
      <c r="I133" s="104">
        <f t="shared" si="19"/>
        <v>9.5741110000000003</v>
      </c>
      <c r="J133" s="104">
        <f t="shared" si="19"/>
        <v>8.3717509999999997</v>
      </c>
      <c r="K133" s="104">
        <f t="shared" si="19"/>
        <v>4.8198524999999997</v>
      </c>
      <c r="L133" s="104">
        <f t="shared" si="19"/>
        <v>9.7177954999999994</v>
      </c>
      <c r="M133" s="104">
        <f t="shared" si="19"/>
        <v>15.144128</v>
      </c>
      <c r="N133" s="104">
        <f t="shared" si="19"/>
        <v>11.267936000000001</v>
      </c>
      <c r="O133" s="119">
        <f t="shared" si="19"/>
        <v>13.462051000000001</v>
      </c>
    </row>
    <row r="134" spans="1:15">
      <c r="A134" s="288"/>
      <c r="B134" s="111" t="s">
        <v>2</v>
      </c>
      <c r="C134" s="159">
        <f>HLOOKUP(C$121,$86:$104,14,FALSE)</f>
        <v>454.99467199999998</v>
      </c>
      <c r="D134" s="159">
        <f t="shared" ref="D134:O134" si="20">HLOOKUP(D$121,$86:$104,14,FALSE)</f>
        <v>544.82002699999998</v>
      </c>
      <c r="E134" s="159">
        <f t="shared" si="20"/>
        <v>522.102799</v>
      </c>
      <c r="F134" s="159">
        <f t="shared" si="20"/>
        <v>438.49103700000001</v>
      </c>
      <c r="G134" s="159">
        <f t="shared" si="20"/>
        <v>381.30721899999998</v>
      </c>
      <c r="H134" s="159">
        <f t="shared" si="20"/>
        <v>340.57443599999999</v>
      </c>
      <c r="I134" s="159">
        <f t="shared" si="20"/>
        <v>346.93635899999998</v>
      </c>
      <c r="J134" s="159">
        <f t="shared" si="20"/>
        <v>362.55469099999999</v>
      </c>
      <c r="K134" s="159">
        <f t="shared" si="20"/>
        <v>297.97844199999997</v>
      </c>
      <c r="L134" s="159">
        <f t="shared" si="20"/>
        <v>360.83007900000001</v>
      </c>
      <c r="M134" s="159">
        <f t="shared" si="20"/>
        <v>343.03025600000001</v>
      </c>
      <c r="N134" s="159">
        <f t="shared" si="20"/>
        <v>381.25306399999999</v>
      </c>
      <c r="O134" s="160">
        <f t="shared" si="20"/>
        <v>464.76735100000002</v>
      </c>
    </row>
    <row r="135" spans="1:15">
      <c r="A135" s="288"/>
      <c r="B135" s="102" t="s">
        <v>95</v>
      </c>
      <c r="C135" s="104">
        <f>HLOOKUP(C$121,$86:$104,15,FALSE)</f>
        <v>3.3307000000000003E-2</v>
      </c>
      <c r="D135" s="104">
        <f t="shared" ref="D135:O135" si="21">HLOOKUP(D$121,$86:$104,15,FALSE)</f>
        <v>2.5804000000000001E-2</v>
      </c>
      <c r="E135" s="104">
        <f t="shared" si="21"/>
        <v>0</v>
      </c>
      <c r="F135" s="104">
        <f t="shared" si="21"/>
        <v>2.65E-3</v>
      </c>
      <c r="G135" s="104">
        <f t="shared" si="21"/>
        <v>1.1019999999999999E-3</v>
      </c>
      <c r="H135" s="104">
        <f t="shared" si="21"/>
        <v>1.536E-3</v>
      </c>
      <c r="I135" s="104">
        <f t="shared" si="21"/>
        <v>0</v>
      </c>
      <c r="J135" s="104">
        <f t="shared" si="21"/>
        <v>0</v>
      </c>
      <c r="K135" s="104">
        <f t="shared" si="21"/>
        <v>0</v>
      </c>
      <c r="L135" s="104">
        <f t="shared" si="21"/>
        <v>0</v>
      </c>
      <c r="M135" s="104">
        <f t="shared" si="21"/>
        <v>0</v>
      </c>
      <c r="N135" s="104">
        <f t="shared" si="21"/>
        <v>0</v>
      </c>
      <c r="O135" s="162">
        <f t="shared" si="21"/>
        <v>0</v>
      </c>
    </row>
    <row r="136" spans="1:15">
      <c r="A136" s="288"/>
      <c r="B136" s="102" t="s">
        <v>96</v>
      </c>
      <c r="C136" s="104">
        <f>HLOOKUP(C$121,$86:$104,16,FALSE)</f>
        <v>-6.6456000000000001E-2</v>
      </c>
      <c r="D136" s="104">
        <f t="shared" ref="D136:O136" si="22">HLOOKUP(D$121,$86:$104,16,FALSE)</f>
        <v>-8.4402000000000005E-2</v>
      </c>
      <c r="E136" s="104">
        <f t="shared" si="22"/>
        <v>-3.7090000000000001E-3</v>
      </c>
      <c r="F136" s="104">
        <f t="shared" si="22"/>
        <v>-8.4089999999999998E-3</v>
      </c>
      <c r="G136" s="104">
        <f t="shared" si="22"/>
        <v>-6.4120000000000002E-3</v>
      </c>
      <c r="H136" s="104">
        <f t="shared" si="22"/>
        <v>-5.6010000000000001E-3</v>
      </c>
      <c r="I136" s="104">
        <f t="shared" si="22"/>
        <v>-4.0439999999999999E-3</v>
      </c>
      <c r="J136" s="104">
        <f t="shared" si="22"/>
        <v>-3.8699999999999997E-4</v>
      </c>
      <c r="K136" s="104">
        <f t="shared" si="22"/>
        <v>0</v>
      </c>
      <c r="L136" s="104">
        <f t="shared" si="22"/>
        <v>0</v>
      </c>
      <c r="M136" s="104">
        <f t="shared" si="22"/>
        <v>0</v>
      </c>
      <c r="N136" s="104">
        <f t="shared" si="22"/>
        <v>0</v>
      </c>
      <c r="O136" s="163">
        <f t="shared" si="22"/>
        <v>0</v>
      </c>
    </row>
    <row r="137" spans="1:15">
      <c r="A137" s="288"/>
      <c r="B137" s="102" t="s">
        <v>21</v>
      </c>
      <c r="C137" s="161">
        <f>HLOOKUP(C$121,$86:$104,17,FALSE)</f>
        <v>171.035324</v>
      </c>
      <c r="D137" s="161">
        <f t="shared" ref="D137:O137" si="23">HLOOKUP(D$121,$86:$104,17,FALSE)</f>
        <v>188.42781500000001</v>
      </c>
      <c r="E137" s="161">
        <f t="shared" si="23"/>
        <v>208.61120199999999</v>
      </c>
      <c r="F137" s="161">
        <f t="shared" si="23"/>
        <v>166.21217300000001</v>
      </c>
      <c r="G137" s="161">
        <f t="shared" si="23"/>
        <v>119.248762</v>
      </c>
      <c r="H137" s="161">
        <f t="shared" si="23"/>
        <v>76.900411000000005</v>
      </c>
      <c r="I137" s="161">
        <f t="shared" si="23"/>
        <v>120.18883599999999</v>
      </c>
      <c r="J137" s="161">
        <f t="shared" si="23"/>
        <v>138.53626600000001</v>
      </c>
      <c r="K137" s="161">
        <f t="shared" si="23"/>
        <v>102.627172</v>
      </c>
      <c r="L137" s="161">
        <f t="shared" si="23"/>
        <v>104.897592</v>
      </c>
      <c r="M137" s="161">
        <f t="shared" si="23"/>
        <v>97.533116000000007</v>
      </c>
      <c r="N137" s="161">
        <f t="shared" si="23"/>
        <v>113.97348</v>
      </c>
      <c r="O137" s="164">
        <f t="shared" si="23"/>
        <v>154.19043300000001</v>
      </c>
    </row>
    <row r="138" spans="1:15">
      <c r="A138" s="288"/>
      <c r="B138" s="112" t="s">
        <v>1</v>
      </c>
      <c r="C138" s="113">
        <f>HLOOKUP(C$121,$86:$104,18,FALSE)</f>
        <v>625.996847</v>
      </c>
      <c r="D138" s="113">
        <f t="shared" ref="D138:O138" si="24">HLOOKUP(D$121,$86:$104,18,FALSE)</f>
        <v>733.18924400000003</v>
      </c>
      <c r="E138" s="113">
        <f t="shared" si="24"/>
        <v>730.71029199999998</v>
      </c>
      <c r="F138" s="113">
        <f t="shared" si="24"/>
        <v>604.697451</v>
      </c>
      <c r="G138" s="113">
        <f t="shared" si="24"/>
        <v>500.55067100000002</v>
      </c>
      <c r="H138" s="113">
        <f t="shared" si="24"/>
        <v>417.47078199999999</v>
      </c>
      <c r="I138" s="113">
        <f t="shared" si="24"/>
        <v>467.121151</v>
      </c>
      <c r="J138" s="113">
        <f t="shared" si="24"/>
        <v>501.09057000000001</v>
      </c>
      <c r="K138" s="113">
        <f t="shared" si="24"/>
        <v>400.605614</v>
      </c>
      <c r="L138" s="113">
        <f t="shared" si="24"/>
        <v>465.72767099999999</v>
      </c>
      <c r="M138" s="113">
        <f t="shared" si="24"/>
        <v>440.56337200000002</v>
      </c>
      <c r="N138" s="113">
        <f t="shared" si="24"/>
        <v>495.22654399999999</v>
      </c>
      <c r="O138" s="165">
        <f t="shared" si="24"/>
        <v>618.95778399999995</v>
      </c>
    </row>
    <row r="139" spans="1:15" ht="14.25">
      <c r="A139" s="289"/>
      <c r="B139" s="120" t="s">
        <v>66</v>
      </c>
      <c r="C139" s="121">
        <f>C124+C125+C127</f>
        <v>82.837088999999992</v>
      </c>
      <c r="D139" s="121">
        <f>D124+D125+D127</f>
        <v>120.582323</v>
      </c>
      <c r="E139" s="121">
        <f t="shared" ref="E139:O139" si="25">E124+E125+E127</f>
        <v>117.70911799999999</v>
      </c>
      <c r="F139" s="121">
        <f t="shared" si="25"/>
        <v>85.231729000000001</v>
      </c>
      <c r="G139" s="121">
        <f t="shared" si="25"/>
        <v>66.208546999999996</v>
      </c>
      <c r="H139" s="121">
        <f t="shared" si="25"/>
        <v>49.453113000000002</v>
      </c>
      <c r="I139" s="121">
        <f t="shared" si="25"/>
        <v>36.694375000000001</v>
      </c>
      <c r="J139" s="121">
        <f t="shared" si="25"/>
        <v>42.966481999999999</v>
      </c>
      <c r="K139" s="121">
        <f t="shared" si="25"/>
        <v>27.779554000000001</v>
      </c>
      <c r="L139" s="121">
        <f t="shared" si="25"/>
        <v>32.79</v>
      </c>
      <c r="M139" s="121">
        <f t="shared" si="25"/>
        <v>31.239136999999999</v>
      </c>
      <c r="N139" s="121">
        <f t="shared" si="25"/>
        <v>58.934716000000002</v>
      </c>
      <c r="O139" s="121">
        <f t="shared" si="25"/>
        <v>84.649348000000003</v>
      </c>
    </row>
    <row r="140" spans="1:15" ht="14.1" customHeight="1">
      <c r="A140" s="284" t="s">
        <v>68</v>
      </c>
      <c r="B140" s="122" t="s">
        <v>65</v>
      </c>
      <c r="C140" s="108" t="str">
        <f>TEXT(EDATE($A$2,-12),"mmm")&amp;".-"&amp;TEXT(EDATE($A$2,-12),"aa")</f>
        <v>jun.-25</v>
      </c>
      <c r="D140" s="108" t="str">
        <f>TEXT(EDATE($A$2,-11),"mmm")&amp;".-"&amp;TEXT(EDATE($A$2,-11),"aa")</f>
        <v>jul.-25</v>
      </c>
      <c r="E140" s="108" t="str">
        <f>TEXT(EDATE($A$2,-10),"mmm")&amp;".-"&amp;TEXT(EDATE($A$2,-10),"aa")</f>
        <v>ago.-25</v>
      </c>
      <c r="F140" s="108" t="str">
        <f>TEXT(EDATE($A$2,-9),"mmm")&amp;".-"&amp;TEXT(EDATE($A$2,-9),"aa")</f>
        <v>sep.-25</v>
      </c>
      <c r="G140" s="108" t="str">
        <f>TEXT(EDATE($A$2,-8),"mmm")&amp;".-"&amp;TEXT(EDATE($A$2,-8),"aa")</f>
        <v>oct.-25</v>
      </c>
      <c r="H140" s="108" t="str">
        <f>TEXT(EDATE($A$2,-7),"mmm")&amp;".-"&amp;TEXT(EDATE($A$2,-7),"aa")</f>
        <v>nov.-25</v>
      </c>
      <c r="I140" s="108" t="str">
        <f>TEXT(EDATE($A$2,-6),"mmm")&amp;".-"&amp;TEXT(EDATE($A$2,-6),"aa")</f>
        <v>dic.-25</v>
      </c>
      <c r="J140" s="108" t="str">
        <f>TEXT(EDATE($A$2,-5),"mmm")&amp;".-"&amp;TEXT(EDATE($A$2,-5),"aa")</f>
        <v>ene.-26</v>
      </c>
      <c r="K140" s="108" t="str">
        <f>TEXT(EDATE($A$2,-4),"mmm")&amp;".-"&amp;TEXT(EDATE($A$2,-4),"aa")</f>
        <v>feb.-26</v>
      </c>
      <c r="L140" s="108" t="str">
        <f>TEXT(EDATE($A$2,-3),"mmm")&amp;".-"&amp;TEXT(EDATE($A$2,-3),"aa")</f>
        <v>mar.-26</v>
      </c>
      <c r="M140" s="108" t="str">
        <f>TEXT(EDATE($A$2,-2),"mmm")&amp;".-"&amp;TEXT(EDATE($A$2,-2),"aa")</f>
        <v>abr.-26</v>
      </c>
      <c r="N140" s="108" t="str">
        <f>TEXT(EDATE($A$2,-1),"mmm")&amp;".-"&amp;TEXT(EDATE($A$2,-1),"aa")</f>
        <v>may.-26</v>
      </c>
      <c r="O140" s="109" t="str">
        <f>TEXT($A$2,"mmm")&amp;".-"&amp;TEXT($A$2,"aa")</f>
        <v>jun.-26</v>
      </c>
    </row>
    <row r="141" spans="1:15" ht="15" customHeight="1">
      <c r="A141" s="285"/>
      <c r="B141" s="102" t="s">
        <v>12</v>
      </c>
      <c r="C141" s="104">
        <f>HLOOKUP(C$121,$86:$119,19,FALSE)</f>
        <v>0</v>
      </c>
      <c r="D141" s="104">
        <f t="shared" ref="D141:O141" si="26">HLOOKUP(D$121,$86:$119,19,FALSE)</f>
        <v>0</v>
      </c>
      <c r="E141" s="104">
        <f t="shared" si="26"/>
        <v>0</v>
      </c>
      <c r="F141" s="104">
        <f t="shared" si="26"/>
        <v>0</v>
      </c>
      <c r="G141" s="104">
        <f t="shared" si="26"/>
        <v>0</v>
      </c>
      <c r="H141" s="104">
        <f t="shared" si="26"/>
        <v>0</v>
      </c>
      <c r="I141" s="104">
        <f t="shared" si="26"/>
        <v>0</v>
      </c>
      <c r="J141" s="104">
        <f t="shared" si="26"/>
        <v>0</v>
      </c>
      <c r="K141" s="104">
        <f t="shared" si="26"/>
        <v>0</v>
      </c>
      <c r="L141" s="104">
        <f t="shared" si="26"/>
        <v>0</v>
      </c>
      <c r="M141" s="104">
        <f t="shared" si="26"/>
        <v>0</v>
      </c>
      <c r="N141" s="104">
        <f t="shared" si="26"/>
        <v>0</v>
      </c>
      <c r="O141" s="137">
        <f t="shared" si="26"/>
        <v>7.3203000000000004E-2</v>
      </c>
    </row>
    <row r="142" spans="1:15" ht="14.1" customHeight="1">
      <c r="A142" s="285"/>
      <c r="B142" s="102" t="s">
        <v>10</v>
      </c>
      <c r="C142" s="104">
        <f>HLOOKUP(C$121,$86:$119,20,FALSE)</f>
        <v>133.454463</v>
      </c>
      <c r="D142" s="104">
        <f t="shared" ref="D142:O142" si="27">HLOOKUP(D$121,$86:$119,20,FALSE)</f>
        <v>138.95366799999999</v>
      </c>
      <c r="E142" s="104">
        <f t="shared" si="27"/>
        <v>156.429901</v>
      </c>
      <c r="F142" s="104">
        <f t="shared" si="27"/>
        <v>146.533942</v>
      </c>
      <c r="G142" s="104">
        <f t="shared" si="27"/>
        <v>159.05462600000001</v>
      </c>
      <c r="H142" s="104">
        <f t="shared" si="27"/>
        <v>144.58958999999999</v>
      </c>
      <c r="I142" s="104">
        <f t="shared" si="27"/>
        <v>158.02685199999999</v>
      </c>
      <c r="J142" s="104">
        <f t="shared" si="27"/>
        <v>158.381069</v>
      </c>
      <c r="K142" s="104">
        <f t="shared" si="27"/>
        <v>143.06514300000001</v>
      </c>
      <c r="L142" s="104">
        <f t="shared" si="27"/>
        <v>149.59031300000001</v>
      </c>
      <c r="M142" s="104">
        <f t="shared" si="27"/>
        <v>153.416853</v>
      </c>
      <c r="N142" s="104">
        <f t="shared" si="27"/>
        <v>140.31111100000001</v>
      </c>
      <c r="O142" s="119">
        <f t="shared" si="27"/>
        <v>133.397616</v>
      </c>
    </row>
    <row r="143" spans="1:15" ht="14.1" customHeight="1">
      <c r="A143" s="285"/>
      <c r="B143" s="102" t="s">
        <v>9</v>
      </c>
      <c r="C143" s="104">
        <f>HLOOKUP(C$121,$86:$119,21,FALSE)</f>
        <v>14.439681999999999</v>
      </c>
      <c r="D143" s="104">
        <f t="shared" ref="D143:O143" si="28">HLOOKUP(D$121,$86:$119,21,FALSE)</f>
        <v>17.277450000000002</v>
      </c>
      <c r="E143" s="104">
        <f t="shared" si="28"/>
        <v>21.905804</v>
      </c>
      <c r="F143" s="104">
        <f t="shared" si="28"/>
        <v>21.204673</v>
      </c>
      <c r="G143" s="104">
        <f t="shared" si="28"/>
        <v>28.975633999999999</v>
      </c>
      <c r="H143" s="104">
        <f t="shared" si="28"/>
        <v>21.440819999999999</v>
      </c>
      <c r="I143" s="104">
        <f t="shared" si="28"/>
        <v>25.811325</v>
      </c>
      <c r="J143" s="104">
        <f t="shared" si="28"/>
        <v>28.873301000000001</v>
      </c>
      <c r="K143" s="104">
        <f t="shared" si="28"/>
        <v>25.555015999999998</v>
      </c>
      <c r="L143" s="104">
        <f t="shared" si="28"/>
        <v>29.612995000000002</v>
      </c>
      <c r="M143" s="104">
        <f t="shared" si="28"/>
        <v>34.690565999999997</v>
      </c>
      <c r="N143" s="104">
        <f t="shared" si="28"/>
        <v>21.324908000000001</v>
      </c>
      <c r="O143" s="119">
        <f t="shared" si="28"/>
        <v>18.374575</v>
      </c>
    </row>
    <row r="144" spans="1:15" ht="14.1" customHeight="1">
      <c r="A144" s="285"/>
      <c r="B144" s="102" t="s">
        <v>8</v>
      </c>
      <c r="C144" s="104">
        <f>HLOOKUP(C$121,$86:$119,22,FALSE)</f>
        <v>84.304407999999995</v>
      </c>
      <c r="D144" s="104">
        <f t="shared" ref="D144:O144" si="29">HLOOKUP(D$121,$86:$119,22,FALSE)</f>
        <v>97.398498000000004</v>
      </c>
      <c r="E144" s="104">
        <f t="shared" si="29"/>
        <v>100.21077</v>
      </c>
      <c r="F144" s="104">
        <f t="shared" si="29"/>
        <v>99.346721000000002</v>
      </c>
      <c r="G144" s="104">
        <f t="shared" si="29"/>
        <v>125.06728200000001</v>
      </c>
      <c r="H144" s="104">
        <f t="shared" si="29"/>
        <v>112.30573</v>
      </c>
      <c r="I144" s="104">
        <f t="shared" si="29"/>
        <v>119.831412</v>
      </c>
      <c r="J144" s="104">
        <f t="shared" si="29"/>
        <v>117.60937199999999</v>
      </c>
      <c r="K144" s="104">
        <f t="shared" si="29"/>
        <v>92.890253999999999</v>
      </c>
      <c r="L144" s="104">
        <f t="shared" si="29"/>
        <v>82.571079999999995</v>
      </c>
      <c r="M144" s="104">
        <f t="shared" si="29"/>
        <v>106.513632</v>
      </c>
      <c r="N144" s="104">
        <f t="shared" si="29"/>
        <v>111.85987799999999</v>
      </c>
      <c r="O144" s="119">
        <f t="shared" si="29"/>
        <v>90.531129000000007</v>
      </c>
    </row>
    <row r="145" spans="1:26" ht="14.45" customHeight="1">
      <c r="A145" s="285"/>
      <c r="B145" s="102" t="s">
        <v>116</v>
      </c>
      <c r="C145" s="104">
        <f>HLOOKUP(C$121,$86:$119,23,FALSE)</f>
        <v>284.16690399999999</v>
      </c>
      <c r="D145" s="104">
        <f t="shared" ref="D145:O145" si="30">HLOOKUP(D$121,$86:$119,23,FALSE)</f>
        <v>316.70403900000002</v>
      </c>
      <c r="E145" s="104">
        <f t="shared" si="30"/>
        <v>340.02993600000002</v>
      </c>
      <c r="F145" s="104">
        <f t="shared" si="30"/>
        <v>307.60187999999999</v>
      </c>
      <c r="G145" s="104">
        <f t="shared" si="30"/>
        <v>357.47449</v>
      </c>
      <c r="H145" s="104">
        <f t="shared" si="30"/>
        <v>343.63677799999999</v>
      </c>
      <c r="I145" s="104">
        <f t="shared" si="30"/>
        <v>344.06825099999998</v>
      </c>
      <c r="J145" s="104">
        <f t="shared" si="30"/>
        <v>331.93350299999997</v>
      </c>
      <c r="K145" s="104">
        <f t="shared" si="30"/>
        <v>287.05643500000002</v>
      </c>
      <c r="L145" s="104">
        <f t="shared" si="30"/>
        <v>282.06847599999998</v>
      </c>
      <c r="M145" s="104">
        <f t="shared" si="30"/>
        <v>284.69147199999998</v>
      </c>
      <c r="N145" s="104">
        <f t="shared" si="30"/>
        <v>302.07158099999998</v>
      </c>
      <c r="O145" s="119">
        <f t="shared" si="30"/>
        <v>285.73719699999998</v>
      </c>
    </row>
    <row r="146" spans="1:26" ht="14.1" customHeight="1">
      <c r="A146" s="285"/>
      <c r="B146" s="102" t="s">
        <v>6</v>
      </c>
      <c r="C146" s="104">
        <f>HLOOKUP(C$121,$86:$119,24,FALSE)</f>
        <v>2.9528669999999999</v>
      </c>
      <c r="D146" s="104">
        <f t="shared" ref="D146:O146" si="31">HLOOKUP(D$121,$86:$119,24,FALSE)</f>
        <v>3.2914970000000001</v>
      </c>
      <c r="E146" s="104">
        <f t="shared" si="31"/>
        <v>2.7481429999999998</v>
      </c>
      <c r="F146" s="104">
        <f t="shared" si="31"/>
        <v>2.5908169999999999</v>
      </c>
      <c r="G146" s="104">
        <f t="shared" si="31"/>
        <v>1.167157</v>
      </c>
      <c r="H146" s="104">
        <f t="shared" si="31"/>
        <v>0.94978899999999999</v>
      </c>
      <c r="I146" s="104">
        <f t="shared" si="31"/>
        <v>1.389267</v>
      </c>
      <c r="J146" s="104">
        <f t="shared" si="31"/>
        <v>1.2355400000000001</v>
      </c>
      <c r="K146" s="104">
        <f t="shared" si="31"/>
        <v>1.2530779999999999</v>
      </c>
      <c r="L146" s="104">
        <f t="shared" si="31"/>
        <v>2.036778</v>
      </c>
      <c r="M146" s="104">
        <f t="shared" si="31"/>
        <v>1.462315</v>
      </c>
      <c r="N146" s="104">
        <f t="shared" si="31"/>
        <v>1.65883</v>
      </c>
      <c r="O146" s="119">
        <f t="shared" si="31"/>
        <v>2.7551960000000002</v>
      </c>
    </row>
    <row r="147" spans="1:26" ht="14.1" customHeight="1">
      <c r="A147" s="285"/>
      <c r="B147" s="102" t="s">
        <v>5</v>
      </c>
      <c r="C147" s="104">
        <f>HLOOKUP(C$121,$86:$119,25,FALSE)</f>
        <v>143.551423</v>
      </c>
      <c r="D147" s="104">
        <f t="shared" ref="D147:O147" si="32">HLOOKUP(D$121,$86:$119,25,FALSE)</f>
        <v>166.964561</v>
      </c>
      <c r="E147" s="104">
        <f t="shared" si="32"/>
        <v>149.445853</v>
      </c>
      <c r="F147" s="104">
        <f t="shared" si="32"/>
        <v>165.43614400000001</v>
      </c>
      <c r="G147" s="104">
        <f t="shared" si="32"/>
        <v>84.341824000000003</v>
      </c>
      <c r="H147" s="104">
        <f t="shared" si="32"/>
        <v>95.968860000000006</v>
      </c>
      <c r="I147" s="104">
        <f t="shared" si="32"/>
        <v>82.177819999999997</v>
      </c>
      <c r="J147" s="104">
        <f t="shared" si="32"/>
        <v>97.153379000000001</v>
      </c>
      <c r="K147" s="104">
        <f t="shared" si="32"/>
        <v>91.083347000000003</v>
      </c>
      <c r="L147" s="104">
        <f t="shared" si="32"/>
        <v>165.14311699999999</v>
      </c>
      <c r="M147" s="104">
        <f t="shared" si="32"/>
        <v>81.914609999999996</v>
      </c>
      <c r="N147" s="104">
        <f t="shared" si="32"/>
        <v>90.114508999999998</v>
      </c>
      <c r="O147" s="119">
        <f t="shared" si="32"/>
        <v>139.96383700000001</v>
      </c>
    </row>
    <row r="148" spans="1:26" ht="14.1" customHeight="1">
      <c r="A148" s="285"/>
      <c r="B148" s="102" t="s">
        <v>4</v>
      </c>
      <c r="C148" s="104">
        <f>HLOOKUP(C$121,$86:$119,26,FALSE)</f>
        <v>42.657446</v>
      </c>
      <c r="D148" s="104">
        <f t="shared" ref="D148:O148" si="33">HLOOKUP(D$121,$86:$119,26,FALSE)</f>
        <v>44.683625999999997</v>
      </c>
      <c r="E148" s="104">
        <f t="shared" si="33"/>
        <v>46.097631</v>
      </c>
      <c r="F148" s="104">
        <f t="shared" si="33"/>
        <v>39.592024000000002</v>
      </c>
      <c r="G148" s="104">
        <f t="shared" si="33"/>
        <v>35.989100999999998</v>
      </c>
      <c r="H148" s="104">
        <f t="shared" si="33"/>
        <v>32.078172000000002</v>
      </c>
      <c r="I148" s="104">
        <f t="shared" si="33"/>
        <v>31.976611999999999</v>
      </c>
      <c r="J148" s="104">
        <f t="shared" si="33"/>
        <v>33.762532</v>
      </c>
      <c r="K148" s="104">
        <f t="shared" si="33"/>
        <v>36.724344000000002</v>
      </c>
      <c r="L148" s="104">
        <f t="shared" si="33"/>
        <v>36.337868999999998</v>
      </c>
      <c r="M148" s="104">
        <f t="shared" si="33"/>
        <v>41.012202000000002</v>
      </c>
      <c r="N148" s="104">
        <f t="shared" si="33"/>
        <v>46.822612999999997</v>
      </c>
      <c r="O148" s="119">
        <f t="shared" si="33"/>
        <v>48.060447000000003</v>
      </c>
    </row>
    <row r="149" spans="1:26" ht="14.1" customHeight="1">
      <c r="A149" s="285"/>
      <c r="B149" s="102" t="s">
        <v>22</v>
      </c>
      <c r="C149" s="104">
        <f>HLOOKUP(C$121,$86:$119,27,FALSE)</f>
        <v>1.2805299999999999</v>
      </c>
      <c r="D149" s="104">
        <f t="shared" ref="D149:O149" si="34">HLOOKUP(D$121,$86:$119,27,FALSE)</f>
        <v>1.163958</v>
      </c>
      <c r="E149" s="104">
        <f t="shared" si="34"/>
        <v>0.98014500000000004</v>
      </c>
      <c r="F149" s="104">
        <f t="shared" si="34"/>
        <v>0.36074600000000001</v>
      </c>
      <c r="G149" s="104">
        <f t="shared" si="34"/>
        <v>0.77339199999999997</v>
      </c>
      <c r="H149" s="104">
        <f t="shared" si="34"/>
        <v>0.74605500000000002</v>
      </c>
      <c r="I149" s="104">
        <f t="shared" si="34"/>
        <v>0.798705</v>
      </c>
      <c r="J149" s="104">
        <f t="shared" si="34"/>
        <v>0.99824000000000002</v>
      </c>
      <c r="K149" s="104">
        <f t="shared" si="34"/>
        <v>0.82315300000000002</v>
      </c>
      <c r="L149" s="104">
        <f t="shared" si="34"/>
        <v>0.86323799999999995</v>
      </c>
      <c r="M149" s="104">
        <f t="shared" si="34"/>
        <v>0.83965599999999996</v>
      </c>
      <c r="N149" s="104">
        <f t="shared" si="34"/>
        <v>1.0704100000000001</v>
      </c>
      <c r="O149" s="119">
        <f t="shared" si="34"/>
        <v>0.92642400000000003</v>
      </c>
    </row>
    <row r="150" spans="1:26" ht="14.1" customHeight="1">
      <c r="A150" s="285"/>
      <c r="B150" s="111" t="s">
        <v>2</v>
      </c>
      <c r="C150" s="159">
        <f>HLOOKUP(C$121,$86:$119,28,FALSE)</f>
        <v>706.80772300000001</v>
      </c>
      <c r="D150" s="159">
        <f t="shared" ref="D150:O150" si="35">HLOOKUP(D$121,$86:$119,28,FALSE)</f>
        <v>786.43729699999994</v>
      </c>
      <c r="E150" s="159">
        <f t="shared" si="35"/>
        <v>817.84818299999995</v>
      </c>
      <c r="F150" s="159">
        <f t="shared" si="35"/>
        <v>782.66694700000005</v>
      </c>
      <c r="G150" s="159">
        <f t="shared" si="35"/>
        <v>792.84350600000005</v>
      </c>
      <c r="H150" s="159">
        <f t="shared" si="35"/>
        <v>751.71579399999996</v>
      </c>
      <c r="I150" s="159">
        <f t="shared" si="35"/>
        <v>764.08024399999999</v>
      </c>
      <c r="J150" s="159">
        <f t="shared" si="35"/>
        <v>769.94693600000005</v>
      </c>
      <c r="K150" s="159">
        <f t="shared" si="35"/>
        <v>678.45077000000003</v>
      </c>
      <c r="L150" s="159">
        <f t="shared" si="35"/>
        <v>748.22386600000004</v>
      </c>
      <c r="M150" s="159">
        <f t="shared" si="35"/>
        <v>704.54130599999996</v>
      </c>
      <c r="N150" s="159">
        <f t="shared" si="35"/>
        <v>715.23383999999999</v>
      </c>
      <c r="O150" s="160">
        <f t="shared" si="35"/>
        <v>719.81962399999998</v>
      </c>
    </row>
    <row r="151" spans="1:26" ht="14.1" customHeight="1">
      <c r="A151" s="285"/>
      <c r="B151" s="102" t="s">
        <v>95</v>
      </c>
      <c r="C151" s="104">
        <f>HLOOKUP(C$121,$86:$119,29,FALSE)</f>
        <v>0</v>
      </c>
      <c r="D151" s="104">
        <f t="shared" ref="D151:O151" si="36">HLOOKUP(D$121,$86:$119,29,FALSE)</f>
        <v>0</v>
      </c>
      <c r="E151" s="104">
        <f t="shared" si="36"/>
        <v>0</v>
      </c>
      <c r="F151" s="104">
        <f t="shared" si="36"/>
        <v>0</v>
      </c>
      <c r="G151" s="104">
        <f t="shared" si="36"/>
        <v>6.3000000000000003E-4</v>
      </c>
      <c r="H151" s="104">
        <f t="shared" si="36"/>
        <v>5.5779999999999996E-3</v>
      </c>
      <c r="I151" s="104">
        <f t="shared" si="36"/>
        <v>1.06E-4</v>
      </c>
      <c r="J151" s="104">
        <f t="shared" si="36"/>
        <v>9.9999999999999995E-7</v>
      </c>
      <c r="K151" s="104">
        <f t="shared" si="36"/>
        <v>3.7019000000000003E-2</v>
      </c>
      <c r="L151" s="104">
        <f t="shared" si="36"/>
        <v>4.1999999999999998E-5</v>
      </c>
      <c r="M151" s="104">
        <f t="shared" si="36"/>
        <v>0</v>
      </c>
      <c r="N151" s="104">
        <f t="shared" si="36"/>
        <v>7.0930000000000003E-3</v>
      </c>
      <c r="O151" s="119">
        <f t="shared" si="36"/>
        <v>9.9999999999999995E-7</v>
      </c>
    </row>
    <row r="152" spans="1:26" ht="14.1" customHeight="1">
      <c r="A152" s="285"/>
      <c r="B152" s="102" t="s">
        <v>96</v>
      </c>
      <c r="C152" s="104">
        <f>HLOOKUP(C$121,$86:$119,30,FALSE)</f>
        <v>0</v>
      </c>
      <c r="D152" s="104">
        <f t="shared" ref="D152:O152" si="37">HLOOKUP(D$121,$86:$119,30,FALSE)</f>
        <v>-1.4660000000000001E-3</v>
      </c>
      <c r="E152" s="104">
        <f t="shared" si="37"/>
        <v>-3.5109999999999998E-3</v>
      </c>
      <c r="F152" s="104">
        <f t="shared" si="37"/>
        <v>-8.7720000000000003E-3</v>
      </c>
      <c r="G152" s="104">
        <f t="shared" si="37"/>
        <v>-1.4031E-2</v>
      </c>
      <c r="H152" s="104">
        <f t="shared" si="37"/>
        <v>-1.7222999999999999E-2</v>
      </c>
      <c r="I152" s="104">
        <f t="shared" si="37"/>
        <v>-1.6891E-2</v>
      </c>
      <c r="J152" s="104">
        <f t="shared" si="37"/>
        <v>-1.1672999999999999E-2</v>
      </c>
      <c r="K152" s="104">
        <f t="shared" si="37"/>
        <v>-5.8445999999999998E-2</v>
      </c>
      <c r="L152" s="104">
        <f t="shared" si="37"/>
        <v>-1.3491E-2</v>
      </c>
      <c r="M152" s="104">
        <f t="shared" si="37"/>
        <v>-2.2315000000000002E-2</v>
      </c>
      <c r="N152" s="104">
        <f t="shared" si="37"/>
        <v>-2.2401000000000001E-2</v>
      </c>
      <c r="O152" s="119">
        <f t="shared" si="37"/>
        <v>-1.2041E-2</v>
      </c>
    </row>
    <row r="153" spans="1:26" ht="14.1" customHeight="1">
      <c r="A153" s="285"/>
      <c r="B153" s="112" t="s">
        <v>1</v>
      </c>
      <c r="C153" s="113">
        <f>HLOOKUP(C$121,$86:$119,31,FALSE)</f>
        <v>706.80772300000001</v>
      </c>
      <c r="D153" s="113">
        <f t="shared" ref="D153:O153" si="38">HLOOKUP(D$121,$86:$119,31,FALSE)</f>
        <v>786.43583100000001</v>
      </c>
      <c r="E153" s="113">
        <f t="shared" si="38"/>
        <v>817.84467199999995</v>
      </c>
      <c r="F153" s="113">
        <f t="shared" si="38"/>
        <v>782.65817500000003</v>
      </c>
      <c r="G153" s="113">
        <f t="shared" si="38"/>
        <v>792.830105</v>
      </c>
      <c r="H153" s="113">
        <f t="shared" si="38"/>
        <v>751.70414900000003</v>
      </c>
      <c r="I153" s="113">
        <f t="shared" si="38"/>
        <v>764.06345899999997</v>
      </c>
      <c r="J153" s="113">
        <f t="shared" si="38"/>
        <v>769.93526399999996</v>
      </c>
      <c r="K153" s="113">
        <f t="shared" si="38"/>
        <v>678.42934300000002</v>
      </c>
      <c r="L153" s="113">
        <f t="shared" si="38"/>
        <v>748.21041700000001</v>
      </c>
      <c r="M153" s="113">
        <f t="shared" si="38"/>
        <v>704.51899100000003</v>
      </c>
      <c r="N153" s="113">
        <f t="shared" si="38"/>
        <v>715.21853199999998</v>
      </c>
      <c r="O153" s="166">
        <f t="shared" si="38"/>
        <v>719.80758400000002</v>
      </c>
    </row>
    <row r="154" spans="1:26" ht="14.1" customHeight="1">
      <c r="A154" s="285"/>
      <c r="B154" s="114"/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23"/>
    </row>
    <row r="155" spans="1:26" ht="14.1" customHeight="1">
      <c r="A155" s="286"/>
      <c r="B155" s="120" t="s">
        <v>66</v>
      </c>
      <c r="C155" s="124">
        <f>SUM(C142:C144)</f>
        <v>232.198553</v>
      </c>
      <c r="D155" s="124">
        <f t="shared" ref="D155:O155" si="39">SUM(D142:D144)</f>
        <v>253.629616</v>
      </c>
      <c r="E155" s="124">
        <f t="shared" si="39"/>
        <v>278.54647499999999</v>
      </c>
      <c r="F155" s="124">
        <f t="shared" si="39"/>
        <v>267.08533599999998</v>
      </c>
      <c r="G155" s="124">
        <f t="shared" si="39"/>
        <v>313.09754199999998</v>
      </c>
      <c r="H155" s="124">
        <f t="shared" si="39"/>
        <v>278.33614</v>
      </c>
      <c r="I155" s="124">
        <f t="shared" si="39"/>
        <v>303.66958899999997</v>
      </c>
      <c r="J155" s="124">
        <f t="shared" si="39"/>
        <v>304.863742</v>
      </c>
      <c r="K155" s="124">
        <f t="shared" si="39"/>
        <v>261.51041299999997</v>
      </c>
      <c r="L155" s="124">
        <f t="shared" si="39"/>
        <v>261.77438800000004</v>
      </c>
      <c r="M155" s="124">
        <f t="shared" si="39"/>
        <v>294.62105099999997</v>
      </c>
      <c r="N155" s="124">
        <f t="shared" si="39"/>
        <v>273.49589700000001</v>
      </c>
      <c r="O155" s="125">
        <f t="shared" si="39"/>
        <v>242.30331999999999</v>
      </c>
    </row>
    <row r="156" spans="1:26" ht="1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 s="149"/>
      <c r="B158" s="149" t="s">
        <v>60</v>
      </c>
      <c r="C158" s="278" t="s">
        <v>49</v>
      </c>
      <c r="D158" s="269"/>
      <c r="E158" s="269"/>
      <c r="F158" s="269"/>
      <c r="G158" s="269"/>
      <c r="H158" s="269"/>
      <c r="I158" s="269"/>
      <c r="J158" s="269"/>
      <c r="K158" s="269"/>
      <c r="L158" s="269"/>
      <c r="M158" s="269"/>
      <c r="N158" s="269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5">
      <c r="A159" s="149"/>
      <c r="B159" s="149" t="s">
        <v>61</v>
      </c>
      <c r="C159" s="182" t="s">
        <v>80</v>
      </c>
      <c r="D159" s="182" t="s">
        <v>81</v>
      </c>
      <c r="E159" s="182" t="s">
        <v>82</v>
      </c>
      <c r="F159" s="182" t="s">
        <v>83</v>
      </c>
      <c r="G159" s="182" t="s">
        <v>84</v>
      </c>
      <c r="H159" s="182" t="s">
        <v>85</v>
      </c>
      <c r="I159" s="182" t="s">
        <v>86</v>
      </c>
      <c r="J159" s="182" t="s">
        <v>87</v>
      </c>
      <c r="K159" s="182" t="s">
        <v>88</v>
      </c>
      <c r="L159" s="182" t="s">
        <v>89</v>
      </c>
      <c r="M159" s="182" t="s">
        <v>90</v>
      </c>
      <c r="N159" s="182" t="s">
        <v>91</v>
      </c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 t="s">
        <v>59</v>
      </c>
      <c r="B160" s="149" t="s">
        <v>92</v>
      </c>
      <c r="C160" s="150"/>
      <c r="D160" s="150"/>
      <c r="E160" s="150"/>
      <c r="F160" s="150"/>
      <c r="G160" s="150"/>
      <c r="H160" s="150"/>
      <c r="I160" s="150"/>
      <c r="J160" s="150"/>
      <c r="K160" s="150"/>
      <c r="L160" s="150"/>
      <c r="M160" s="150"/>
      <c r="N160" s="15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51" t="s">
        <v>204</v>
      </c>
      <c r="B161" s="151" t="s">
        <v>206</v>
      </c>
      <c r="C161" s="245">
        <v>-1.124E-2</v>
      </c>
      <c r="D161" s="245">
        <v>1.1900000000000001E-3</v>
      </c>
      <c r="E161" s="245">
        <v>-1.0200000000000001E-2</v>
      </c>
      <c r="F161" s="245">
        <v>-2.2300000000000002E-3</v>
      </c>
      <c r="G161" s="245">
        <v>1.9599999999999999E-2</v>
      </c>
      <c r="H161" s="245">
        <v>7.5000000000000002E-4</v>
      </c>
      <c r="I161" s="245">
        <v>3.64E-3</v>
      </c>
      <c r="J161" s="245">
        <v>1.521E-2</v>
      </c>
      <c r="K161" s="245">
        <v>3.0949999999999998E-2</v>
      </c>
      <c r="L161" s="245">
        <v>1.66E-3</v>
      </c>
      <c r="M161" s="245">
        <v>9.1599999999999997E-3</v>
      </c>
      <c r="N161" s="245">
        <v>2.0129999999999999E-2</v>
      </c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A164" s="149"/>
      <c r="B164" s="149" t="s">
        <v>60</v>
      </c>
      <c r="C164" s="278" t="s">
        <v>50</v>
      </c>
      <c r="D164" s="269"/>
      <c r="E164" s="269"/>
      <c r="F164" s="269"/>
      <c r="G164" s="269"/>
      <c r="H164" s="269"/>
      <c r="I164" s="269"/>
      <c r="J164" s="269"/>
      <c r="K164" s="269"/>
      <c r="L164" s="269"/>
      <c r="M164" s="269"/>
      <c r="N164" s="269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5">
      <c r="A165" s="149"/>
      <c r="B165" s="149" t="s">
        <v>61</v>
      </c>
      <c r="C165" s="182" t="s">
        <v>80</v>
      </c>
      <c r="D165" s="182" t="s">
        <v>81</v>
      </c>
      <c r="E165" s="182" t="s">
        <v>82</v>
      </c>
      <c r="F165" s="182" t="s">
        <v>83</v>
      </c>
      <c r="G165" s="182" t="s">
        <v>84</v>
      </c>
      <c r="H165" s="182" t="s">
        <v>85</v>
      </c>
      <c r="I165" s="182" t="s">
        <v>86</v>
      </c>
      <c r="J165" s="182" t="s">
        <v>87</v>
      </c>
      <c r="K165" s="182" t="s">
        <v>88</v>
      </c>
      <c r="L165" s="182" t="s">
        <v>89</v>
      </c>
      <c r="M165" s="182" t="s">
        <v>90</v>
      </c>
      <c r="N165" s="182" t="s">
        <v>91</v>
      </c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5">
      <c r="A166" s="149" t="s">
        <v>59</v>
      </c>
      <c r="B166" s="149" t="s">
        <v>92</v>
      </c>
      <c r="C166" s="150"/>
      <c r="D166" s="150"/>
      <c r="E166" s="150"/>
      <c r="F166" s="150"/>
      <c r="G166" s="150"/>
      <c r="H166" s="150"/>
      <c r="I166" s="150"/>
      <c r="J166" s="150"/>
      <c r="K166" s="150"/>
      <c r="L166" s="150"/>
      <c r="M166" s="150"/>
      <c r="N166" s="150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5">
      <c r="A167" s="151" t="s">
        <v>204</v>
      </c>
      <c r="B167" s="151" t="s">
        <v>206</v>
      </c>
      <c r="C167" s="245">
        <v>1.9E-2</v>
      </c>
      <c r="D167" s="245">
        <v>5.62E-3</v>
      </c>
      <c r="E167" s="245">
        <v>0</v>
      </c>
      <c r="F167" s="245">
        <v>1.338E-2</v>
      </c>
      <c r="G167" s="245">
        <v>1.137E-2</v>
      </c>
      <c r="H167" s="245">
        <v>6.9999999999999999E-4</v>
      </c>
      <c r="I167" s="245">
        <v>1.1999999999999999E-3</v>
      </c>
      <c r="J167" s="245">
        <v>9.4699999999999993E-3</v>
      </c>
      <c r="K167" s="245">
        <v>1.7610000000000001E-2</v>
      </c>
      <c r="L167" s="245">
        <v>3.1E-4</v>
      </c>
      <c r="M167" s="245">
        <v>1.82E-3</v>
      </c>
      <c r="N167" s="245">
        <v>1.5480000000000001E-2</v>
      </c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</row>
    <row r="169" spans="1:26" ht="15">
      <c r="B169" s="218" t="s">
        <v>139</v>
      </c>
      <c r="C169"/>
      <c r="D169"/>
      <c r="E169"/>
      <c r="F169"/>
      <c r="G169"/>
      <c r="H169"/>
      <c r="I169"/>
      <c r="J169"/>
      <c r="K169"/>
      <c r="L169"/>
      <c r="M169"/>
      <c r="N169"/>
    </row>
    <row r="170" spans="1:26">
      <c r="B170" s="275" t="s">
        <v>65</v>
      </c>
      <c r="C170" s="108" t="str">
        <f>TEXT(EDATE(D121,-1),"mmmm aaaa")</f>
        <v>junio 2025</v>
      </c>
      <c r="D170" s="108" t="str">
        <f t="shared" ref="D170:N170" si="40">TEXT(EDATE(E121,-1),"mmmm aaaa")</f>
        <v>julio 2025</v>
      </c>
      <c r="E170" s="108" t="str">
        <f t="shared" si="40"/>
        <v>agosto 2025</v>
      </c>
      <c r="F170" s="108" t="str">
        <f t="shared" si="40"/>
        <v>septiembre 2025</v>
      </c>
      <c r="G170" s="108" t="str">
        <f t="shared" si="40"/>
        <v>octubre 2025</v>
      </c>
      <c r="H170" s="108" t="str">
        <f t="shared" si="40"/>
        <v>noviembre 2025</v>
      </c>
      <c r="I170" s="108" t="str">
        <f t="shared" si="40"/>
        <v>diciembre 2025</v>
      </c>
      <c r="J170" s="108" t="str">
        <f t="shared" si="40"/>
        <v>enero 2026</v>
      </c>
      <c r="K170" s="108" t="str">
        <f t="shared" si="40"/>
        <v>febrero 2026</v>
      </c>
      <c r="L170" s="108" t="str">
        <f t="shared" si="40"/>
        <v>marzo 2026</v>
      </c>
      <c r="M170" s="108" t="str">
        <f t="shared" si="40"/>
        <v>abril 2026</v>
      </c>
      <c r="N170" s="108" t="str">
        <f t="shared" si="40"/>
        <v>mayo 2026</v>
      </c>
      <c r="O170" s="108" t="str">
        <f>A2</f>
        <v>Junio 2026</v>
      </c>
    </row>
    <row r="171" spans="1:26">
      <c r="B171" s="276"/>
      <c r="C171" s="116" t="str">
        <f>MID(UPPER(TEXT(C121,"mmm")),1,1)</f>
        <v>J</v>
      </c>
      <c r="D171" s="116" t="str">
        <f t="shared" ref="D171:N171" si="41">MID(UPPER(TEXT(D121,"mmm")),1,1)</f>
        <v>J</v>
      </c>
      <c r="E171" s="116" t="str">
        <f t="shared" si="41"/>
        <v>A</v>
      </c>
      <c r="F171" s="116" t="str">
        <f t="shared" si="41"/>
        <v>S</v>
      </c>
      <c r="G171" s="116" t="str">
        <f t="shared" si="41"/>
        <v>O</v>
      </c>
      <c r="H171" s="116" t="str">
        <f t="shared" si="41"/>
        <v>N</v>
      </c>
      <c r="I171" s="116" t="str">
        <f t="shared" si="41"/>
        <v>D</v>
      </c>
      <c r="J171" s="116" t="str">
        <f t="shared" si="41"/>
        <v>E</v>
      </c>
      <c r="K171" s="116" t="str">
        <f t="shared" si="41"/>
        <v>F</v>
      </c>
      <c r="L171" s="116" t="str">
        <f t="shared" si="41"/>
        <v>M</v>
      </c>
      <c r="M171" s="116" t="str">
        <f t="shared" si="41"/>
        <v>A</v>
      </c>
      <c r="N171" s="116" t="str">
        <f t="shared" si="41"/>
        <v>M</v>
      </c>
      <c r="O171" s="116" t="str">
        <f t="shared" ref="O171" si="42">MID(UPPER(TEXT(O121,"mmm")),1,1)</f>
        <v>J</v>
      </c>
    </row>
    <row r="172" spans="1:26" ht="14.45" customHeight="1">
      <c r="A172" s="277" t="s">
        <v>17</v>
      </c>
      <c r="B172" s="102" t="s">
        <v>95</v>
      </c>
      <c r="C172" s="216">
        <f>HLOOKUP(C$170,$86:$103,15,FALSE)*1000</f>
        <v>33.307000000000002</v>
      </c>
      <c r="D172" s="216">
        <f t="shared" ref="D172:O172" si="43">HLOOKUP(D$170,$86:$103,15,FALSE)*1000</f>
        <v>25.804000000000002</v>
      </c>
      <c r="E172" s="216">
        <f t="shared" si="43"/>
        <v>0</v>
      </c>
      <c r="F172" s="216">
        <f t="shared" si="43"/>
        <v>2.65</v>
      </c>
      <c r="G172" s="216">
        <f t="shared" si="43"/>
        <v>1.1019999999999999</v>
      </c>
      <c r="H172" s="216">
        <f t="shared" si="43"/>
        <v>1.536</v>
      </c>
      <c r="I172" s="216">
        <f t="shared" si="43"/>
        <v>0</v>
      </c>
      <c r="J172" s="216">
        <f t="shared" si="43"/>
        <v>0</v>
      </c>
      <c r="K172" s="216">
        <f t="shared" si="43"/>
        <v>0</v>
      </c>
      <c r="L172" s="216">
        <f t="shared" si="43"/>
        <v>0</v>
      </c>
      <c r="M172" s="216">
        <f t="shared" si="43"/>
        <v>0</v>
      </c>
      <c r="N172" s="216">
        <f t="shared" si="43"/>
        <v>0</v>
      </c>
      <c r="O172" s="216">
        <f t="shared" si="43"/>
        <v>0</v>
      </c>
      <c r="P172" s="201"/>
    </row>
    <row r="173" spans="1:26" ht="14.45" customHeight="1">
      <c r="A173" s="277"/>
      <c r="B173" s="102" t="s">
        <v>96</v>
      </c>
      <c r="C173" s="216">
        <f>HLOOKUP(C$121,$86:$103,16,FALSE)*1000</f>
        <v>-66.456000000000003</v>
      </c>
      <c r="D173" s="216">
        <f t="shared" ref="D173:O173" si="44">HLOOKUP(D$121,$86:$103,16,FALSE)*1000</f>
        <v>-84.402000000000001</v>
      </c>
      <c r="E173" s="216">
        <f t="shared" si="44"/>
        <v>-3.7090000000000001</v>
      </c>
      <c r="F173" s="216">
        <f t="shared" si="44"/>
        <v>-8.4089999999999989</v>
      </c>
      <c r="G173" s="216">
        <f t="shared" si="44"/>
        <v>-6.4119999999999999</v>
      </c>
      <c r="H173" s="216">
        <f t="shared" si="44"/>
        <v>-5.601</v>
      </c>
      <c r="I173" s="216">
        <f t="shared" si="44"/>
        <v>-4.0439999999999996</v>
      </c>
      <c r="J173" s="216">
        <f t="shared" si="44"/>
        <v>-0.38699999999999996</v>
      </c>
      <c r="K173" s="216">
        <f t="shared" si="44"/>
        <v>0</v>
      </c>
      <c r="L173" s="216">
        <f t="shared" si="44"/>
        <v>0</v>
      </c>
      <c r="M173" s="216">
        <f t="shared" si="44"/>
        <v>0</v>
      </c>
      <c r="N173" s="216">
        <f t="shared" si="44"/>
        <v>0</v>
      </c>
      <c r="O173" s="216">
        <f t="shared" si="44"/>
        <v>0</v>
      </c>
      <c r="P173" s="201"/>
    </row>
    <row r="174" spans="1:26" ht="14.45" customHeight="1">
      <c r="A174" s="277"/>
      <c r="B174" s="111" t="s">
        <v>122</v>
      </c>
      <c r="C174" s="217">
        <f>SUM(C172:C173)</f>
        <v>-33.149000000000001</v>
      </c>
      <c r="D174" s="217">
        <f t="shared" ref="D174:O174" si="45">SUM(D172:D173)</f>
        <v>-58.597999999999999</v>
      </c>
      <c r="E174" s="217">
        <f t="shared" si="45"/>
        <v>-3.7090000000000001</v>
      </c>
      <c r="F174" s="217">
        <f t="shared" si="45"/>
        <v>-5.7589999999999986</v>
      </c>
      <c r="G174" s="217">
        <f t="shared" si="45"/>
        <v>-5.3100000000000005</v>
      </c>
      <c r="H174" s="217">
        <f t="shared" si="45"/>
        <v>-4.0649999999999995</v>
      </c>
      <c r="I174" s="217">
        <f t="shared" si="45"/>
        <v>-4.0439999999999996</v>
      </c>
      <c r="J174" s="217">
        <f t="shared" si="45"/>
        <v>-0.38699999999999996</v>
      </c>
      <c r="K174" s="217">
        <f t="shared" si="45"/>
        <v>0</v>
      </c>
      <c r="L174" s="217">
        <f t="shared" si="45"/>
        <v>0</v>
      </c>
      <c r="M174" s="217">
        <f t="shared" si="45"/>
        <v>0</v>
      </c>
      <c r="N174" s="217">
        <f t="shared" si="45"/>
        <v>0</v>
      </c>
      <c r="O174" s="217">
        <f t="shared" si="45"/>
        <v>0</v>
      </c>
    </row>
    <row r="175" spans="1:26">
      <c r="A175" s="277" t="s">
        <v>16</v>
      </c>
      <c r="B175" s="102" t="s">
        <v>95</v>
      </c>
      <c r="C175" s="216">
        <f>HLOOKUP(C$170,$86:$116,29,FALSE)*1000</f>
        <v>0</v>
      </c>
      <c r="D175" s="216">
        <f t="shared" ref="D175:O175" si="46">HLOOKUP(D$170,$86:$116,29,FALSE)*1000</f>
        <v>0</v>
      </c>
      <c r="E175" s="216">
        <f t="shared" si="46"/>
        <v>0</v>
      </c>
      <c r="F175" s="216">
        <f t="shared" si="46"/>
        <v>0</v>
      </c>
      <c r="G175" s="216">
        <f t="shared" si="46"/>
        <v>0.63</v>
      </c>
      <c r="H175" s="216">
        <f t="shared" si="46"/>
        <v>5.5779999999999994</v>
      </c>
      <c r="I175" s="216">
        <f t="shared" si="46"/>
        <v>0.106</v>
      </c>
      <c r="J175" s="216">
        <f t="shared" si="46"/>
        <v>1E-3</v>
      </c>
      <c r="K175" s="216">
        <f t="shared" si="46"/>
        <v>37.019000000000005</v>
      </c>
      <c r="L175" s="216">
        <f t="shared" si="46"/>
        <v>4.1999999999999996E-2</v>
      </c>
      <c r="M175" s="216">
        <f t="shared" si="46"/>
        <v>0</v>
      </c>
      <c r="N175" s="216">
        <f t="shared" si="46"/>
        <v>7.093</v>
      </c>
      <c r="O175" s="216">
        <f t="shared" si="46"/>
        <v>1E-3</v>
      </c>
      <c r="P175" s="201"/>
    </row>
    <row r="176" spans="1:26">
      <c r="A176" s="277"/>
      <c r="B176" s="102" t="s">
        <v>96</v>
      </c>
      <c r="C176" s="216">
        <f>HLOOKUP(C$170,$86:$116,30,FALSE)*1000</f>
        <v>0</v>
      </c>
      <c r="D176" s="216">
        <f t="shared" ref="D176:O176" si="47">HLOOKUP(D$170,$86:$116,30,FALSE)*1000</f>
        <v>-1.466</v>
      </c>
      <c r="E176" s="216">
        <f t="shared" si="47"/>
        <v>-3.5109999999999997</v>
      </c>
      <c r="F176" s="216">
        <f t="shared" si="47"/>
        <v>-8.7720000000000002</v>
      </c>
      <c r="G176" s="216">
        <f t="shared" si="47"/>
        <v>-14.031000000000001</v>
      </c>
      <c r="H176" s="216">
        <f t="shared" si="47"/>
        <v>-17.222999999999999</v>
      </c>
      <c r="I176" s="216">
        <f t="shared" si="47"/>
        <v>-16.890999999999998</v>
      </c>
      <c r="J176" s="216">
        <f t="shared" si="47"/>
        <v>-11.673</v>
      </c>
      <c r="K176" s="216">
        <f t="shared" si="47"/>
        <v>-58.445999999999998</v>
      </c>
      <c r="L176" s="216">
        <f t="shared" si="47"/>
        <v>-13.491</v>
      </c>
      <c r="M176" s="216">
        <f t="shared" si="47"/>
        <v>-22.315000000000001</v>
      </c>
      <c r="N176" s="216">
        <f t="shared" si="47"/>
        <v>-22.401</v>
      </c>
      <c r="O176" s="216">
        <f t="shared" si="47"/>
        <v>-12.041</v>
      </c>
      <c r="P176" s="201"/>
    </row>
    <row r="177" spans="1:15">
      <c r="A177" s="277"/>
      <c r="B177" s="111" t="s">
        <v>122</v>
      </c>
      <c r="C177" s="217">
        <f>SUM(C175:C176)</f>
        <v>0</v>
      </c>
      <c r="D177" s="217">
        <f t="shared" ref="D177:O177" si="48">SUM(D175:D176)</f>
        <v>-1.466</v>
      </c>
      <c r="E177" s="217">
        <f t="shared" si="48"/>
        <v>-3.5109999999999997</v>
      </c>
      <c r="F177" s="217">
        <f t="shared" si="48"/>
        <v>-8.7720000000000002</v>
      </c>
      <c r="G177" s="217">
        <f t="shared" si="48"/>
        <v>-13.401</v>
      </c>
      <c r="H177" s="217">
        <f t="shared" si="48"/>
        <v>-11.645</v>
      </c>
      <c r="I177" s="217">
        <f t="shared" si="48"/>
        <v>-16.784999999999997</v>
      </c>
      <c r="J177" s="217">
        <f t="shared" si="48"/>
        <v>-11.672000000000001</v>
      </c>
      <c r="K177" s="217">
        <f t="shared" si="48"/>
        <v>-21.426999999999992</v>
      </c>
      <c r="L177" s="217">
        <f t="shared" si="48"/>
        <v>-13.449</v>
      </c>
      <c r="M177" s="217">
        <f t="shared" si="48"/>
        <v>-22.315000000000001</v>
      </c>
      <c r="N177" s="217">
        <f t="shared" si="48"/>
        <v>-15.308</v>
      </c>
      <c r="O177" s="217">
        <f t="shared" si="48"/>
        <v>-12.040000000000001</v>
      </c>
    </row>
    <row r="178" spans="1:15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5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ht="1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</row>
    <row r="182" spans="1:15" ht="1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</row>
    <row r="183" spans="1:15" ht="1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1:15" ht="1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1:15" ht="1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</row>
  </sheetData>
  <mergeCells count="18">
    <mergeCell ref="A175:A177"/>
    <mergeCell ref="A140:A155"/>
    <mergeCell ref="A123:A139"/>
    <mergeCell ref="B121:B122"/>
    <mergeCell ref="A88:A103"/>
    <mergeCell ref="B30:C30"/>
    <mergeCell ref="B170:B171"/>
    <mergeCell ref="A172:A174"/>
    <mergeCell ref="B29:C29"/>
    <mergeCell ref="C158:N158"/>
    <mergeCell ref="C164:N164"/>
    <mergeCell ref="A104:A117"/>
    <mergeCell ref="C85:U85"/>
    <mergeCell ref="B4:AG4"/>
    <mergeCell ref="B5:I5"/>
    <mergeCell ref="J5:Q5"/>
    <mergeCell ref="R5:Y5"/>
    <mergeCell ref="Z5:AG5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D67F-C713-496B-B28C-8C55E200B498}">
  <dimension ref="A1:O159"/>
  <sheetViews>
    <sheetView workbookViewId="0"/>
  </sheetViews>
  <sheetFormatPr baseColWidth="10" defaultRowHeight="15"/>
  <cols>
    <col min="1" max="1" width="26.7109375" bestFit="1" customWidth="1"/>
    <col min="2" max="2" width="17.7109375" bestFit="1" customWidth="1"/>
    <col min="3" max="3" width="17.5703125" bestFit="1" customWidth="1"/>
    <col min="4" max="4" width="10.5703125" bestFit="1" customWidth="1"/>
    <col min="5" max="5" width="14.140625" bestFit="1" customWidth="1"/>
    <col min="6" max="6" width="11.140625" bestFit="1" customWidth="1"/>
    <col min="7" max="7" width="13.42578125" bestFit="1" customWidth="1"/>
    <col min="8" max="8" width="12.85546875" bestFit="1" customWidth="1"/>
    <col min="9" max="9" width="9.42578125" bestFit="1" customWidth="1"/>
    <col min="10" max="10" width="11.140625" bestFit="1" customWidth="1"/>
    <col min="11" max="11" width="9.7109375" bestFit="1" customWidth="1"/>
    <col min="12" max="12" width="8.5703125" bestFit="1" customWidth="1"/>
    <col min="13" max="13" width="9" bestFit="1" customWidth="1"/>
    <col min="14" max="14" width="9.140625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204</v>
      </c>
      <c r="B2" s="127" t="s">
        <v>206</v>
      </c>
    </row>
    <row r="4" spans="1:15">
      <c r="A4" s="246" t="s">
        <v>156</v>
      </c>
      <c r="B4" s="246" t="s">
        <v>49</v>
      </c>
    </row>
    <row r="5" spans="1:15">
      <c r="A5" s="149" t="s">
        <v>61</v>
      </c>
      <c r="B5" s="278" t="s">
        <v>157</v>
      </c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</row>
    <row r="6" spans="1:15">
      <c r="A6" s="149" t="s">
        <v>59</v>
      </c>
      <c r="B6" s="182" t="s">
        <v>158</v>
      </c>
      <c r="C6" s="182" t="s">
        <v>159</v>
      </c>
      <c r="D6" s="182" t="s">
        <v>160</v>
      </c>
      <c r="E6" s="182" t="s">
        <v>161</v>
      </c>
      <c r="F6" s="182" t="s">
        <v>162</v>
      </c>
      <c r="G6" s="182" t="s">
        <v>163</v>
      </c>
      <c r="H6" s="182" t="s">
        <v>164</v>
      </c>
      <c r="I6" s="182" t="s">
        <v>165</v>
      </c>
      <c r="J6" s="182" t="s">
        <v>166</v>
      </c>
      <c r="K6" s="182" t="s">
        <v>167</v>
      </c>
      <c r="L6" s="182" t="s">
        <v>202</v>
      </c>
      <c r="M6" s="182" t="s">
        <v>205</v>
      </c>
      <c r="N6" s="182" t="s">
        <v>214</v>
      </c>
    </row>
    <row r="7" spans="1:15">
      <c r="A7" s="149" t="s">
        <v>168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47">
        <v>3.649</v>
      </c>
      <c r="C8" s="247">
        <v>3.649</v>
      </c>
      <c r="D8" s="247">
        <v>3.649</v>
      </c>
      <c r="E8" s="247">
        <v>3.649</v>
      </c>
      <c r="F8" s="247">
        <v>3.649</v>
      </c>
      <c r="G8" s="247">
        <v>3.649</v>
      </c>
      <c r="H8" s="247">
        <v>3.649</v>
      </c>
      <c r="I8" s="247">
        <v>3.649</v>
      </c>
      <c r="J8" s="247">
        <v>3.649</v>
      </c>
      <c r="K8" s="247">
        <v>3.649</v>
      </c>
      <c r="L8" s="247">
        <v>3.649</v>
      </c>
      <c r="M8" s="247">
        <v>3.649</v>
      </c>
      <c r="N8" s="247">
        <v>3.649</v>
      </c>
    </row>
    <row r="9" spans="1:15">
      <c r="A9" s="151" t="s">
        <v>5</v>
      </c>
      <c r="B9" s="247">
        <v>5.0000000000000001E-3</v>
      </c>
      <c r="C9" s="247">
        <v>5.0000000000000001E-3</v>
      </c>
      <c r="D9" s="247">
        <v>5.0000000000000001E-3</v>
      </c>
      <c r="E9" s="247">
        <v>5.0000000000000001E-3</v>
      </c>
      <c r="F9" s="247">
        <v>5.0000000000000001E-3</v>
      </c>
      <c r="G9" s="247">
        <v>5.0000000000000001E-3</v>
      </c>
      <c r="H9" s="247">
        <v>5.0000000000000001E-3</v>
      </c>
      <c r="I9" s="247">
        <v>5.0000000000000001E-3</v>
      </c>
      <c r="J9" s="247">
        <v>5.0000000000000001E-3</v>
      </c>
      <c r="K9" s="247">
        <v>5.0000000000000001E-3</v>
      </c>
      <c r="L9" s="247">
        <v>5.0000000000000001E-3</v>
      </c>
      <c r="M9" s="247">
        <v>5.0000000000000001E-3</v>
      </c>
      <c r="N9" s="247">
        <v>5.0000000000000001E-3</v>
      </c>
    </row>
    <row r="10" spans="1:15">
      <c r="A10" s="151" t="s">
        <v>169</v>
      </c>
      <c r="B10" s="247">
        <v>6.0759999999999996</v>
      </c>
      <c r="C10" s="247">
        <v>6.0759999999999996</v>
      </c>
      <c r="D10" s="247">
        <v>6.0759999999999996</v>
      </c>
      <c r="E10" s="247">
        <v>6.0759999999999996</v>
      </c>
      <c r="F10" s="247">
        <v>7.9160000000000004</v>
      </c>
      <c r="G10" s="247">
        <v>7.9160000000000004</v>
      </c>
      <c r="H10" s="247">
        <v>7.9160000000000004</v>
      </c>
      <c r="I10" s="247">
        <v>7.9160000000000004</v>
      </c>
      <c r="J10" s="247">
        <v>7.9160000000000004</v>
      </c>
      <c r="K10" s="247">
        <v>7.9160000000000004</v>
      </c>
      <c r="L10" s="247">
        <v>7.9160000000000004</v>
      </c>
      <c r="M10" s="247">
        <v>7.9160000000000004</v>
      </c>
      <c r="N10" s="247">
        <v>7.9160000000000004</v>
      </c>
    </row>
    <row r="11" spans="1:15">
      <c r="A11" s="151" t="s">
        <v>170</v>
      </c>
      <c r="B11" s="247">
        <v>174.46513400000001</v>
      </c>
      <c r="C11" s="247">
        <v>185.28137699999999</v>
      </c>
      <c r="D11" s="247">
        <v>186.80134699999999</v>
      </c>
      <c r="E11" s="247">
        <v>190.90189899999999</v>
      </c>
      <c r="F11" s="247">
        <v>194.67164399999999</v>
      </c>
      <c r="G11" s="247">
        <v>196.98689400000001</v>
      </c>
      <c r="H11" s="247">
        <v>199.305059</v>
      </c>
      <c r="I11" s="247">
        <v>201.20274900000001</v>
      </c>
      <c r="J11" s="247">
        <v>203.394689</v>
      </c>
      <c r="K11" s="247">
        <v>205.97694200000001</v>
      </c>
      <c r="L11" s="247">
        <v>209.23029700000001</v>
      </c>
      <c r="M11" s="247">
        <v>210.162372</v>
      </c>
      <c r="N11" s="247">
        <v>210.162372</v>
      </c>
    </row>
    <row r="12" spans="1:15">
      <c r="A12" s="151" t="s">
        <v>171</v>
      </c>
      <c r="B12" s="247">
        <v>5.0000000000000001E-3</v>
      </c>
      <c r="C12" s="247">
        <v>5.0000000000000001E-3</v>
      </c>
      <c r="D12" s="247">
        <v>5.0000000000000001E-3</v>
      </c>
      <c r="E12" s="247">
        <v>5.0000000000000001E-3</v>
      </c>
      <c r="F12" s="247">
        <v>5.0000000000000001E-3</v>
      </c>
      <c r="G12" s="247">
        <v>5.0000000000000001E-3</v>
      </c>
      <c r="H12" s="247">
        <v>5.0000000000000001E-3</v>
      </c>
      <c r="I12" s="247">
        <v>5.0000000000000001E-3</v>
      </c>
      <c r="J12" s="247">
        <v>5.0000000000000001E-3</v>
      </c>
      <c r="K12" s="247">
        <v>5.0000000000000001E-3</v>
      </c>
      <c r="L12" s="247">
        <v>5.0000000000000001E-3</v>
      </c>
      <c r="M12" s="247">
        <v>5.0000000000000001E-3</v>
      </c>
      <c r="N12" s="247">
        <v>5.0000000000000001E-3</v>
      </c>
    </row>
    <row r="13" spans="1:15">
      <c r="A13" s="248" t="s">
        <v>20</v>
      </c>
      <c r="B13" s="249">
        <v>184.20013399999999</v>
      </c>
      <c r="C13" s="249">
        <v>195.01637700000001</v>
      </c>
      <c r="D13" s="249">
        <v>196.53634700000001</v>
      </c>
      <c r="E13" s="249">
        <v>200.636899</v>
      </c>
      <c r="F13" s="249">
        <v>206.246644</v>
      </c>
      <c r="G13" s="249">
        <v>208.561894</v>
      </c>
      <c r="H13" s="249">
        <v>210.88005899999999</v>
      </c>
      <c r="I13" s="249">
        <v>212.777749</v>
      </c>
      <c r="J13" s="249">
        <v>214.96968899999999</v>
      </c>
      <c r="K13" s="249">
        <v>217.551942</v>
      </c>
      <c r="L13" s="249">
        <v>220.805297</v>
      </c>
      <c r="M13" s="249">
        <v>221.73737199999999</v>
      </c>
      <c r="N13" s="249">
        <v>221.73737199999999</v>
      </c>
      <c r="O13" s="225">
        <f>(+N13/B13-1)*100</f>
        <v>20.378507433659099</v>
      </c>
    </row>
    <row r="15" spans="1:15">
      <c r="A15" s="246" t="s">
        <v>156</v>
      </c>
      <c r="B15" s="246" t="s">
        <v>49</v>
      </c>
    </row>
    <row r="16" spans="1:15">
      <c r="A16" s="149" t="s">
        <v>61</v>
      </c>
      <c r="B16" s="278" t="s">
        <v>157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</row>
    <row r="17" spans="1:14">
      <c r="A17" s="149" t="s">
        <v>59</v>
      </c>
      <c r="B17" s="182" t="s">
        <v>158</v>
      </c>
      <c r="C17" s="182" t="s">
        <v>159</v>
      </c>
      <c r="D17" s="182" t="s">
        <v>160</v>
      </c>
      <c r="E17" s="182" t="s">
        <v>161</v>
      </c>
      <c r="F17" s="182" t="s">
        <v>162</v>
      </c>
      <c r="G17" s="182" t="s">
        <v>163</v>
      </c>
      <c r="H17" s="182" t="s">
        <v>164</v>
      </c>
      <c r="I17" s="182" t="s">
        <v>165</v>
      </c>
      <c r="J17" s="182" t="s">
        <v>166</v>
      </c>
      <c r="K17" s="182" t="s">
        <v>167</v>
      </c>
      <c r="L17" s="182" t="s">
        <v>202</v>
      </c>
      <c r="M17" s="182" t="s">
        <v>205</v>
      </c>
      <c r="N17" s="182" t="s">
        <v>214</v>
      </c>
    </row>
    <row r="18" spans="1:14">
      <c r="A18" s="149" t="s">
        <v>168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47">
        <v>241.2</v>
      </c>
      <c r="C19" s="247">
        <v>241.2</v>
      </c>
      <c r="D19" s="247">
        <v>241.2</v>
      </c>
      <c r="E19" s="247">
        <v>241.2</v>
      </c>
      <c r="F19" s="247">
        <v>241.2</v>
      </c>
      <c r="G19" s="247">
        <v>241.2</v>
      </c>
      <c r="H19" s="247">
        <v>241.2</v>
      </c>
      <c r="I19" s="247">
        <v>241.2</v>
      </c>
      <c r="J19" s="247">
        <v>241.2</v>
      </c>
      <c r="K19" s="247">
        <v>241.2</v>
      </c>
      <c r="L19" s="247">
        <v>241.2</v>
      </c>
      <c r="M19" s="247">
        <v>241.2</v>
      </c>
      <c r="N19" s="247">
        <v>241.2</v>
      </c>
    </row>
    <row r="20" spans="1:14">
      <c r="A20" s="151" t="s">
        <v>172</v>
      </c>
      <c r="B20" s="247">
        <v>822.9</v>
      </c>
      <c r="C20" s="247">
        <v>822.9</v>
      </c>
      <c r="D20" s="247">
        <v>822.9</v>
      </c>
      <c r="E20" s="247">
        <v>822.9</v>
      </c>
      <c r="F20" s="247">
        <v>822.9</v>
      </c>
      <c r="G20" s="247">
        <v>822.9</v>
      </c>
      <c r="H20" s="247">
        <v>822.9</v>
      </c>
      <c r="I20" s="247">
        <v>822.9</v>
      </c>
      <c r="J20" s="247">
        <v>822.9</v>
      </c>
      <c r="K20" s="247">
        <v>822.9</v>
      </c>
      <c r="L20" s="247">
        <v>822.9</v>
      </c>
      <c r="M20" s="247">
        <v>822.9</v>
      </c>
      <c r="N20" s="247">
        <v>822.9</v>
      </c>
    </row>
    <row r="21" spans="1:14">
      <c r="A21" s="151" t="s">
        <v>23</v>
      </c>
      <c r="B21" s="247">
        <v>11.523</v>
      </c>
      <c r="C21" s="247">
        <v>10.523</v>
      </c>
      <c r="D21" s="247">
        <v>10.523</v>
      </c>
      <c r="E21" s="247">
        <v>10.523</v>
      </c>
      <c r="F21" s="247">
        <v>10.523</v>
      </c>
      <c r="G21" s="247">
        <v>10.523</v>
      </c>
      <c r="H21" s="247">
        <v>10.523</v>
      </c>
      <c r="I21" s="247">
        <v>10.523</v>
      </c>
      <c r="J21" s="247">
        <v>10.523</v>
      </c>
      <c r="K21" s="247">
        <v>10.523</v>
      </c>
      <c r="L21" s="247">
        <v>10.523</v>
      </c>
      <c r="M21" s="247">
        <v>10.523</v>
      </c>
      <c r="N21" s="247">
        <v>10.523</v>
      </c>
    </row>
    <row r="22" spans="1:14">
      <c r="A22" s="151" t="s">
        <v>5</v>
      </c>
      <c r="B22" s="247">
        <v>3.5625</v>
      </c>
      <c r="C22" s="247">
        <v>3.5625</v>
      </c>
      <c r="D22" s="247">
        <v>3.5625</v>
      </c>
      <c r="E22" s="247">
        <v>3.5625</v>
      </c>
      <c r="F22" s="247">
        <v>3.5625</v>
      </c>
      <c r="G22" s="247">
        <v>3.5625</v>
      </c>
      <c r="H22" s="247">
        <v>3.5625</v>
      </c>
      <c r="I22" s="247">
        <v>3.5625</v>
      </c>
      <c r="J22" s="247">
        <v>3.5625</v>
      </c>
      <c r="K22" s="247">
        <v>3.5625</v>
      </c>
      <c r="L22" s="247">
        <v>3.5625</v>
      </c>
      <c r="M22" s="247">
        <v>3.5625</v>
      </c>
      <c r="N22" s="247">
        <v>3.5625</v>
      </c>
    </row>
    <row r="23" spans="1:14">
      <c r="A23" s="151" t="s">
        <v>173</v>
      </c>
      <c r="B23" s="247">
        <v>139.4</v>
      </c>
      <c r="C23" s="247">
        <v>139.4</v>
      </c>
      <c r="D23" s="247">
        <v>139.4</v>
      </c>
      <c r="E23" s="247">
        <v>139.4</v>
      </c>
      <c r="F23" s="247">
        <v>139.4</v>
      </c>
      <c r="G23" s="247">
        <v>139.4</v>
      </c>
      <c r="H23" s="247">
        <v>139.4</v>
      </c>
      <c r="I23" s="247">
        <v>139.4</v>
      </c>
      <c r="J23" s="247">
        <v>139.4</v>
      </c>
      <c r="K23" s="247">
        <v>139.4</v>
      </c>
      <c r="L23" s="247">
        <v>139.4</v>
      </c>
      <c r="M23" s="247">
        <v>139.4</v>
      </c>
      <c r="N23" s="247">
        <v>139.4</v>
      </c>
    </row>
    <row r="24" spans="1:14">
      <c r="A24" s="151" t="s">
        <v>169</v>
      </c>
      <c r="B24" s="247">
        <v>7.9160000000000004</v>
      </c>
      <c r="C24" s="247">
        <v>7.9160000000000004</v>
      </c>
      <c r="D24" s="247">
        <v>7.9160000000000004</v>
      </c>
      <c r="E24" s="247">
        <v>7.9160000000000004</v>
      </c>
      <c r="F24" s="247">
        <v>7.9160000000000004</v>
      </c>
      <c r="G24" s="247">
        <v>7.9160000000000004</v>
      </c>
      <c r="H24" s="247">
        <v>7.9160000000000004</v>
      </c>
      <c r="I24" s="247">
        <v>7.9160000000000004</v>
      </c>
      <c r="J24" s="247">
        <v>7.9160000000000004</v>
      </c>
      <c r="K24" s="247">
        <v>7.9160000000000004</v>
      </c>
      <c r="L24" s="247">
        <v>7.9160000000000004</v>
      </c>
      <c r="M24" s="247">
        <v>7.9160000000000004</v>
      </c>
      <c r="N24" s="247">
        <v>7.9160000000000004</v>
      </c>
    </row>
    <row r="25" spans="1:14">
      <c r="A25" s="151" t="s">
        <v>174</v>
      </c>
      <c r="B25" s="247">
        <v>37.4</v>
      </c>
      <c r="C25" s="247">
        <v>37.4</v>
      </c>
      <c r="D25" s="247">
        <v>37.4</v>
      </c>
      <c r="E25" s="247">
        <v>37.4</v>
      </c>
      <c r="F25" s="247">
        <v>37.4</v>
      </c>
      <c r="G25" s="247">
        <v>37.4</v>
      </c>
      <c r="H25" s="247">
        <v>37.4</v>
      </c>
      <c r="I25" s="247">
        <v>37.4</v>
      </c>
      <c r="J25" s="247">
        <v>37.4</v>
      </c>
      <c r="K25" s="247">
        <v>37.4</v>
      </c>
      <c r="L25" s="247">
        <v>37.4</v>
      </c>
      <c r="M25" s="247">
        <v>37.4</v>
      </c>
      <c r="N25" s="247">
        <v>37.4</v>
      </c>
    </row>
    <row r="26" spans="1:14">
      <c r="A26" s="151" t="s">
        <v>175</v>
      </c>
      <c r="B26" s="247">
        <v>37.4</v>
      </c>
      <c r="C26" s="247">
        <v>37.4</v>
      </c>
      <c r="D26" s="247">
        <v>37.4</v>
      </c>
      <c r="E26" s="247">
        <v>37.4</v>
      </c>
      <c r="F26" s="247">
        <v>37.4</v>
      </c>
      <c r="G26" s="247">
        <v>37.4</v>
      </c>
      <c r="H26" s="247">
        <v>37.4</v>
      </c>
      <c r="I26" s="247">
        <v>37.4</v>
      </c>
      <c r="J26" s="247">
        <v>37.4</v>
      </c>
      <c r="K26" s="247">
        <v>37.4</v>
      </c>
      <c r="L26" s="247">
        <v>37.4</v>
      </c>
      <c r="M26" s="247">
        <v>37.4</v>
      </c>
      <c r="N26" s="247">
        <v>37.4</v>
      </c>
    </row>
    <row r="27" spans="1:14">
      <c r="A27" s="151" t="s">
        <v>170</v>
      </c>
      <c r="B27" s="247">
        <v>526.276659</v>
      </c>
      <c r="C27" s="247">
        <v>528.50546199999997</v>
      </c>
      <c r="D27" s="247">
        <v>530.02543200000002</v>
      </c>
      <c r="E27" s="247">
        <v>543.54608399999995</v>
      </c>
      <c r="F27" s="247">
        <v>547.41582900000003</v>
      </c>
      <c r="G27" s="247">
        <v>549.58607900000004</v>
      </c>
      <c r="H27" s="247">
        <v>551.80424400000004</v>
      </c>
      <c r="I27" s="247">
        <v>553.70193400000005</v>
      </c>
      <c r="J27" s="247">
        <v>555.79387399999996</v>
      </c>
      <c r="K27" s="247">
        <v>611.19712700000002</v>
      </c>
      <c r="L27" s="247">
        <v>614.45048199999997</v>
      </c>
      <c r="M27" s="247">
        <v>632.18255699999997</v>
      </c>
      <c r="N27" s="247">
        <v>632.18255699999997</v>
      </c>
    </row>
    <row r="28" spans="1:14">
      <c r="A28" s="151" t="s">
        <v>171</v>
      </c>
      <c r="B28" s="247">
        <v>5.0000000000000001E-3</v>
      </c>
      <c r="C28" s="247">
        <v>5.0000000000000001E-3</v>
      </c>
      <c r="D28" s="247">
        <v>5.0000000000000001E-3</v>
      </c>
      <c r="E28" s="247">
        <v>5.0000000000000001E-3</v>
      </c>
      <c r="F28" s="247">
        <v>5.0000000000000001E-3</v>
      </c>
      <c r="G28" s="247">
        <v>5.0000000000000001E-3</v>
      </c>
      <c r="H28" s="247">
        <v>5.0000000000000001E-3</v>
      </c>
      <c r="I28" s="247">
        <v>5.0000000000000001E-3</v>
      </c>
      <c r="J28" s="247">
        <v>5.0000000000000001E-3</v>
      </c>
      <c r="K28" s="247">
        <v>5.0000000000000001E-3</v>
      </c>
      <c r="L28" s="247">
        <v>5.0000000000000001E-3</v>
      </c>
      <c r="M28" s="247">
        <v>5.0000000000000001E-3</v>
      </c>
      <c r="N28" s="247">
        <v>5.0000000000000001E-3</v>
      </c>
    </row>
    <row r="29" spans="1:14">
      <c r="A29" s="151" t="s">
        <v>176</v>
      </c>
      <c r="B29" s="247">
        <v>603.1</v>
      </c>
      <c r="C29" s="247">
        <v>591.6</v>
      </c>
      <c r="D29" s="247">
        <v>591.6</v>
      </c>
      <c r="E29" s="247">
        <v>591.6</v>
      </c>
      <c r="F29" s="247">
        <v>591.6</v>
      </c>
      <c r="G29" s="247">
        <v>591.6</v>
      </c>
      <c r="H29" s="247">
        <v>591.6</v>
      </c>
      <c r="I29" s="247">
        <v>591.6</v>
      </c>
      <c r="J29" s="247">
        <v>591.6</v>
      </c>
      <c r="K29" s="247">
        <v>591.6</v>
      </c>
      <c r="L29" s="247">
        <v>591.6</v>
      </c>
      <c r="M29" s="247">
        <v>591.6</v>
      </c>
      <c r="N29" s="247">
        <v>591.6</v>
      </c>
    </row>
    <row r="30" spans="1:14">
      <c r="A30" s="151" t="s">
        <v>121</v>
      </c>
      <c r="B30" s="247">
        <v>1.2</v>
      </c>
      <c r="C30" s="247">
        <v>1.2</v>
      </c>
      <c r="D30" s="247">
        <v>1.2</v>
      </c>
      <c r="E30" s="247">
        <v>1.2</v>
      </c>
      <c r="F30" s="247">
        <v>1.2</v>
      </c>
      <c r="G30" s="247">
        <v>1.2</v>
      </c>
      <c r="H30" s="247">
        <v>1.2</v>
      </c>
      <c r="I30" s="247">
        <v>1.2</v>
      </c>
      <c r="J30" s="247">
        <v>1.2</v>
      </c>
      <c r="K30" s="247">
        <v>1.2</v>
      </c>
      <c r="L30" s="247">
        <v>1.2</v>
      </c>
      <c r="M30" s="247">
        <v>1.2</v>
      </c>
      <c r="N30" s="247">
        <v>1.2</v>
      </c>
    </row>
    <row r="31" spans="1:14">
      <c r="A31" s="248" t="s">
        <v>20</v>
      </c>
      <c r="B31" s="249">
        <v>2431.883159</v>
      </c>
      <c r="C31" s="249">
        <v>2421.6119619999999</v>
      </c>
      <c r="D31" s="249">
        <v>2423.1319319999998</v>
      </c>
      <c r="E31" s="249">
        <v>2436.6525839999999</v>
      </c>
      <c r="F31" s="249">
        <v>2440.5223289999999</v>
      </c>
      <c r="G31" s="249">
        <v>2442.692579</v>
      </c>
      <c r="H31" s="249">
        <v>2444.9107439999998</v>
      </c>
      <c r="I31" s="249">
        <v>2446.808434</v>
      </c>
      <c r="J31" s="249">
        <v>2448.9003739999998</v>
      </c>
      <c r="K31" s="249">
        <v>2504.3036269999998</v>
      </c>
      <c r="L31" s="249">
        <v>2507.5569820000001</v>
      </c>
      <c r="M31" s="249">
        <v>2525.289057</v>
      </c>
      <c r="N31" s="249">
        <v>2525.289057</v>
      </c>
    </row>
    <row r="33" spans="1:15">
      <c r="A33" s="213" t="s">
        <v>177</v>
      </c>
    </row>
    <row r="34" spans="1:15">
      <c r="A34" s="226" t="s">
        <v>59</v>
      </c>
      <c r="B34" s="226" t="str">
        <f>MID(UPPER(TEXT(B6,"mmm")),6,1)</f>
        <v>J</v>
      </c>
      <c r="C34" s="226" t="str">
        <f t="shared" ref="C34:N34" si="0">MID(UPPER(TEXT(C6,"mmm")),6,1)</f>
        <v>J</v>
      </c>
      <c r="D34" s="226" t="str">
        <f t="shared" si="0"/>
        <v>A</v>
      </c>
      <c r="E34" s="226" t="str">
        <f t="shared" si="0"/>
        <v>S</v>
      </c>
      <c r="F34" s="226" t="str">
        <f t="shared" si="0"/>
        <v>O</v>
      </c>
      <c r="G34" s="226" t="str">
        <f t="shared" si="0"/>
        <v>N</v>
      </c>
      <c r="H34" s="226" t="str">
        <f t="shared" si="0"/>
        <v>D</v>
      </c>
      <c r="I34" s="226" t="str">
        <f t="shared" si="0"/>
        <v>E</v>
      </c>
      <c r="J34" s="226" t="str">
        <f t="shared" si="0"/>
        <v>F</v>
      </c>
      <c r="K34" s="226" t="str">
        <f t="shared" si="0"/>
        <v>M</v>
      </c>
      <c r="L34" s="226" t="str">
        <f t="shared" si="0"/>
        <v>A</v>
      </c>
      <c r="M34" s="226" t="str">
        <f t="shared" si="0"/>
        <v>M</v>
      </c>
      <c r="N34" s="226" t="str">
        <f t="shared" si="0"/>
        <v>J</v>
      </c>
    </row>
    <row r="35" spans="1:15">
      <c r="A35" s="227" t="s">
        <v>178</v>
      </c>
      <c r="B35" s="228">
        <f>B13/B31*100</f>
        <v>7.5743825651452683</v>
      </c>
      <c r="C35" s="228">
        <f t="shared" ref="C35:M35" si="1">C13/C31*100</f>
        <v>8.0531637628241945</v>
      </c>
      <c r="D35" s="228">
        <f t="shared" si="1"/>
        <v>8.1108397113888557</v>
      </c>
      <c r="E35" s="228">
        <f t="shared" si="1"/>
        <v>8.2341200513138073</v>
      </c>
      <c r="F35" s="228">
        <f t="shared" si="1"/>
        <v>8.4509222287881816</v>
      </c>
      <c r="G35" s="228">
        <f t="shared" si="1"/>
        <v>8.5381965701710172</v>
      </c>
      <c r="H35" s="228">
        <f t="shared" si="1"/>
        <v>8.6252661581825016</v>
      </c>
      <c r="I35" s="228">
        <f t="shared" si="1"/>
        <v>8.6961343619432689</v>
      </c>
      <c r="J35" s="228">
        <f t="shared" si="1"/>
        <v>8.7782129188404454</v>
      </c>
      <c r="K35" s="228">
        <f t="shared" si="1"/>
        <v>8.6871232247750125</v>
      </c>
      <c r="L35" s="228">
        <f t="shared" si="1"/>
        <v>8.8055943926701161</v>
      </c>
      <c r="M35" s="228">
        <f t="shared" si="1"/>
        <v>8.7806729049632111</v>
      </c>
      <c r="N35" s="228">
        <f>N13/N31*100</f>
        <v>8.7806729049632111</v>
      </c>
    </row>
    <row r="37" spans="1:15">
      <c r="A37" s="246" t="s">
        <v>156</v>
      </c>
      <c r="B37" s="246" t="s">
        <v>50</v>
      </c>
    </row>
    <row r="38" spans="1:15">
      <c r="A38" s="149" t="s">
        <v>61</v>
      </c>
      <c r="B38" s="278" t="s">
        <v>157</v>
      </c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</row>
    <row r="39" spans="1:15">
      <c r="A39" s="149" t="s">
        <v>59</v>
      </c>
      <c r="B39" s="182" t="s">
        <v>158</v>
      </c>
      <c r="C39" s="182" t="s">
        <v>159</v>
      </c>
      <c r="D39" s="182" t="s">
        <v>160</v>
      </c>
      <c r="E39" s="182" t="s">
        <v>161</v>
      </c>
      <c r="F39" s="182" t="s">
        <v>162</v>
      </c>
      <c r="G39" s="182" t="s">
        <v>163</v>
      </c>
      <c r="H39" s="182" t="s">
        <v>164</v>
      </c>
      <c r="I39" s="182" t="s">
        <v>165</v>
      </c>
      <c r="J39" s="182" t="s">
        <v>166</v>
      </c>
      <c r="K39" s="182" t="s">
        <v>167</v>
      </c>
      <c r="L39" s="182" t="s">
        <v>202</v>
      </c>
      <c r="M39" s="182" t="s">
        <v>205</v>
      </c>
      <c r="N39" s="182" t="s">
        <v>214</v>
      </c>
    </row>
    <row r="40" spans="1:15">
      <c r="A40" s="149" t="s">
        <v>168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47">
        <v>13.49</v>
      </c>
      <c r="C41" s="247">
        <v>13.49</v>
      </c>
      <c r="D41" s="247">
        <v>13.49</v>
      </c>
      <c r="E41" s="247">
        <v>13.49</v>
      </c>
      <c r="F41" s="247">
        <v>18.11</v>
      </c>
      <c r="G41" s="247">
        <v>18.11</v>
      </c>
      <c r="H41" s="247">
        <v>18.11</v>
      </c>
      <c r="I41" s="247">
        <v>18.11</v>
      </c>
      <c r="J41" s="247">
        <v>18.11</v>
      </c>
      <c r="K41" s="247">
        <v>18.11</v>
      </c>
      <c r="L41" s="247">
        <v>18.11</v>
      </c>
      <c r="M41" s="247">
        <v>18.11</v>
      </c>
      <c r="N41" s="247">
        <v>18.11</v>
      </c>
    </row>
    <row r="42" spans="1:15">
      <c r="A42" s="151" t="s">
        <v>12</v>
      </c>
      <c r="B42" s="247">
        <v>1.4999999999999999E-2</v>
      </c>
      <c r="C42" s="247">
        <v>1.4999999999999999E-2</v>
      </c>
      <c r="D42" s="247">
        <v>1.4999999999999999E-2</v>
      </c>
      <c r="E42" s="247">
        <v>1.4999999999999999E-2</v>
      </c>
      <c r="F42" s="247">
        <v>1.4999999999999999E-2</v>
      </c>
      <c r="G42" s="247">
        <v>1.4999999999999999E-2</v>
      </c>
      <c r="H42" s="247">
        <v>1.4999999999999999E-2</v>
      </c>
      <c r="I42" s="247">
        <v>1.4999999999999999E-2</v>
      </c>
      <c r="J42" s="247">
        <v>1.4999999999999999E-2</v>
      </c>
      <c r="K42" s="247">
        <v>1.4999999999999999E-2</v>
      </c>
      <c r="L42" s="247">
        <v>1.4999999999999999E-2</v>
      </c>
      <c r="M42" s="247">
        <v>1.4999999999999999E-2</v>
      </c>
      <c r="N42" s="247">
        <v>1.4999999999999999E-2</v>
      </c>
    </row>
    <row r="43" spans="1:15">
      <c r="A43" s="151" t="s">
        <v>169</v>
      </c>
      <c r="B43" s="247">
        <v>5.0119999999999996</v>
      </c>
      <c r="C43" s="247">
        <v>5.0119999999999996</v>
      </c>
      <c r="D43" s="247">
        <v>5.0119999999999996</v>
      </c>
      <c r="E43" s="247">
        <v>5.0119999999999996</v>
      </c>
      <c r="F43" s="247">
        <v>5.0119999999999996</v>
      </c>
      <c r="G43" s="247">
        <v>5.0119999999999996</v>
      </c>
      <c r="H43" s="247">
        <v>5.0119999999999996</v>
      </c>
      <c r="I43" s="247">
        <v>5.0119999999999996</v>
      </c>
      <c r="J43" s="247">
        <v>5.0119999999999996</v>
      </c>
      <c r="K43" s="247">
        <v>5.0119999999999996</v>
      </c>
      <c r="L43" s="247">
        <v>5.0119999999999996</v>
      </c>
      <c r="M43" s="247">
        <v>5.0119999999999996</v>
      </c>
      <c r="N43" s="247">
        <v>5.0119999999999996</v>
      </c>
    </row>
    <row r="44" spans="1:15">
      <c r="A44" s="151" t="s">
        <v>170</v>
      </c>
      <c r="B44" s="247">
        <v>140.19507999999999</v>
      </c>
      <c r="C44" s="247">
        <v>142.705162</v>
      </c>
      <c r="D44" s="247">
        <v>145.084237</v>
      </c>
      <c r="E44" s="247">
        <v>148.05544699999999</v>
      </c>
      <c r="F44" s="247">
        <v>150.09755200000001</v>
      </c>
      <c r="G44" s="247">
        <v>152.34663699999999</v>
      </c>
      <c r="H44" s="247">
        <v>154.60328899999999</v>
      </c>
      <c r="I44" s="247">
        <v>156.371689</v>
      </c>
      <c r="J44" s="247">
        <v>158.99987899999999</v>
      </c>
      <c r="K44" s="247">
        <v>161.03537900000001</v>
      </c>
      <c r="L44" s="247">
        <v>163.03354400000001</v>
      </c>
      <c r="M44" s="247">
        <v>163.82671400000001</v>
      </c>
      <c r="N44" s="247">
        <v>163.82671400000001</v>
      </c>
    </row>
    <row r="45" spans="1:15">
      <c r="A45" s="151" t="s">
        <v>171</v>
      </c>
      <c r="B45" s="247">
        <v>4.2999999999999997E-2</v>
      </c>
      <c r="C45" s="247">
        <v>4.2999999999999997E-2</v>
      </c>
      <c r="D45" s="247">
        <v>4.2999999999999997E-2</v>
      </c>
      <c r="E45" s="247">
        <v>5.2999999999999999E-2</v>
      </c>
      <c r="F45" s="247">
        <v>5.2999999999999999E-2</v>
      </c>
      <c r="G45" s="247">
        <v>5.2999999999999999E-2</v>
      </c>
      <c r="H45" s="247">
        <v>7.2900000000000006E-2</v>
      </c>
      <c r="I45" s="247">
        <v>7.2900000000000006E-2</v>
      </c>
      <c r="J45" s="247">
        <v>7.2900000000000006E-2</v>
      </c>
      <c r="K45" s="247">
        <v>7.2900000000000006E-2</v>
      </c>
      <c r="L45" s="247">
        <v>7.2900000000000006E-2</v>
      </c>
      <c r="M45" s="247">
        <v>7.2900000000000006E-2</v>
      </c>
      <c r="N45" s="247">
        <v>7.2900000000000006E-2</v>
      </c>
    </row>
    <row r="46" spans="1:15">
      <c r="A46" s="248" t="s">
        <v>20</v>
      </c>
      <c r="B46" s="249">
        <v>158.75507999999999</v>
      </c>
      <c r="C46" s="249">
        <v>161.265162</v>
      </c>
      <c r="D46" s="249">
        <v>163.644237</v>
      </c>
      <c r="E46" s="249">
        <v>166.62544700000001</v>
      </c>
      <c r="F46" s="249">
        <v>173.28755200000001</v>
      </c>
      <c r="G46" s="249">
        <v>175.53663700000001</v>
      </c>
      <c r="H46" s="249">
        <v>177.81318899999999</v>
      </c>
      <c r="I46" s="249">
        <v>179.58158900000001</v>
      </c>
      <c r="J46" s="249">
        <v>182.209779</v>
      </c>
      <c r="K46" s="249">
        <v>184.24527900000001</v>
      </c>
      <c r="L46" s="249">
        <v>186.24344400000001</v>
      </c>
      <c r="M46" s="249">
        <v>187.03661399999999</v>
      </c>
      <c r="N46" s="249">
        <v>187.03661399999999</v>
      </c>
      <c r="O46" s="225">
        <f>(+N46/B46-1)*100</f>
        <v>17.814569461336283</v>
      </c>
    </row>
    <row r="48" spans="1:15">
      <c r="A48" s="246" t="s">
        <v>156</v>
      </c>
      <c r="B48" s="246" t="s">
        <v>50</v>
      </c>
    </row>
    <row r="49" spans="1:14">
      <c r="A49" s="149" t="s">
        <v>61</v>
      </c>
      <c r="B49" s="278" t="s">
        <v>157</v>
      </c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</row>
    <row r="50" spans="1:14">
      <c r="A50" s="149" t="s">
        <v>59</v>
      </c>
      <c r="B50" s="182" t="s">
        <v>158</v>
      </c>
      <c r="C50" s="182" t="s">
        <v>159</v>
      </c>
      <c r="D50" s="182" t="s">
        <v>160</v>
      </c>
      <c r="E50" s="182" t="s">
        <v>161</v>
      </c>
      <c r="F50" s="182" t="s">
        <v>162</v>
      </c>
      <c r="G50" s="182" t="s">
        <v>163</v>
      </c>
      <c r="H50" s="182" t="s">
        <v>164</v>
      </c>
      <c r="I50" s="182" t="s">
        <v>165</v>
      </c>
      <c r="J50" s="182" t="s">
        <v>166</v>
      </c>
      <c r="K50" s="182" t="s">
        <v>167</v>
      </c>
      <c r="L50" s="182" t="s">
        <v>202</v>
      </c>
      <c r="M50" s="182" t="s">
        <v>205</v>
      </c>
      <c r="N50" s="182" t="s">
        <v>214</v>
      </c>
    </row>
    <row r="51" spans="1:14">
      <c r="A51" s="149" t="s">
        <v>168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172</v>
      </c>
      <c r="B52" s="247">
        <v>865.4</v>
      </c>
      <c r="C52" s="247">
        <v>865.4</v>
      </c>
      <c r="D52" s="247">
        <v>865.4</v>
      </c>
      <c r="E52" s="247">
        <v>865.4</v>
      </c>
      <c r="F52" s="247">
        <v>865.4</v>
      </c>
      <c r="G52" s="247">
        <v>865.4</v>
      </c>
      <c r="H52" s="247">
        <v>865.4</v>
      </c>
      <c r="I52" s="247">
        <v>865.4</v>
      </c>
      <c r="J52" s="247">
        <v>865.4</v>
      </c>
      <c r="K52" s="247">
        <v>865.4</v>
      </c>
      <c r="L52" s="247">
        <v>865.4</v>
      </c>
      <c r="M52" s="247">
        <v>865.4</v>
      </c>
      <c r="N52" s="247">
        <v>865.4</v>
      </c>
    </row>
    <row r="53" spans="1:14">
      <c r="A53" s="151" t="s">
        <v>23</v>
      </c>
      <c r="B53" s="247">
        <v>38.200000000000003</v>
      </c>
      <c r="C53" s="247">
        <v>38.200000000000003</v>
      </c>
      <c r="D53" s="247">
        <v>38.200000000000003</v>
      </c>
      <c r="E53" s="247">
        <v>38.200000000000003</v>
      </c>
      <c r="F53" s="247">
        <v>38.200000000000003</v>
      </c>
      <c r="G53" s="247">
        <v>38.200000000000003</v>
      </c>
      <c r="H53" s="247">
        <v>38.200000000000003</v>
      </c>
      <c r="I53" s="247">
        <v>38.200000000000003</v>
      </c>
      <c r="J53" s="247">
        <v>38.200000000000003</v>
      </c>
      <c r="K53" s="247">
        <v>38.200000000000003</v>
      </c>
      <c r="L53" s="247">
        <v>38.200000000000003</v>
      </c>
      <c r="M53" s="247">
        <v>38.200000000000003</v>
      </c>
      <c r="N53" s="247">
        <v>38.200000000000003</v>
      </c>
    </row>
    <row r="54" spans="1:14">
      <c r="A54" s="151" t="s">
        <v>5</v>
      </c>
      <c r="B54" s="247">
        <v>658.98500000000001</v>
      </c>
      <c r="C54" s="247">
        <v>657.86</v>
      </c>
      <c r="D54" s="247">
        <v>657.86</v>
      </c>
      <c r="E54" s="247">
        <v>660.21</v>
      </c>
      <c r="F54" s="247">
        <v>660.21</v>
      </c>
      <c r="G54" s="247">
        <v>660.21</v>
      </c>
      <c r="H54" s="247">
        <v>678.43499999999995</v>
      </c>
      <c r="I54" s="247">
        <v>677.53499999999997</v>
      </c>
      <c r="J54" s="247">
        <v>677.53499999999997</v>
      </c>
      <c r="K54" s="247">
        <v>677.53499999999997</v>
      </c>
      <c r="L54" s="247">
        <v>677.53499999999997</v>
      </c>
      <c r="M54" s="247">
        <v>677.53499999999997</v>
      </c>
      <c r="N54" s="247">
        <v>677.53499999999997</v>
      </c>
    </row>
    <row r="55" spans="1:14">
      <c r="A55" s="151" t="s">
        <v>12</v>
      </c>
      <c r="B55" s="247">
        <v>1.5349999999999999</v>
      </c>
      <c r="C55" s="247">
        <v>0.77800000000000002</v>
      </c>
      <c r="D55" s="247">
        <v>0.77800000000000002</v>
      </c>
      <c r="E55" s="247">
        <v>0.77800000000000002</v>
      </c>
      <c r="F55" s="247">
        <v>0.77800000000000002</v>
      </c>
      <c r="G55" s="247">
        <v>0.77800000000000002</v>
      </c>
      <c r="H55" s="247">
        <v>0.77800000000000002</v>
      </c>
      <c r="I55" s="247">
        <v>0.77800000000000002</v>
      </c>
      <c r="J55" s="247">
        <v>0.77800000000000002</v>
      </c>
      <c r="K55" s="247">
        <v>0.77800000000000002</v>
      </c>
      <c r="L55" s="247">
        <v>0.77800000000000002</v>
      </c>
      <c r="M55" s="247">
        <v>0.77800000000000002</v>
      </c>
      <c r="N55" s="247">
        <v>0.77800000000000002</v>
      </c>
    </row>
    <row r="56" spans="1:14">
      <c r="A56" s="151" t="s">
        <v>6</v>
      </c>
      <c r="B56" s="247">
        <v>11.32</v>
      </c>
      <c r="C56" s="247">
        <v>11.32</v>
      </c>
      <c r="D56" s="247">
        <v>11.32</v>
      </c>
      <c r="E56" s="247">
        <v>11.32</v>
      </c>
      <c r="F56" s="247">
        <v>11.32</v>
      </c>
      <c r="G56" s="247">
        <v>11.32</v>
      </c>
      <c r="H56" s="247">
        <v>11.32</v>
      </c>
      <c r="I56" s="247">
        <v>11.32</v>
      </c>
      <c r="J56" s="247">
        <v>11.32</v>
      </c>
      <c r="K56" s="247">
        <v>11.32</v>
      </c>
      <c r="L56" s="247">
        <v>11.32</v>
      </c>
      <c r="M56" s="247">
        <v>11.32</v>
      </c>
      <c r="N56" s="247">
        <v>11.32</v>
      </c>
    </row>
    <row r="57" spans="1:14">
      <c r="A57" s="151" t="s">
        <v>173</v>
      </c>
      <c r="B57" s="247">
        <v>487.64</v>
      </c>
      <c r="C57" s="247">
        <v>487.64</v>
      </c>
      <c r="D57" s="247">
        <v>487.64</v>
      </c>
      <c r="E57" s="247">
        <v>487.64</v>
      </c>
      <c r="F57" s="247">
        <v>487.64</v>
      </c>
      <c r="G57" s="247">
        <v>487.64</v>
      </c>
      <c r="H57" s="247">
        <v>487.64</v>
      </c>
      <c r="I57" s="247">
        <v>487.64</v>
      </c>
      <c r="J57" s="247">
        <v>487.64</v>
      </c>
      <c r="K57" s="247">
        <v>487.64</v>
      </c>
      <c r="L57" s="247">
        <v>487.64</v>
      </c>
      <c r="M57" s="247">
        <v>487.64</v>
      </c>
      <c r="N57" s="247">
        <v>487.64</v>
      </c>
    </row>
    <row r="58" spans="1:14">
      <c r="A58" s="151" t="s">
        <v>169</v>
      </c>
      <c r="B58" s="247">
        <v>8.8059999999999992</v>
      </c>
      <c r="C58" s="247">
        <v>8.8059999999999992</v>
      </c>
      <c r="D58" s="247">
        <v>8.8059999999999992</v>
      </c>
      <c r="E58" s="247">
        <v>8.8059999999999992</v>
      </c>
      <c r="F58" s="247">
        <v>8.8059999999999992</v>
      </c>
      <c r="G58" s="247">
        <v>8.8059999999999992</v>
      </c>
      <c r="H58" s="247">
        <v>8.8059999999999992</v>
      </c>
      <c r="I58" s="247">
        <v>8.8059999999999992</v>
      </c>
      <c r="J58" s="247">
        <v>8.8059999999999992</v>
      </c>
      <c r="K58" s="247">
        <v>8.8059999999999992</v>
      </c>
      <c r="L58" s="247">
        <v>8.8059999999999992</v>
      </c>
      <c r="M58" s="247">
        <v>8.8059999999999992</v>
      </c>
      <c r="N58" s="247">
        <v>8.8059999999999992</v>
      </c>
    </row>
    <row r="59" spans="1:14">
      <c r="A59" s="151" t="s">
        <v>170</v>
      </c>
      <c r="B59" s="247">
        <v>453.89629500000001</v>
      </c>
      <c r="C59" s="247">
        <v>456.31167699999997</v>
      </c>
      <c r="D59" s="247">
        <v>460.196752</v>
      </c>
      <c r="E59" s="247">
        <v>471.04846199999997</v>
      </c>
      <c r="F59" s="247">
        <v>473.08456699999999</v>
      </c>
      <c r="G59" s="247">
        <v>486.63365199999998</v>
      </c>
      <c r="H59" s="247">
        <v>488.89030400000001</v>
      </c>
      <c r="I59" s="247">
        <v>490.646704</v>
      </c>
      <c r="J59" s="247">
        <v>492.25989399999997</v>
      </c>
      <c r="K59" s="247">
        <v>494.29539399999999</v>
      </c>
      <c r="L59" s="247">
        <v>496.29355900000002</v>
      </c>
      <c r="M59" s="247">
        <v>499.06672900000001</v>
      </c>
      <c r="N59" s="247">
        <v>499.06672900000001</v>
      </c>
    </row>
    <row r="60" spans="1:14">
      <c r="A60" s="151" t="s">
        <v>171</v>
      </c>
      <c r="B60" s="247">
        <v>4.2999999999999997E-2</v>
      </c>
      <c r="C60" s="247">
        <v>4.2999999999999997E-2</v>
      </c>
      <c r="D60" s="247">
        <v>4.2999999999999997E-2</v>
      </c>
      <c r="E60" s="247">
        <v>5.2999999999999999E-2</v>
      </c>
      <c r="F60" s="247">
        <v>5.2999999999999999E-2</v>
      </c>
      <c r="G60" s="247">
        <v>5.2999999999999999E-2</v>
      </c>
      <c r="H60" s="247">
        <v>7.2900000000000006E-2</v>
      </c>
      <c r="I60" s="247">
        <v>7.2900000000000006E-2</v>
      </c>
      <c r="J60" s="247">
        <v>7.2900000000000006E-2</v>
      </c>
      <c r="K60" s="247">
        <v>7.2900000000000006E-2</v>
      </c>
      <c r="L60" s="247">
        <v>7.2900000000000006E-2</v>
      </c>
      <c r="M60" s="247">
        <v>7.2900000000000006E-2</v>
      </c>
      <c r="N60" s="247">
        <v>7.2900000000000006E-2</v>
      </c>
    </row>
    <row r="61" spans="1:14">
      <c r="A61" s="151" t="s">
        <v>176</v>
      </c>
      <c r="B61" s="247">
        <v>520.75</v>
      </c>
      <c r="C61" s="247">
        <v>520.75</v>
      </c>
      <c r="D61" s="247">
        <v>520.75</v>
      </c>
      <c r="E61" s="247">
        <v>520.75</v>
      </c>
      <c r="F61" s="247">
        <v>520.75</v>
      </c>
      <c r="G61" s="247">
        <v>520.75</v>
      </c>
      <c r="H61" s="247">
        <v>520.75</v>
      </c>
      <c r="I61" s="247">
        <v>520.75</v>
      </c>
      <c r="J61" s="247">
        <v>520.75</v>
      </c>
      <c r="K61" s="247">
        <v>520.75</v>
      </c>
      <c r="L61" s="247">
        <v>520.75</v>
      </c>
      <c r="M61" s="247">
        <v>520.75</v>
      </c>
      <c r="N61" s="247">
        <v>520.75</v>
      </c>
    </row>
    <row r="62" spans="1:14">
      <c r="A62" s="151" t="s">
        <v>179</v>
      </c>
      <c r="B62" s="247">
        <v>482.64</v>
      </c>
      <c r="C62" s="247">
        <v>482.64</v>
      </c>
      <c r="D62" s="247">
        <v>482.64</v>
      </c>
      <c r="E62" s="247">
        <v>482.64</v>
      </c>
      <c r="F62" s="247">
        <v>482.64</v>
      </c>
      <c r="G62" s="247">
        <v>482.64</v>
      </c>
      <c r="H62" s="247">
        <v>482.64</v>
      </c>
      <c r="I62" s="247">
        <v>482.64</v>
      </c>
      <c r="J62" s="247">
        <v>482.64</v>
      </c>
      <c r="K62" s="247">
        <v>482.64</v>
      </c>
      <c r="L62" s="247">
        <v>482.64</v>
      </c>
      <c r="M62" s="247">
        <v>482.64</v>
      </c>
      <c r="N62" s="247">
        <v>482.64</v>
      </c>
    </row>
    <row r="63" spans="1:14">
      <c r="A63" s="151" t="s">
        <v>121</v>
      </c>
      <c r="B63" s="247">
        <v>5.08</v>
      </c>
      <c r="C63" s="247">
        <v>5.08</v>
      </c>
      <c r="D63" s="247">
        <v>5.08</v>
      </c>
      <c r="E63" s="247">
        <v>5.08</v>
      </c>
      <c r="F63" s="247">
        <v>5.08</v>
      </c>
      <c r="G63" s="247">
        <v>5.08</v>
      </c>
      <c r="H63" s="247">
        <v>5.08</v>
      </c>
      <c r="I63" s="247">
        <v>5.08</v>
      </c>
      <c r="J63" s="247">
        <v>5.08</v>
      </c>
      <c r="K63" s="247">
        <v>5.08</v>
      </c>
      <c r="L63" s="247">
        <v>5.08</v>
      </c>
      <c r="M63" s="247">
        <v>5.08</v>
      </c>
      <c r="N63" s="247">
        <v>5.08</v>
      </c>
    </row>
    <row r="64" spans="1:14">
      <c r="A64" s="248" t="s">
        <v>20</v>
      </c>
      <c r="B64" s="249">
        <v>3534.2952949999999</v>
      </c>
      <c r="C64" s="249">
        <v>3534.828677</v>
      </c>
      <c r="D64" s="249">
        <v>3538.7137520000001</v>
      </c>
      <c r="E64" s="249">
        <v>3551.9254620000002</v>
      </c>
      <c r="F64" s="249">
        <v>3553.9615669999998</v>
      </c>
      <c r="G64" s="249">
        <v>3567.5106519999999</v>
      </c>
      <c r="H64" s="249">
        <v>3588.0122040000001</v>
      </c>
      <c r="I64" s="249">
        <v>3588.8686039999998</v>
      </c>
      <c r="J64" s="249">
        <v>3590.4817939999998</v>
      </c>
      <c r="K64" s="249">
        <v>3592.5172940000002</v>
      </c>
      <c r="L64" s="249">
        <v>3594.5154590000002</v>
      </c>
      <c r="M64" s="249">
        <v>3597.2886290000001</v>
      </c>
      <c r="N64" s="249">
        <v>3597.2886290000001</v>
      </c>
    </row>
    <row r="66" spans="1:14">
      <c r="A66" s="213" t="s">
        <v>180</v>
      </c>
    </row>
    <row r="67" spans="1:14">
      <c r="A67" s="226" t="s">
        <v>59</v>
      </c>
      <c r="B67" s="226" t="str">
        <f>MID(UPPER(TEXT(B39,"mmm")),6,1)</f>
        <v>J</v>
      </c>
      <c r="C67" s="226" t="str">
        <f t="shared" ref="C67:N67" si="2">MID(UPPER(TEXT(C39,"mmm")),6,1)</f>
        <v>J</v>
      </c>
      <c r="D67" s="226" t="str">
        <f t="shared" si="2"/>
        <v>A</v>
      </c>
      <c r="E67" s="226" t="str">
        <f t="shared" si="2"/>
        <v>S</v>
      </c>
      <c r="F67" s="226" t="str">
        <f t="shared" si="2"/>
        <v>O</v>
      </c>
      <c r="G67" s="226" t="str">
        <f t="shared" si="2"/>
        <v>N</v>
      </c>
      <c r="H67" s="226" t="str">
        <f t="shared" si="2"/>
        <v>D</v>
      </c>
      <c r="I67" s="226" t="str">
        <f t="shared" si="2"/>
        <v>E</v>
      </c>
      <c r="J67" s="226" t="str">
        <f t="shared" si="2"/>
        <v>F</v>
      </c>
      <c r="K67" s="226" t="str">
        <f t="shared" si="2"/>
        <v>M</v>
      </c>
      <c r="L67" s="226" t="str">
        <f t="shared" si="2"/>
        <v>A</v>
      </c>
      <c r="M67" s="226" t="str">
        <f t="shared" si="2"/>
        <v>M</v>
      </c>
      <c r="N67" s="226" t="str">
        <f t="shared" si="2"/>
        <v>J</v>
      </c>
    </row>
    <row r="68" spans="1:14">
      <c r="A68" s="227" t="s">
        <v>178</v>
      </c>
      <c r="B68" s="228">
        <f>B46/B64*100</f>
        <v>4.4918453821499371</v>
      </c>
      <c r="C68" s="228">
        <f t="shared" ref="C68:N68" si="3">C46/C64*100</f>
        <v>4.5621775971577021</v>
      </c>
      <c r="D68" s="228">
        <f t="shared" si="3"/>
        <v>4.6243988202637762</v>
      </c>
      <c r="E68" s="228">
        <f t="shared" si="3"/>
        <v>4.6911301710193376</v>
      </c>
      <c r="F68" s="228">
        <f t="shared" si="3"/>
        <v>4.8758983104670142</v>
      </c>
      <c r="G68" s="228">
        <f t="shared" si="3"/>
        <v>4.9204236265304919</v>
      </c>
      <c r="H68" s="228">
        <f t="shared" si="3"/>
        <v>4.9557576421219993</v>
      </c>
      <c r="I68" s="228">
        <f t="shared" si="3"/>
        <v>5.0038496477649259</v>
      </c>
      <c r="J68" s="228">
        <f t="shared" si="3"/>
        <v>5.0748002483813739</v>
      </c>
      <c r="K68" s="228">
        <f t="shared" si="3"/>
        <v>5.1285843302053147</v>
      </c>
      <c r="L68" s="228">
        <f t="shared" si="3"/>
        <v>5.1813226601566269</v>
      </c>
      <c r="M68" s="228">
        <f t="shared" si="3"/>
        <v>5.1993774559033294</v>
      </c>
      <c r="N68" s="228">
        <f t="shared" si="3"/>
        <v>5.1993774559033294</v>
      </c>
    </row>
    <row r="70" spans="1:14">
      <c r="A70" s="213" t="s">
        <v>181</v>
      </c>
    </row>
    <row r="71" spans="1:14">
      <c r="A71" s="246" t="s">
        <v>60</v>
      </c>
      <c r="B71" s="246" t="s">
        <v>49</v>
      </c>
    </row>
    <row r="72" spans="1:14">
      <c r="A72" s="149" t="s">
        <v>59</v>
      </c>
      <c r="B72" s="278" t="s">
        <v>204</v>
      </c>
      <c r="C72" s="269"/>
    </row>
    <row r="73" spans="1:14">
      <c r="A73" s="149" t="s">
        <v>61</v>
      </c>
      <c r="B73" s="182" t="s">
        <v>182</v>
      </c>
      <c r="C73" s="182" t="s">
        <v>183</v>
      </c>
    </row>
    <row r="74" spans="1:14">
      <c r="A74" s="149" t="s">
        <v>184</v>
      </c>
      <c r="B74" s="150"/>
      <c r="C74" s="150"/>
    </row>
    <row r="75" spans="1:14">
      <c r="A75" s="151" t="s">
        <v>185</v>
      </c>
      <c r="B75" s="247">
        <v>3058.7370000000001</v>
      </c>
      <c r="C75" s="250">
        <v>1111.201</v>
      </c>
    </row>
    <row r="76" spans="1:14">
      <c r="A76" s="151" t="s">
        <v>186</v>
      </c>
      <c r="B76" s="247">
        <v>0</v>
      </c>
      <c r="C76" s="250">
        <v>0</v>
      </c>
    </row>
    <row r="77" spans="1:14">
      <c r="A77" s="151" t="s">
        <v>187</v>
      </c>
      <c r="B77" s="247">
        <v>570.279</v>
      </c>
      <c r="C77" s="250">
        <v>243.911</v>
      </c>
    </row>
    <row r="78" spans="1:14">
      <c r="A78" s="151" t="s">
        <v>188</v>
      </c>
      <c r="B78" s="247">
        <v>0</v>
      </c>
      <c r="C78" s="250">
        <v>0</v>
      </c>
    </row>
    <row r="79" spans="1:14">
      <c r="A79" s="151" t="s">
        <v>189</v>
      </c>
      <c r="B79" s="247">
        <v>29705.365020000001</v>
      </c>
      <c r="C79" s="250">
        <v>27247.264019999999</v>
      </c>
    </row>
    <row r="80" spans="1:14">
      <c r="A80" s="151" t="s">
        <v>190</v>
      </c>
      <c r="B80" s="247">
        <v>0</v>
      </c>
      <c r="C80" s="250">
        <v>0</v>
      </c>
    </row>
    <row r="81" spans="1:7">
      <c r="A81" s="213"/>
    </row>
    <row r="82" spans="1:7">
      <c r="A82" s="213"/>
      <c r="B82" s="229" t="s">
        <v>191</v>
      </c>
      <c r="C82" t="s">
        <v>192</v>
      </c>
      <c r="D82" t="s">
        <v>193</v>
      </c>
      <c r="E82" t="s">
        <v>194</v>
      </c>
    </row>
    <row r="83" spans="1:7">
      <c r="A83" t="s">
        <v>4</v>
      </c>
      <c r="B83" s="230">
        <f>B79</f>
        <v>29705.365020000001</v>
      </c>
      <c r="C83" s="228">
        <f>B83-D83</f>
        <v>2458.1010000000024</v>
      </c>
      <c r="D83" s="230">
        <f>C79</f>
        <v>27247.264019999999</v>
      </c>
      <c r="E83" s="225">
        <f>B83/B$88*100</f>
        <v>89.113294175696083</v>
      </c>
    </row>
    <row r="84" spans="1:7">
      <c r="A84" t="s">
        <v>22</v>
      </c>
      <c r="B84" s="230">
        <f>B75</f>
        <v>3058.7370000000001</v>
      </c>
      <c r="C84" s="228">
        <f>B84-D84</f>
        <v>1947.5360000000001</v>
      </c>
      <c r="D84" s="230">
        <f>C75</f>
        <v>1111.201</v>
      </c>
      <c r="E84" s="225">
        <f t="shared" ref="E84:E85" si="4">B84/B$88*100</f>
        <v>9.1759225952472789</v>
      </c>
    </row>
    <row r="85" spans="1:7">
      <c r="A85" t="s">
        <v>23</v>
      </c>
      <c r="B85" s="230">
        <f>SUM(B77:B78)</f>
        <v>570.279</v>
      </c>
      <c r="C85" s="228">
        <f>B85-D85</f>
        <v>326.36799999999999</v>
      </c>
      <c r="D85" s="230">
        <f>SUM(C77:C78)</f>
        <v>243.911</v>
      </c>
      <c r="E85" s="225">
        <f t="shared" si="4"/>
        <v>1.7107832290566407</v>
      </c>
    </row>
    <row r="86" spans="1:7">
      <c r="A86" s="213"/>
      <c r="B86" s="230"/>
      <c r="D86" s="230"/>
    </row>
    <row r="87" spans="1:7">
      <c r="A87" s="213"/>
      <c r="B87" s="230"/>
      <c r="D87" s="230"/>
    </row>
    <row r="88" spans="1:7">
      <c r="A88" t="s">
        <v>195</v>
      </c>
      <c r="B88" s="230">
        <f>SUM(B83:B87)</f>
        <v>33334.381020000001</v>
      </c>
      <c r="C88" s="230">
        <f>SUM(C83:C87)</f>
        <v>4732.0050000000028</v>
      </c>
      <c r="D88" s="230">
        <f>SUM(D83:D87)</f>
        <v>28602.37602</v>
      </c>
      <c r="E88" s="225">
        <f>SUM(E83:E87)</f>
        <v>100.00000000000001</v>
      </c>
    </row>
    <row r="89" spans="1:7">
      <c r="A89" s="213"/>
    </row>
    <row r="90" spans="1:7">
      <c r="A90" t="s">
        <v>42</v>
      </c>
      <c r="B90" t="s">
        <v>220</v>
      </c>
      <c r="C90" t="s">
        <v>220</v>
      </c>
    </row>
    <row r="91" spans="1:7">
      <c r="A91" t="s">
        <v>42</v>
      </c>
      <c r="B91" t="s">
        <v>191</v>
      </c>
      <c r="C91" t="s">
        <v>192</v>
      </c>
      <c r="D91" t="s">
        <v>193</v>
      </c>
      <c r="E91" t="s">
        <v>194</v>
      </c>
    </row>
    <row r="92" spans="1:7">
      <c r="A92" t="s">
        <v>4</v>
      </c>
      <c r="B92" s="225">
        <v>29705.360000000001</v>
      </c>
      <c r="C92" s="225">
        <v>2458.1</v>
      </c>
      <c r="D92" s="225">
        <v>27247.26</v>
      </c>
      <c r="E92" s="225">
        <v>89.113</v>
      </c>
      <c r="F92" s="228">
        <f>(100-E92)*B$97/100</f>
        <v>3629.1139506</v>
      </c>
      <c r="G92" t="str">
        <f>CONCATENATE(A92," ",TEXT(B92,"0.0,0")," MWh")</f>
        <v>Solar fotovoltaica 29.705,4 MWh</v>
      </c>
    </row>
    <row r="93" spans="1:7">
      <c r="A93" t="s">
        <v>22</v>
      </c>
      <c r="B93" s="225">
        <v>3058.74</v>
      </c>
      <c r="C93" s="225">
        <v>1947.54</v>
      </c>
      <c r="D93" s="225">
        <v>1111.2</v>
      </c>
      <c r="E93" s="225">
        <v>9.1760000000000002</v>
      </c>
      <c r="F93" s="228">
        <f>(100-E93)*B$97/100</f>
        <v>30275.617291199997</v>
      </c>
      <c r="G93" t="str">
        <f t="shared" ref="G93:G97" si="5">CONCATENATE(A93," ",TEXT(B93,"0.0,0")," MWh")</f>
        <v>Otras renovables 3.058,7 MWh</v>
      </c>
    </row>
    <row r="94" spans="1:7">
      <c r="A94" t="s">
        <v>23</v>
      </c>
      <c r="B94" s="225">
        <v>570.28</v>
      </c>
      <c r="C94" s="225">
        <v>326.37</v>
      </c>
      <c r="D94" s="225">
        <v>243.91</v>
      </c>
      <c r="E94" s="225">
        <v>1.7110000000000001</v>
      </c>
      <c r="F94" s="228">
        <f>(100-E94)*B$97/100</f>
        <v>32764.028758199998</v>
      </c>
      <c r="G94" t="str">
        <f t="shared" ref="G94" si="6">CONCATENATE(A94," ",TEXT(B94,"0.0,0")," MWh")</f>
        <v>Cogeneración 570,3 MWh</v>
      </c>
    </row>
    <row r="95" spans="1:7">
      <c r="A95" t="s">
        <v>5</v>
      </c>
      <c r="B95" s="225">
        <v>0</v>
      </c>
      <c r="C95" s="225">
        <v>0</v>
      </c>
      <c r="D95" s="225">
        <v>0</v>
      </c>
      <c r="E95" s="225">
        <v>0</v>
      </c>
      <c r="F95" s="228"/>
    </row>
    <row r="96" spans="1:7">
      <c r="A96" t="s">
        <v>196</v>
      </c>
      <c r="B96" s="225">
        <v>0</v>
      </c>
      <c r="C96" s="225">
        <v>0</v>
      </c>
      <c r="D96" s="225">
        <v>0</v>
      </c>
      <c r="E96" s="225">
        <v>0</v>
      </c>
      <c r="F96" s="228"/>
    </row>
    <row r="97" spans="1:7">
      <c r="A97" t="s">
        <v>195</v>
      </c>
      <c r="B97" s="225">
        <v>33334.379999999997</v>
      </c>
      <c r="C97" s="225">
        <v>4732.01</v>
      </c>
      <c r="D97" s="225">
        <v>28602.37</v>
      </c>
      <c r="E97" s="225">
        <v>100</v>
      </c>
      <c r="F97" s="228"/>
      <c r="G97" t="str">
        <f t="shared" si="5"/>
        <v>Generación total autoconsumo 33.334,4 MWh</v>
      </c>
    </row>
    <row r="98" spans="1:7">
      <c r="F98" s="228"/>
    </row>
    <row r="99" spans="1:7">
      <c r="A99" s="213" t="s">
        <v>197</v>
      </c>
      <c r="F99" s="228"/>
    </row>
    <row r="100" spans="1:7">
      <c r="A100" t="s">
        <v>42</v>
      </c>
      <c r="B100" t="s">
        <v>220</v>
      </c>
      <c r="C100" t="s">
        <v>220</v>
      </c>
      <c r="F100" s="228"/>
    </row>
    <row r="101" spans="1:7">
      <c r="A101" t="s">
        <v>42</v>
      </c>
      <c r="B101" t="s">
        <v>93</v>
      </c>
      <c r="C101" t="s">
        <v>26</v>
      </c>
      <c r="F101" s="228"/>
    </row>
    <row r="102" spans="1:7">
      <c r="A102" t="s">
        <v>25</v>
      </c>
      <c r="B102" s="230">
        <v>278438.38</v>
      </c>
      <c r="C102" s="230">
        <v>56.347000000000001</v>
      </c>
      <c r="F102" s="228"/>
    </row>
    <row r="103" spans="1:7">
      <c r="A103" t="s">
        <v>4</v>
      </c>
      <c r="B103" s="230">
        <v>97740.296000000002</v>
      </c>
      <c r="C103" s="230">
        <v>19.78</v>
      </c>
      <c r="F103" s="228"/>
    </row>
    <row r="104" spans="1:7">
      <c r="A104" t="s">
        <v>9</v>
      </c>
      <c r="B104" s="230">
        <v>48031.368999999999</v>
      </c>
      <c r="C104" s="230">
        <v>9.7200000000000006</v>
      </c>
      <c r="F104" s="228"/>
    </row>
    <row r="105" spans="1:7">
      <c r="A105" t="s">
        <v>10</v>
      </c>
      <c r="B105" s="230">
        <v>36617.978999999999</v>
      </c>
      <c r="C105" s="230">
        <v>7.41</v>
      </c>
      <c r="F105" s="228"/>
    </row>
    <row r="106" spans="1:7">
      <c r="A106" t="s">
        <v>46</v>
      </c>
      <c r="B106" s="230">
        <v>13462.050999999999</v>
      </c>
      <c r="C106" s="230">
        <v>2.7240000000000002</v>
      </c>
      <c r="F106" s="228"/>
    </row>
    <row r="107" spans="1:7">
      <c r="A107" t="s">
        <v>47</v>
      </c>
      <c r="B107" s="230">
        <v>13462.050999999999</v>
      </c>
      <c r="C107" s="230">
        <v>2.7240000000000002</v>
      </c>
      <c r="F107" s="228"/>
    </row>
    <row r="108" spans="1:7">
      <c r="A108" t="s">
        <v>23</v>
      </c>
      <c r="B108" s="230">
        <v>3336.0459999999998</v>
      </c>
      <c r="C108" s="230">
        <v>0.67500000000000004</v>
      </c>
      <c r="F108" s="228"/>
    </row>
    <row r="109" spans="1:7">
      <c r="A109" t="s">
        <v>22</v>
      </c>
      <c r="B109" s="230">
        <v>3058.7370000000001</v>
      </c>
      <c r="C109" s="230">
        <v>0.61899999999999999</v>
      </c>
      <c r="F109" s="228"/>
    </row>
    <row r="110" spans="1:7">
      <c r="A110" t="s">
        <v>5</v>
      </c>
      <c r="B110" s="230">
        <v>0</v>
      </c>
      <c r="C110" s="230">
        <v>0</v>
      </c>
      <c r="F110" s="228"/>
    </row>
    <row r="111" spans="1:7">
      <c r="A111" t="s">
        <v>196</v>
      </c>
      <c r="B111" s="230">
        <v>0</v>
      </c>
      <c r="C111" s="230">
        <v>0</v>
      </c>
      <c r="F111" s="228"/>
    </row>
    <row r="112" spans="1:7">
      <c r="A112" t="s">
        <v>198</v>
      </c>
      <c r="B112" s="230">
        <v>494146.90899999999</v>
      </c>
      <c r="C112" s="230">
        <v>100</v>
      </c>
      <c r="F112" s="228"/>
    </row>
    <row r="113" spans="1:6">
      <c r="B113" s="230"/>
      <c r="F113" s="228"/>
    </row>
    <row r="114" spans="1:6">
      <c r="A114" t="s">
        <v>199</v>
      </c>
      <c r="B114" s="230">
        <f>SUM(B103,B106,B109:B111)</f>
        <v>114261.084</v>
      </c>
      <c r="C114" s="230">
        <f>SUM(C103,C106,C109:C111)</f>
        <v>23.123000000000001</v>
      </c>
      <c r="F114" s="228"/>
    </row>
    <row r="116" spans="1:6">
      <c r="A116" s="213" t="s">
        <v>200</v>
      </c>
    </row>
    <row r="117" spans="1:6">
      <c r="A117" s="246" t="s">
        <v>60</v>
      </c>
      <c r="B117" s="246" t="s">
        <v>50</v>
      </c>
    </row>
    <row r="118" spans="1:6">
      <c r="A118" s="149" t="s">
        <v>59</v>
      </c>
      <c r="B118" s="278" t="s">
        <v>204</v>
      </c>
      <c r="C118" s="269"/>
    </row>
    <row r="119" spans="1:6">
      <c r="A119" s="149" t="s">
        <v>61</v>
      </c>
      <c r="B119" s="182" t="s">
        <v>182</v>
      </c>
      <c r="C119" s="182" t="s">
        <v>183</v>
      </c>
    </row>
    <row r="120" spans="1:6">
      <c r="A120" s="149" t="s">
        <v>184</v>
      </c>
      <c r="B120" s="150"/>
      <c r="C120" s="150"/>
    </row>
    <row r="121" spans="1:6">
      <c r="A121" s="151" t="s">
        <v>185</v>
      </c>
      <c r="B121" s="247">
        <v>1225.3969999999999</v>
      </c>
      <c r="C121" s="250">
        <v>345.101</v>
      </c>
    </row>
    <row r="122" spans="1:6">
      <c r="A122" s="151" t="s">
        <v>186</v>
      </c>
      <c r="B122" s="247">
        <v>3836.2633599999999</v>
      </c>
      <c r="C122" s="250">
        <v>2290.6803599999998</v>
      </c>
    </row>
    <row r="123" spans="1:6">
      <c r="A123" s="151" t="s">
        <v>189</v>
      </c>
      <c r="B123" s="247">
        <v>13661.799730000001</v>
      </c>
      <c r="C123" s="250">
        <v>12788.595729999999</v>
      </c>
    </row>
    <row r="124" spans="1:6">
      <c r="A124" s="151" t="s">
        <v>190</v>
      </c>
      <c r="B124" s="247">
        <v>0</v>
      </c>
      <c r="C124" s="250">
        <v>0</v>
      </c>
    </row>
    <row r="126" spans="1:6">
      <c r="A126" s="213"/>
    </row>
    <row r="127" spans="1:6">
      <c r="A127" s="213"/>
      <c r="B127" s="229" t="s">
        <v>191</v>
      </c>
      <c r="C127" t="s">
        <v>192</v>
      </c>
      <c r="D127" t="s">
        <v>193</v>
      </c>
      <c r="E127" t="s">
        <v>194</v>
      </c>
    </row>
    <row r="128" spans="1:6">
      <c r="A128" t="s">
        <v>4</v>
      </c>
      <c r="B128" s="230">
        <f>B124</f>
        <v>0</v>
      </c>
      <c r="C128" s="228">
        <f t="shared" ref="C128:C130" si="7">B128-D128</f>
        <v>0</v>
      </c>
      <c r="D128" s="230">
        <f>C124</f>
        <v>0</v>
      </c>
      <c r="E128" s="225">
        <f>B128/B$133*100</f>
        <v>0</v>
      </c>
    </row>
    <row r="129" spans="1:7">
      <c r="A129" t="s">
        <v>5</v>
      </c>
      <c r="B129" s="230">
        <f>B122</f>
        <v>3836.2633599999999</v>
      </c>
      <c r="C129" s="228">
        <f t="shared" si="7"/>
        <v>1545.5830000000001</v>
      </c>
      <c r="D129" s="230">
        <f>C122</f>
        <v>2290.6803599999998</v>
      </c>
      <c r="E129" s="225">
        <f t="shared" ref="E129:E130" si="8">B129/B$133*100</f>
        <v>75.790611916916532</v>
      </c>
    </row>
    <row r="130" spans="1:7">
      <c r="A130" t="s">
        <v>22</v>
      </c>
      <c r="B130" s="230">
        <f>B121</f>
        <v>1225.3969999999999</v>
      </c>
      <c r="C130" s="228">
        <f t="shared" si="7"/>
        <v>880.29599999999994</v>
      </c>
      <c r="D130" s="230">
        <f>C121</f>
        <v>345.101</v>
      </c>
      <c r="E130" s="225">
        <f t="shared" si="8"/>
        <v>24.209388083083471</v>
      </c>
    </row>
    <row r="131" spans="1:7">
      <c r="B131" s="230"/>
      <c r="C131" s="230"/>
      <c r="D131" s="230"/>
    </row>
    <row r="132" spans="1:7">
      <c r="B132" s="230"/>
      <c r="C132" s="230"/>
      <c r="D132" s="230"/>
    </row>
    <row r="133" spans="1:7">
      <c r="A133" t="s">
        <v>195</v>
      </c>
      <c r="B133" s="230">
        <f>SUM(B128:B132)</f>
        <v>5061.6603599999999</v>
      </c>
      <c r="C133" s="230">
        <f t="shared" ref="C133:E133" si="9">SUM(C128:C132)</f>
        <v>2425.8789999999999</v>
      </c>
      <c r="D133" s="230">
        <f t="shared" si="9"/>
        <v>2635.7813599999999</v>
      </c>
      <c r="E133" s="230">
        <f t="shared" si="9"/>
        <v>100</v>
      </c>
    </row>
    <row r="134" spans="1:7">
      <c r="A134" s="213"/>
    </row>
    <row r="135" spans="1:7">
      <c r="A135" t="s">
        <v>42</v>
      </c>
      <c r="B135" t="s">
        <v>220</v>
      </c>
      <c r="C135" t="s">
        <v>220</v>
      </c>
    </row>
    <row r="136" spans="1:7">
      <c r="A136" t="s">
        <v>42</v>
      </c>
      <c r="B136" t="s">
        <v>191</v>
      </c>
      <c r="C136" t="s">
        <v>192</v>
      </c>
      <c r="D136" t="s">
        <v>193</v>
      </c>
      <c r="E136" t="s">
        <v>194</v>
      </c>
    </row>
    <row r="137" spans="1:7">
      <c r="A137" t="s">
        <v>4</v>
      </c>
      <c r="B137" s="225">
        <v>21314.34</v>
      </c>
      <c r="C137" s="225">
        <v>1214.8</v>
      </c>
      <c r="D137" s="225">
        <v>20099.54</v>
      </c>
      <c r="E137" s="225">
        <v>80.81</v>
      </c>
      <c r="F137" s="228">
        <f>(100-E137)*B$142/100</f>
        <v>5061.5543999999991</v>
      </c>
      <c r="G137" t="str">
        <f>CONCATENATE(A137," ",TEXT(B137,"0.0,0")," GWh")</f>
        <v>Solar fotovoltaica 21.314,3 GWh</v>
      </c>
    </row>
    <row r="138" spans="1:7">
      <c r="A138" t="s">
        <v>5</v>
      </c>
      <c r="B138" s="225">
        <v>3836.26</v>
      </c>
      <c r="C138" s="225">
        <v>1545.58</v>
      </c>
      <c r="D138" s="225">
        <v>2290.6799999999998</v>
      </c>
      <c r="E138" s="225">
        <v>14.545</v>
      </c>
      <c r="F138" s="228">
        <f t="shared" ref="F138:F139" si="10">(100-E138)*B$142/100</f>
        <v>22539.610800000002</v>
      </c>
      <c r="G138" t="str">
        <f>CONCATENATE(A138," ",TEXT(B138,"0.0,0")," GWh")</f>
        <v>Eólica 3.836,3 GWh</v>
      </c>
    </row>
    <row r="139" spans="1:7">
      <c r="A139" t="s">
        <v>22</v>
      </c>
      <c r="B139" s="225">
        <v>1225.4000000000001</v>
      </c>
      <c r="C139" s="225">
        <v>880.3</v>
      </c>
      <c r="D139" s="225">
        <v>345.1</v>
      </c>
      <c r="E139" s="225">
        <v>4.6459999999999999</v>
      </c>
      <c r="F139" s="228">
        <f t="shared" si="10"/>
        <v>25150.571039999999</v>
      </c>
      <c r="G139" t="str">
        <f>CONCATENATE(A139," ",TEXT(B139,"0.0,0")," GWh")</f>
        <v>Otras renovables 1.225,4 GWh</v>
      </c>
    </row>
    <row r="140" spans="1:7">
      <c r="A140" t="s">
        <v>12</v>
      </c>
      <c r="B140" s="225">
        <v>0</v>
      </c>
      <c r="C140" s="225">
        <v>0</v>
      </c>
      <c r="D140" s="225">
        <v>0</v>
      </c>
      <c r="E140" s="225">
        <v>0</v>
      </c>
      <c r="F140" s="228"/>
    </row>
    <row r="141" spans="1:7">
      <c r="A141" t="s">
        <v>196</v>
      </c>
      <c r="B141" s="225">
        <v>0</v>
      </c>
      <c r="C141" s="225">
        <v>0</v>
      </c>
      <c r="D141" s="225">
        <v>0</v>
      </c>
      <c r="E141" s="225">
        <v>0</v>
      </c>
      <c r="F141" s="228"/>
    </row>
    <row r="142" spans="1:7">
      <c r="A142" t="s">
        <v>195</v>
      </c>
      <c r="B142" s="225">
        <v>26376</v>
      </c>
      <c r="C142" s="225">
        <v>3640.68</v>
      </c>
      <c r="D142" s="225">
        <v>22735.32</v>
      </c>
      <c r="E142" s="225">
        <v>100</v>
      </c>
      <c r="F142" s="228"/>
      <c r="G142" t="str">
        <f>CONCATENATE(A142," ",TEXT(B142,"0.0,0")," GWh")</f>
        <v>Generación total autoconsumo 26.376,0 GWh</v>
      </c>
    </row>
    <row r="144" spans="1:7">
      <c r="A144" s="213" t="s">
        <v>201</v>
      </c>
    </row>
    <row r="145" spans="1:3">
      <c r="A145" t="s">
        <v>42</v>
      </c>
      <c r="B145" t="s">
        <v>220</v>
      </c>
      <c r="C145" t="s">
        <v>220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30">
        <v>285737.19699999999</v>
      </c>
      <c r="C147" s="230">
        <v>38.844999999999999</v>
      </c>
    </row>
    <row r="148" spans="1:3">
      <c r="A148" t="s">
        <v>5</v>
      </c>
      <c r="B148" s="230">
        <v>142254.55100000001</v>
      </c>
      <c r="C148" s="230">
        <v>19.338999999999999</v>
      </c>
    </row>
    <row r="149" spans="1:3">
      <c r="A149" t="s">
        <v>10</v>
      </c>
      <c r="B149" s="230">
        <v>133397.61600000001</v>
      </c>
      <c r="C149" s="230">
        <v>18.135000000000002</v>
      </c>
    </row>
    <row r="150" spans="1:3">
      <c r="A150" t="s">
        <v>8</v>
      </c>
      <c r="B150" s="230">
        <v>90531.129000000001</v>
      </c>
      <c r="C150" s="230">
        <v>12.307</v>
      </c>
    </row>
    <row r="151" spans="1:3">
      <c r="A151" t="s">
        <v>4</v>
      </c>
      <c r="B151" s="230">
        <v>61187.474000000002</v>
      </c>
      <c r="C151" s="230">
        <v>8.3179999999999996</v>
      </c>
    </row>
    <row r="152" spans="1:3">
      <c r="A152" t="s">
        <v>9</v>
      </c>
      <c r="B152" s="230">
        <v>18374.575000000001</v>
      </c>
      <c r="C152" s="230">
        <v>2.4980000000000002</v>
      </c>
    </row>
    <row r="153" spans="1:3">
      <c r="A153" t="s">
        <v>6</v>
      </c>
      <c r="B153" s="230">
        <v>2755.1959999999999</v>
      </c>
      <c r="C153" s="230">
        <v>0.375</v>
      </c>
    </row>
    <row r="154" spans="1:3">
      <c r="A154" t="s">
        <v>22</v>
      </c>
      <c r="B154" s="230">
        <v>1271.5250000000001</v>
      </c>
      <c r="C154" s="230">
        <v>0.17299999999999999</v>
      </c>
    </row>
    <row r="155" spans="1:3">
      <c r="A155" t="s">
        <v>12</v>
      </c>
      <c r="B155" s="230">
        <v>73.203000000000003</v>
      </c>
      <c r="C155" s="230">
        <v>0.01</v>
      </c>
    </row>
    <row r="156" spans="1:3">
      <c r="A156" t="s">
        <v>196</v>
      </c>
      <c r="B156" s="230">
        <v>0</v>
      </c>
      <c r="C156" s="230">
        <v>0</v>
      </c>
    </row>
    <row r="157" spans="1:3">
      <c r="A157" t="s">
        <v>198</v>
      </c>
      <c r="B157" s="230">
        <v>735582.46600000001</v>
      </c>
      <c r="C157" s="230">
        <v>100</v>
      </c>
    </row>
    <row r="158" spans="1:3">
      <c r="B158" s="230"/>
      <c r="C158" s="230"/>
    </row>
    <row r="159" spans="1:3">
      <c r="A159" t="s">
        <v>199</v>
      </c>
      <c r="B159" s="230">
        <f>SUM(B148,B151,B153:B156)</f>
        <v>207541.94900000002</v>
      </c>
      <c r="C159" s="230">
        <f>SUM(C148,C151,C153:C156)</f>
        <v>28.214999999999996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5"/>
  <sheetData>
    <row r="1" spans="1:2">
      <c r="A1">
        <v>12</v>
      </c>
      <c r="B1" s="96" t="s">
        <v>221</v>
      </c>
    </row>
    <row r="2" spans="1:2">
      <c r="A2" t="s">
        <v>210</v>
      </c>
    </row>
    <row r="3" spans="1:2">
      <c r="A3" t="s">
        <v>211</v>
      </c>
    </row>
    <row r="4" spans="1:2">
      <c r="A4" t="s">
        <v>212</v>
      </c>
    </row>
    <row r="5" spans="1:2">
      <c r="A5" t="s">
        <v>208</v>
      </c>
    </row>
    <row r="6" spans="1:2">
      <c r="A6" t="s">
        <v>207</v>
      </c>
    </row>
    <row r="7" spans="1:2">
      <c r="A7" t="s">
        <v>213</v>
      </c>
    </row>
    <row r="8" spans="1:2">
      <c r="A8" t="s">
        <v>215</v>
      </c>
    </row>
    <row r="9" spans="1:2">
      <c r="A9" t="s">
        <v>216</v>
      </c>
    </row>
    <row r="10" spans="1:2">
      <c r="A10" t="s">
        <v>217</v>
      </c>
    </row>
    <row r="11" spans="1:2">
      <c r="A11" t="s">
        <v>218</v>
      </c>
    </row>
    <row r="12" spans="1:2">
      <c r="A12" t="s">
        <v>219</v>
      </c>
    </row>
    <row r="13" spans="1:2">
      <c r="A13" t="s">
        <v>222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>
      <selection activeCell="K3" sqref="K3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Junio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2" t="s">
        <v>41</v>
      </c>
      <c r="E7" s="66"/>
      <c r="F7" s="253" t="str">
        <f>K3</f>
        <v>Junio 2026</v>
      </c>
      <c r="G7" s="254"/>
      <c r="H7" s="254" t="s">
        <v>30</v>
      </c>
      <c r="I7" s="254"/>
      <c r="J7" s="254" t="s">
        <v>31</v>
      </c>
      <c r="K7" s="254"/>
    </row>
    <row r="8" spans="3:12">
      <c r="C8" s="252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95" t="str">
        <f>G8</f>
        <v>% 26/25</v>
      </c>
      <c r="J8" s="68" t="s">
        <v>13</v>
      </c>
      <c r="K8" s="95" t="str">
        <f>G8</f>
        <v>% 26/25</v>
      </c>
    </row>
    <row r="9" spans="3:12">
      <c r="C9" s="70"/>
      <c r="E9" s="71" t="s">
        <v>32</v>
      </c>
      <c r="F9" s="72">
        <f>Dat_01!Z26/1000</f>
        <v>719.80758400000002</v>
      </c>
      <c r="G9" s="140">
        <f>Dat_01!AB26*100</f>
        <v>1.8392358500000001</v>
      </c>
      <c r="H9" s="72">
        <f>Dat_01!AC26/1000</f>
        <v>4336.1201309999997</v>
      </c>
      <c r="I9" s="140">
        <f>Dat_01!AE26*100</f>
        <v>1.1252882099999999</v>
      </c>
      <c r="J9" s="72">
        <f>Dat_01!AF26/1000</f>
        <v>9031.6565219999993</v>
      </c>
      <c r="K9" s="140">
        <f>Dat_01!AG26*100</f>
        <v>1.7553020700000002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Dat_01!D167*100</f>
        <v>0.56200000000000006</v>
      </c>
      <c r="H12" s="91"/>
      <c r="I12" s="91">
        <f>Dat_01!H167*100</f>
        <v>6.9999999999999993E-2</v>
      </c>
      <c r="J12" s="91"/>
      <c r="K12" s="91">
        <f>Dat_01!L167*100</f>
        <v>3.1E-2</v>
      </c>
    </row>
    <row r="13" spans="3:12">
      <c r="E13" s="74" t="s">
        <v>35</v>
      </c>
      <c r="F13" s="73"/>
      <c r="G13" s="91">
        <f>Dat_01!E167*100</f>
        <v>0</v>
      </c>
      <c r="H13" s="91"/>
      <c r="I13" s="91">
        <f>Dat_01!I167*100</f>
        <v>0.12</v>
      </c>
      <c r="J13" s="91"/>
      <c r="K13" s="91">
        <f>Dat_01!M167*100</f>
        <v>0.182</v>
      </c>
    </row>
    <row r="14" spans="3:12">
      <c r="E14" s="75" t="s">
        <v>36</v>
      </c>
      <c r="F14" s="76"/>
      <c r="G14" s="92">
        <f>Dat_01!F167*100</f>
        <v>1.3379999999999999</v>
      </c>
      <c r="H14" s="92"/>
      <c r="I14" s="92">
        <f>Dat_01!J167*100</f>
        <v>0.94699999999999995</v>
      </c>
      <c r="J14" s="92"/>
      <c r="K14" s="92">
        <f>Dat_01!N167*100</f>
        <v>1.548</v>
      </c>
    </row>
    <row r="15" spans="3:12">
      <c r="E15" s="255" t="s">
        <v>37</v>
      </c>
      <c r="F15" s="255"/>
      <c r="G15" s="255"/>
      <c r="H15" s="255"/>
      <c r="I15" s="255"/>
      <c r="J15" s="255"/>
      <c r="K15" s="255"/>
    </row>
    <row r="16" spans="3:12" ht="21.75" customHeight="1">
      <c r="E16" s="251" t="s">
        <v>38</v>
      </c>
      <c r="F16" s="251"/>
      <c r="G16" s="251"/>
      <c r="H16" s="251"/>
      <c r="I16" s="251"/>
      <c r="J16" s="251"/>
      <c r="K16" s="251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B2" sqref="B2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Junio 2026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6" t="s">
        <v>18</v>
      </c>
      <c r="E7" s="24"/>
      <c r="F7" s="257" t="s">
        <v>17</v>
      </c>
      <c r="G7" s="258"/>
      <c r="H7" s="257" t="s">
        <v>16</v>
      </c>
      <c r="I7" s="258"/>
      <c r="J7" s="257" t="s">
        <v>15</v>
      </c>
      <c r="K7" s="258"/>
      <c r="L7" s="257" t="s">
        <v>14</v>
      </c>
      <c r="M7" s="258"/>
    </row>
    <row r="8" spans="3:23" s="21" customFormat="1" ht="12.75" customHeight="1">
      <c r="C8" s="256"/>
      <c r="E8" s="23"/>
      <c r="F8" s="22" t="s">
        <v>13</v>
      </c>
      <c r="G8" s="93" t="str">
        <f>CONCATENATE("% ",RIGHT(M3,2),"/",RIGHT(M3,2)-1)</f>
        <v>% 26/25</v>
      </c>
      <c r="H8" s="22" t="s">
        <v>13</v>
      </c>
      <c r="I8" s="93" t="str">
        <f>G8</f>
        <v>% 26/25</v>
      </c>
      <c r="J8" s="22" t="s">
        <v>13</v>
      </c>
      <c r="K8" s="93" t="str">
        <f>I8</f>
        <v>% 26/25</v>
      </c>
      <c r="L8" s="22" t="s">
        <v>13</v>
      </c>
      <c r="M8" s="93" t="str">
        <f>K8</f>
        <v>% 26/25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7.3203000000000004E-2</v>
      </c>
      <c r="I9" s="12">
        <f>IF(Dat_01!AB8*100=-100,"-",Dat_01!AB8*100)</f>
        <v>0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2.7551959999999998</v>
      </c>
      <c r="I10" s="12">
        <f>Dat_01!AB15*100</f>
        <v>-6.6942059999999994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139.96383700000001</v>
      </c>
      <c r="I11" s="12">
        <f>Dat_01!AB16*100</f>
        <v>-2.49916436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69.715850000000003</v>
      </c>
      <c r="G12" s="12">
        <f>Dat_01!T17*100</f>
        <v>7.8919036400000007</v>
      </c>
      <c r="H12" s="132">
        <f>Dat_01!Z17/1000</f>
        <v>48.060447000000003</v>
      </c>
      <c r="I12" s="12">
        <f>Dat_01!AB17*100</f>
        <v>12.66602084</v>
      </c>
      <c r="J12" s="132">
        <f>Dat_01!B17</f>
        <v>0</v>
      </c>
      <c r="K12" s="12" t="str">
        <f>IF(Dat_01!D17=-100%,"-",Dat_01!D17*100)</f>
        <v>-</v>
      </c>
      <c r="L12" s="132">
        <f>Dat_01!J17/1000</f>
        <v>5.6670000000000002E-3</v>
      </c>
      <c r="M12" s="12">
        <f>IF(Dat_01!L17*100=-100,"-",Dat_01!L17*100)</f>
        <v>-18.834144940000002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1.9475360000000002</v>
      </c>
      <c r="G13" s="12">
        <f>IF(Dat_01!T18=-100%,"-",Dat_01!T18*100)</f>
        <v>667.47767557999998</v>
      </c>
      <c r="H13" s="132">
        <f>Dat_01!Z18/1000</f>
        <v>0.92642400000000003</v>
      </c>
      <c r="I13" s="12">
        <f>IF(Dat_01!AB18*100=-100,"-",Dat_01!AB18*100)</f>
        <v>-27.653081149999998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13.462050999999999</v>
      </c>
      <c r="G14" s="12">
        <f>Dat_01!T21*100</f>
        <v>-6.1573693499999997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0.4869445</v>
      </c>
      <c r="M14" s="12">
        <f>Dat_01!L21*100</f>
        <v>-1.92773244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85.125437000000005</v>
      </c>
      <c r="G15" s="148">
        <f>((SUM(Dat_01!R8,Dat_01!R15:R18,Dat_01!R20)/SUM(Dat_01!S8,Dat_01!S15:S18,Dat_01!S20))-1)*100</f>
        <v>7.4605924305816362</v>
      </c>
      <c r="H15" s="147">
        <f>SUM(H9:H14)</f>
        <v>191.77910700000001</v>
      </c>
      <c r="I15" s="148">
        <f>((SUM(Dat_01!Z8,Dat_01!Z15:Z18,Dat_01!Z20)/SUM(Dat_01!AA8,Dat_01!AA15:AA18,Dat_01!AA20))-1)*100</f>
        <v>0.70196654769902889</v>
      </c>
      <c r="J15" s="147">
        <f>SUM(J9:J14)</f>
        <v>0</v>
      </c>
      <c r="K15" s="148" t="str">
        <f>IF(Dat_01!D17=-100%,"-",Dat_01!D17*100)</f>
        <v>-</v>
      </c>
      <c r="L15" s="147">
        <f>SUM(L9:L14)</f>
        <v>0.49261149999999998</v>
      </c>
      <c r="M15" s="148">
        <f>((SUM(Dat_01!J8,Dat_01!J15:J18,Dat_01!J20)/SUM(Dat_01!K8,Dat_01!K15:K18,Dat_01!K20))-1)*100</f>
        <v>-2.1621734346511934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36.617978999999998</v>
      </c>
      <c r="G17" s="18">
        <f>((SUM(Dat_01!R10,Dat_01!R14)/SUM(Dat_01!S10,Dat_01!S14))-1)*100</f>
        <v>-0.38254723425522608</v>
      </c>
      <c r="H17" s="133">
        <f>SUM(Dat_01!Z10,Dat_01!Z14)/1000</f>
        <v>133.397616</v>
      </c>
      <c r="I17" s="18">
        <f>((SUM(Dat_01!Z10,Dat_01!Z14)/SUM(Dat_01!AA10,Dat_01!AA14))-1)*100</f>
        <v>-4.2596552203710836E-2</v>
      </c>
      <c r="J17" s="133">
        <f>Dat_01!B10/1000</f>
        <v>16.619152</v>
      </c>
      <c r="K17" s="18">
        <f>Dat_01!D10*100</f>
        <v>-1.38653337</v>
      </c>
      <c r="L17" s="133">
        <f>Dat_01!J10/1000</f>
        <v>19.075949000000001</v>
      </c>
      <c r="M17" s="18">
        <f>Dat_01!L10*100</f>
        <v>1.368927E-2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48.031368999999998</v>
      </c>
      <c r="G18" s="18">
        <f>Dat_01!T11*100</f>
        <v>4.23815528</v>
      </c>
      <c r="H18" s="133">
        <f>Dat_01!Z11/1000</f>
        <v>18.374575</v>
      </c>
      <c r="I18" s="18">
        <f>Dat_01!AB11*100</f>
        <v>27.250551639999998</v>
      </c>
      <c r="J18" s="133">
        <f>Dat_01!B11/1000</f>
        <v>2.453E-2</v>
      </c>
      <c r="K18" s="18">
        <f>IF(Dat_01!D11=-100%,"-",Dat_01!D11*100)</f>
        <v>168.85138097000001</v>
      </c>
      <c r="L18" s="133">
        <f>Dat_01!J11/1000</f>
        <v>5.1500000000000001E-3</v>
      </c>
      <c r="M18" s="18">
        <f>IF(Dat_01!L11*100=-100,"-",Dat_01!L11*100)</f>
        <v>-2.9583568900000001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90.531129000000007</v>
      </c>
      <c r="I19" s="18">
        <f>Dat_01!AB12*100</f>
        <v>7.38599695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84.649348000000003</v>
      </c>
      <c r="G20" s="12">
        <f>((SUM(Dat_01!R10:R12,Dat_01!R14)/SUM(Dat_01!S10:S12,Dat_01!S14))-1)*100</f>
        <v>2.1877386348040151</v>
      </c>
      <c r="H20" s="132">
        <f>SUM(H17:H19)</f>
        <v>242.30331999999999</v>
      </c>
      <c r="I20" s="12">
        <f>(H20/(H17/(I17/100+1)+H18/(I18/100+1)+H19/(I19/100+1))-1)*100</f>
        <v>4.3517786278127968</v>
      </c>
      <c r="J20" s="132">
        <f>SUM(J17:J19)</f>
        <v>16.643681999999998</v>
      </c>
      <c r="K20" s="12">
        <f>((SUM(Dat_01!B10:B12)/SUM(Dat_01!C10:C12))-1)*100</f>
        <v>-1.2944176194135792</v>
      </c>
      <c r="L20" s="132">
        <f>SUM(L17:L19)</f>
        <v>19.081099000000002</v>
      </c>
      <c r="M20" s="12">
        <f>((SUM(Dat_01!J10:J12)/SUM(Dat_01!K10:K12))-1)*100</f>
        <v>1.2862548676806362E-2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278.43838</v>
      </c>
      <c r="G21" s="12">
        <f>Dat_01!T13*100</f>
        <v>1.44366683</v>
      </c>
      <c r="H21" s="132">
        <f>Dat_01!Z13/1000</f>
        <v>285.73719699999998</v>
      </c>
      <c r="I21" s="12">
        <f>Dat_01!AB13*100</f>
        <v>0.55259532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3.0921350000000003</v>
      </c>
      <c r="G22" s="12">
        <f>Dat_01!T19*100</f>
        <v>-24.96422488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13.462050999999999</v>
      </c>
      <c r="G23" s="12">
        <f>Dat_01!T20*100</f>
        <v>-6.1573693499999997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0.4869445</v>
      </c>
      <c r="M23" s="12">
        <f>Dat_01!L20*100</f>
        <v>-1.92773244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379.64191399999993</v>
      </c>
      <c r="G24" s="148">
        <f>((SUM(Dat_01!R9:R14,Dat_01!R19,Dat_01!R21)/SUM(Dat_01!S9:S14,Dat_01!S19,Dat_01!S21))-1)*100</f>
        <v>1.0279265604869137</v>
      </c>
      <c r="H24" s="134">
        <f>SUM(H16,H20:H23)</f>
        <v>528.04051699999991</v>
      </c>
      <c r="I24" s="148">
        <f>((SUM(Dat_01!Z9:Z14,Dat_01!Z19,Dat_01!Z21)/SUM(Dat_01!AA9:AA14,Dat_01!AA19,Dat_01!AA21))-1)*100</f>
        <v>2.2610071688044853</v>
      </c>
      <c r="J24" s="134">
        <f>SUM(J16,J20:J23)</f>
        <v>16.643681999999998</v>
      </c>
      <c r="K24" s="148">
        <f>((SUM(Dat_01!B9:B14,Dat_01!B19,Dat_01!B21)/SUM(Dat_01!C9:C14,Dat_01!C19,Dat_01!C21))-1)*100</f>
        <v>-1.2944176194135792</v>
      </c>
      <c r="L24" s="134">
        <f>SUM(L16,L20:L23)</f>
        <v>19.568043500000002</v>
      </c>
      <c r="M24" s="148">
        <f>((SUM(Dat_01!J9:J14,Dat_01!J19,Dat_01!J21)/SUM(Dat_01!K9:K14,Dat_01!K19,Dat_01!K21))-1)*100</f>
        <v>-3.6359854205014752E-2</v>
      </c>
      <c r="N24" s="7"/>
      <c r="O24" s="7"/>
    </row>
    <row r="25" spans="3:23" ht="12.75" customHeight="1">
      <c r="C25" s="10"/>
      <c r="E25" s="170" t="s">
        <v>95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32">
        <f>Dat_01!Z23/1000</f>
        <v>9.9999999999999995E-7</v>
      </c>
      <c r="I25" s="12" t="str" cm="1">
        <f t="array" ref="I25">_xlfn.IFS(Dat_01!AB23=0%,"-",Dat_01!AB23=-100%,"-",TRUE,Dat_01!AB23*100)</f>
        <v>-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96</v>
      </c>
      <c r="F26" s="132">
        <f>Dat_01!R24/1000</f>
        <v>0</v>
      </c>
      <c r="G26" s="12" t="str">
        <f>IF(Dat_01!T24=-100%,"-",Dat_01!T24*100)</f>
        <v>-</v>
      </c>
      <c r="H26" s="132">
        <f>Dat_01!Z24/1000</f>
        <v>-1.2041E-2</v>
      </c>
      <c r="I26" s="12" t="str" cm="1">
        <f t="array" ref="I26">_xlfn.IFS(Dat_01!AB24=0%,"-",Dat_01!AB24=-100%,"-",TRUE,Dat_01!AB24*100)</f>
        <v>-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98</v>
      </c>
      <c r="F27" s="134">
        <f>SUM(F25:F26)</f>
        <v>0</v>
      </c>
      <c r="G27" s="148" t="str">
        <f>IF(SUM(Dat_01!R23:R24)=0,"-",((SUM(Dat_01!R23:R24)/SUM(Dat_01!S23:S24))-1)*100)</f>
        <v>-</v>
      </c>
      <c r="H27" s="134">
        <f>SUM(H25:H26)</f>
        <v>-1.204E-2</v>
      </c>
      <c r="I27" s="148" t="str">
        <f>IF(SUM(Dat_01!Z23:Z24)=0,"-",IF(SUM(Dat_01!AA23:AA24)=0,"-",((SUM(Dat_01!Z23:Z24)/SUM(Dat_01!AA23:AA24))-1)*100))</f>
        <v>-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154.19043299999998</v>
      </c>
      <c r="G28" s="169">
        <f>Dat_01!T25*100</f>
        <v>-9.8487789600000006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618.95778399999995</v>
      </c>
      <c r="G29" s="8">
        <f>Dat_01!T26*100</f>
        <v>-1.1244566200000001</v>
      </c>
      <c r="H29" s="135">
        <f>Dat_01!Z26/1000</f>
        <v>719.80758400000002</v>
      </c>
      <c r="I29" s="8">
        <f>Dat_01!AB26*100</f>
        <v>1.8392358500000001</v>
      </c>
      <c r="J29" s="135">
        <f>Dat_01!B26/1000</f>
        <v>16.643682000000002</v>
      </c>
      <c r="K29" s="8">
        <f>Dat_01!D26*100</f>
        <v>-1.29446445</v>
      </c>
      <c r="L29" s="135">
        <f>Dat_01!J26/1000</f>
        <v>20.060655000000001</v>
      </c>
      <c r="M29" s="8">
        <f>Dat_01!L26*100</f>
        <v>-8.9667339999999998E-2</v>
      </c>
      <c r="N29" s="7"/>
      <c r="O29" s="7"/>
    </row>
    <row r="30" spans="3:23" ht="16.350000000000001" customHeight="1">
      <c r="C30" s="10"/>
      <c r="E30" s="261" t="s">
        <v>48</v>
      </c>
      <c r="F30" s="261"/>
      <c r="G30" s="261"/>
      <c r="H30" s="261"/>
      <c r="I30" s="261"/>
      <c r="J30" s="261"/>
      <c r="K30" s="261"/>
      <c r="L30" s="145"/>
      <c r="M30" s="146"/>
      <c r="N30" s="7"/>
      <c r="O30" s="7"/>
    </row>
    <row r="31" spans="3:23" ht="12.75" customHeight="1">
      <c r="C31" s="3"/>
      <c r="D31" s="3"/>
      <c r="E31" s="260" t="s">
        <v>0</v>
      </c>
      <c r="F31" s="260"/>
      <c r="G31" s="260"/>
      <c r="H31" s="260"/>
      <c r="I31" s="260"/>
      <c r="J31" s="260"/>
      <c r="K31" s="260"/>
      <c r="L31" s="260"/>
      <c r="M31" s="260"/>
      <c r="O31" s="6"/>
    </row>
    <row r="32" spans="3:23" ht="12.75" customHeight="1">
      <c r="E32" s="259" t="s">
        <v>109</v>
      </c>
      <c r="F32" s="259"/>
      <c r="G32" s="259"/>
      <c r="H32" s="259"/>
      <c r="I32" s="259"/>
      <c r="J32" s="259"/>
      <c r="K32" s="259"/>
      <c r="L32" s="259"/>
      <c r="M32" s="259"/>
    </row>
    <row r="33" spans="3:13" ht="12.75" customHeight="1">
      <c r="C33" s="3"/>
      <c r="D33" s="3"/>
      <c r="E33" s="259" t="s">
        <v>75</v>
      </c>
      <c r="F33" s="259"/>
      <c r="G33" s="259"/>
      <c r="H33" s="259"/>
      <c r="I33" s="259"/>
      <c r="J33" s="259"/>
      <c r="K33" s="259"/>
      <c r="L33" s="259"/>
      <c r="M33" s="259"/>
    </row>
    <row r="34" spans="3:13" ht="12.75" customHeight="1">
      <c r="E34" s="259" t="s">
        <v>76</v>
      </c>
      <c r="F34" s="259"/>
      <c r="G34" s="259"/>
      <c r="H34" s="259"/>
      <c r="I34" s="259"/>
      <c r="J34" s="259"/>
      <c r="K34" s="259"/>
      <c r="L34" s="259"/>
      <c r="M34" s="259"/>
    </row>
    <row r="35" spans="3:13" ht="12.75" customHeight="1">
      <c r="E35" s="259"/>
      <c r="F35" s="259"/>
      <c r="G35" s="259"/>
      <c r="H35" s="259"/>
      <c r="I35" s="259"/>
      <c r="J35" s="259"/>
      <c r="K35" s="259"/>
      <c r="L35" s="259"/>
      <c r="M35" s="259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 G24 K15" formula="1"/>
    <ignoredError sqref="M20" formulaRange="1"/>
    <ignoredError sqref="K20 G27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J21" sqref="J21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Junio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2" t="s">
        <v>99</v>
      </c>
      <c r="D7" s="37"/>
      <c r="E7" s="41"/>
    </row>
    <row r="8" spans="2:12" s="31" customFormat="1" ht="12.75" customHeight="1">
      <c r="B8" s="39"/>
      <c r="C8" s="262"/>
      <c r="D8" s="37"/>
      <c r="E8" s="41"/>
      <c r="J8" s="30"/>
      <c r="K8" s="30"/>
      <c r="L8" s="30"/>
    </row>
    <row r="9" spans="2:12" s="31" customFormat="1" ht="12.75" customHeight="1">
      <c r="B9" s="39"/>
      <c r="C9" s="262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2.338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62" t="s">
        <v>107</v>
      </c>
      <c r="E24" s="35"/>
      <c r="J24" s="31"/>
      <c r="K24" s="31"/>
    </row>
    <row r="25" spans="2:12">
      <c r="C25" s="262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Junio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101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263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Junio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101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I25" sqref="I25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Junio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2" t="s">
        <v>100</v>
      </c>
      <c r="D7" s="37"/>
      <c r="E7" s="41"/>
    </row>
    <row r="8" spans="2:12" s="31" customFormat="1" ht="12.75" customHeight="1">
      <c r="B8" s="39"/>
      <c r="C8" s="262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62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3.439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62" t="s">
        <v>108</v>
      </c>
      <c r="E24" s="35"/>
      <c r="J24" s="31"/>
      <c r="K24" s="31"/>
    </row>
    <row r="25" spans="2:12">
      <c r="C25" s="262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Junio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102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263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SN15</vt:lpstr>
      <vt:lpstr>SN16</vt:lpstr>
      <vt:lpstr>SN17</vt:lpstr>
      <vt:lpstr>Dat_01</vt:lpstr>
      <vt:lpstr>Dat_02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2026-07-10T07:44:34Z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